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codeName="ThisWorkbook"/>
  <mc:AlternateContent xmlns:mc="http://schemas.openxmlformats.org/markup-compatibility/2006">
    <mc:Choice Requires="x15">
      <x15ac:absPath xmlns:x15ac="http://schemas.microsoft.com/office/spreadsheetml/2010/11/ac" url="W:\My Documents\Macros\Formats\Financials\ICICI\"/>
    </mc:Choice>
  </mc:AlternateContent>
  <xr:revisionPtr revIDLastSave="0" documentId="13_ncr:1_{4932E277-0F20-4264-A70E-BB47CD030673}" xr6:coauthVersionLast="45" xr6:coauthVersionMax="45" xr10:uidLastSave="{00000000-0000-0000-0000-000000000000}"/>
  <bookViews>
    <workbookView xWindow="-120" yWindow="-120" windowWidth="20730" windowHeight="11160" tabRatio="866" xr2:uid="{00000000-000D-0000-FFFF-FFFF00000000}"/>
  </bookViews>
  <sheets>
    <sheet name="Business Profile" sheetId="39" r:id="rId1"/>
    <sheet name="ITR" sheetId="45" r:id="rId2"/>
    <sheet name="ROC" sheetId="46" r:id="rId3"/>
    <sheet name="GST" sheetId="47" r:id="rId4"/>
    <sheet name="KYC" sheetId="40" r:id="rId5"/>
    <sheet name="Financial Statement-Combined" sheetId="37" state="hidden" r:id="rId6"/>
    <sheet name="Cash Flow" sheetId="38" r:id="rId7"/>
    <sheet name="Financial Statement1" sheetId="33" r:id="rId8"/>
    <sheet name="Financial Statement2" sheetId="34" state="hidden" r:id="rId9"/>
    <sheet name="Financial Statement3" sheetId="35" state="hidden" r:id="rId10"/>
    <sheet name="Financial Statement4" sheetId="36" state="hidden" r:id="rId11"/>
    <sheet name="Instructions" sheetId="8" state="hidden" r:id="rId12"/>
    <sheet name="Ratios Sheet - combined" sheetId="1" r:id="rId13"/>
    <sheet name="Ratios Sheet1" sheetId="13" r:id="rId14"/>
    <sheet name="Ratios Sheet2" sheetId="25" r:id="rId15"/>
    <sheet name="Ratios Sheet3" sheetId="26" r:id="rId16"/>
    <sheet name="Ratios Sheet4" sheetId="27" r:id="rId17"/>
    <sheet name="Daily-Balance" sheetId="18" r:id="rId18"/>
    <sheet name="Credit Summation" sheetId="19" r:id="rId19"/>
    <sheet name="Analysis-Debit" sheetId="31" r:id="rId20"/>
    <sheet name="Analysis-Credit" sheetId="32" r:id="rId21"/>
    <sheet name="NC-RTR" sheetId="43" r:id="rId22"/>
    <sheet name="Eligibility" sheetId="2" r:id="rId23"/>
    <sheet name="Variant Inputs &amp; Comparison" sheetId="21" r:id="rId24"/>
    <sheet name="Empower HL &amp; NRP" sheetId="28" state="hidden" r:id="rId25"/>
    <sheet name="Banking product- Eligibility" sheetId="20" state="hidden" r:id="rId26"/>
    <sheet name="Express BT - Non Home" sheetId="14" state="hidden" r:id="rId27"/>
    <sheet name="Express BT - Home" sheetId="29" state="hidden" r:id="rId28"/>
    <sheet name="GTP - Eligibility" sheetId="3" state="hidden" r:id="rId29"/>
  </sheets>
  <definedNames>
    <definedName name="A">'Banking product- Eligibility'!$IV$5</definedName>
    <definedName name="Amount">#REF!</definedName>
    <definedName name="AuthCap">#REF!</definedName>
    <definedName name="B">'Banking product- Eligibility'!$IV$13</definedName>
    <definedName name="CIN">#REF!</definedName>
    <definedName name="CINStatus">#REF!</definedName>
    <definedName name="_xlnm.Criteria">#REF!</definedName>
    <definedName name="GSTIN">#REF!</definedName>
    <definedName name="GSTINStatus">#REF!</definedName>
    <definedName name="p">'Banking product- Eligibility'!$IV$15</definedName>
    <definedName name="PaidUp">#REF!</definedName>
    <definedName name="Q">'Banking product- Eligibility'!$IV$16</definedName>
    <definedName name="RR">'Banking product- Eligibility'!$IV$17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2" i="39" l="1"/>
  <c r="H11" i="39"/>
  <c r="D12" i="39"/>
  <c r="D11" i="39"/>
  <c r="H8" i="39"/>
  <c r="D8" i="39"/>
  <c r="F46" i="47"/>
  <c r="E46" i="47"/>
  <c r="D46" i="47"/>
  <c r="F45" i="47"/>
  <c r="E45" i="47"/>
  <c r="D45" i="47"/>
  <c r="G44" i="47"/>
  <c r="G43" i="47"/>
  <c r="G42" i="47"/>
  <c r="G41" i="47"/>
  <c r="G40" i="47"/>
  <c r="G39" i="47"/>
  <c r="G38" i="47"/>
  <c r="G37" i="47"/>
  <c r="G36" i="47"/>
  <c r="G35" i="47"/>
  <c r="G46" i="47" s="1"/>
  <c r="G34" i="47"/>
  <c r="B34" i="47"/>
  <c r="B35" i="47" s="1"/>
  <c r="B36" i="47" s="1"/>
  <c r="B37" i="47" s="1"/>
  <c r="B38" i="47" s="1"/>
  <c r="B39" i="47" s="1"/>
  <c r="B40" i="47" s="1"/>
  <c r="B41" i="47" s="1"/>
  <c r="B42" i="47" s="1"/>
  <c r="B43" i="47" s="1"/>
  <c r="B44" i="47" s="1"/>
  <c r="G33" i="47"/>
  <c r="G45" i="47" s="1"/>
  <c r="E27" i="46" l="1"/>
  <c r="D27" i="46"/>
  <c r="E26" i="46"/>
  <c r="E28" i="46" s="1"/>
  <c r="D26" i="46"/>
  <c r="D28" i="46" s="1"/>
  <c r="G13" i="46"/>
  <c r="O26" i="43" l="1"/>
  <c r="O27" i="43"/>
  <c r="O28" i="43"/>
  <c r="O29" i="43"/>
  <c r="Q26" i="43"/>
  <c r="Q27" i="43"/>
  <c r="Q28" i="43"/>
  <c r="Q29" i="43"/>
  <c r="R26" i="43"/>
  <c r="R27" i="43"/>
  <c r="R28" i="43"/>
  <c r="R29" i="43"/>
  <c r="P30" i="43" l="1"/>
  <c r="BC30" i="43" l="1"/>
  <c r="BB30" i="43"/>
  <c r="BA30" i="43"/>
  <c r="AZ30" i="43"/>
  <c r="AY30" i="43"/>
  <c r="AX30" i="43"/>
  <c r="AW30" i="43"/>
  <c r="AV30" i="43"/>
  <c r="AU30" i="43"/>
  <c r="AT30" i="43"/>
  <c r="AS30" i="43"/>
  <c r="AR30" i="43"/>
  <c r="AQ30" i="43"/>
  <c r="AP30" i="43"/>
  <c r="AO30" i="43"/>
  <c r="AN30" i="43"/>
  <c r="AM30" i="43"/>
  <c r="AL30" i="43"/>
  <c r="AK30" i="43"/>
  <c r="AJ30" i="43"/>
  <c r="AI30" i="43"/>
  <c r="AH30" i="43"/>
  <c r="AG30" i="43"/>
  <c r="AF30" i="43"/>
  <c r="AE30" i="43"/>
  <c r="AD30" i="43"/>
  <c r="AC30" i="43"/>
  <c r="AB30" i="43"/>
  <c r="AA30" i="43"/>
  <c r="Z30" i="43"/>
  <c r="Y30" i="43"/>
  <c r="X30" i="43"/>
  <c r="W30" i="43"/>
  <c r="V30" i="43"/>
  <c r="U30" i="43"/>
  <c r="T30" i="43"/>
  <c r="S30" i="43"/>
  <c r="R30" i="43"/>
  <c r="Q30" i="43"/>
  <c r="O30" i="43"/>
  <c r="N30" i="43"/>
  <c r="L30" i="43"/>
  <c r="I30" i="43"/>
  <c r="G30" i="43"/>
  <c r="F30" i="43"/>
  <c r="E30" i="43"/>
  <c r="D30" i="43"/>
  <c r="K29" i="43"/>
  <c r="M29" i="43" s="1"/>
  <c r="K28" i="43"/>
  <c r="M28" i="43" s="1"/>
  <c r="K27" i="43"/>
  <c r="M27" i="43" s="1"/>
  <c r="K26" i="43"/>
  <c r="M26" i="43" s="1"/>
  <c r="V24" i="43"/>
  <c r="Y24" i="43" s="1"/>
  <c r="AB24" i="43" s="1"/>
  <c r="AE24" i="43" s="1"/>
  <c r="AH24" i="43" s="1"/>
  <c r="AK24" i="43" s="1"/>
  <c r="AN24" i="43" s="1"/>
  <c r="AQ24" i="43" s="1"/>
  <c r="AT24" i="43" s="1"/>
  <c r="AW24" i="43" s="1"/>
  <c r="AZ24" i="43" s="1"/>
  <c r="W13" i="43"/>
  <c r="S13" i="43"/>
  <c r="O13" i="43"/>
  <c r="K13" i="43"/>
  <c r="H13" i="43"/>
  <c r="G13" i="43"/>
  <c r="F13" i="43"/>
  <c r="E13" i="43"/>
  <c r="M30" i="43" l="1"/>
  <c r="B1" i="1"/>
  <c r="B1" i="27"/>
  <c r="B1" i="26"/>
  <c r="B1" i="25"/>
  <c r="B1" i="13"/>
  <c r="G36" i="2" l="1"/>
  <c r="H54" i="39" l="1"/>
  <c r="E49" i="39"/>
  <c r="E50" i="39"/>
  <c r="E51" i="39"/>
  <c r="E52" i="39"/>
  <c r="E53" i="39"/>
  <c r="G53" i="39"/>
  <c r="I53" i="39"/>
  <c r="I52" i="39"/>
  <c r="G52" i="39"/>
  <c r="I51" i="39"/>
  <c r="G51" i="39"/>
  <c r="I50" i="39"/>
  <c r="G50" i="39"/>
  <c r="I49" i="39"/>
  <c r="G49" i="39"/>
  <c r="I48" i="39"/>
  <c r="G48" i="39"/>
  <c r="E48" i="39"/>
  <c r="I40" i="39"/>
  <c r="I41" i="39"/>
  <c r="I42" i="39"/>
  <c r="I43" i="39"/>
  <c r="I39" i="39"/>
  <c r="G40" i="39"/>
  <c r="G41" i="39"/>
  <c r="G42" i="39"/>
  <c r="G43" i="39"/>
  <c r="G39" i="39"/>
  <c r="E40" i="39"/>
  <c r="E41" i="39"/>
  <c r="E42" i="39"/>
  <c r="E43" i="39"/>
  <c r="E39" i="39"/>
  <c r="I30" i="39"/>
  <c r="I31" i="39"/>
  <c r="I32" i="39"/>
  <c r="I33" i="39"/>
  <c r="I29" i="39"/>
  <c r="G30" i="39"/>
  <c r="G31" i="39"/>
  <c r="G32" i="39"/>
  <c r="G33" i="39"/>
  <c r="G29" i="39"/>
  <c r="E30" i="39"/>
  <c r="E31" i="39"/>
  <c r="E32" i="39"/>
  <c r="E33" i="39"/>
  <c r="E29" i="39"/>
  <c r="H44" i="39"/>
  <c r="I44" i="39" s="1"/>
  <c r="F44" i="39"/>
  <c r="G44" i="39" s="1"/>
  <c r="D44" i="39"/>
  <c r="E44" i="39" s="1"/>
  <c r="D37" i="39"/>
  <c r="G47" i="39" s="1"/>
  <c r="H34" i="39"/>
  <c r="I34" i="39" s="1"/>
  <c r="F34" i="39"/>
  <c r="G34" i="39" s="1"/>
  <c r="D34" i="39"/>
  <c r="E34" i="39" s="1"/>
  <c r="D27" i="39"/>
  <c r="D17" i="39"/>
  <c r="I20" i="39"/>
  <c r="I21" i="39"/>
  <c r="I22" i="39"/>
  <c r="I23" i="39"/>
  <c r="I19" i="39"/>
  <c r="E23" i="39"/>
  <c r="G20" i="39"/>
  <c r="G21" i="39"/>
  <c r="G22" i="39"/>
  <c r="G23" i="39"/>
  <c r="G19" i="39"/>
  <c r="E19" i="39"/>
  <c r="H24" i="39"/>
  <c r="I24" i="39" s="1"/>
  <c r="F24" i="39"/>
  <c r="G24" i="39" s="1"/>
  <c r="D66" i="39"/>
  <c r="I54" i="39" l="1"/>
  <c r="G54" i="39"/>
  <c r="I45" i="39"/>
  <c r="E45" i="39"/>
  <c r="I35" i="39"/>
  <c r="E35" i="39"/>
  <c r="G45" i="39"/>
  <c r="G35" i="39"/>
  <c r="I25" i="39"/>
  <c r="G25" i="39"/>
  <c r="D69" i="39"/>
  <c r="D68" i="39"/>
  <c r="D67" i="39"/>
  <c r="F14" i="39" l="1"/>
  <c r="B14" i="39"/>
  <c r="K72" i="33" l="1"/>
  <c r="B3" i="13" l="1"/>
  <c r="B3" i="1" s="1"/>
  <c r="F3" i="37" l="1"/>
  <c r="D65" i="39"/>
  <c r="H9" i="39"/>
  <c r="G9" i="37" l="1"/>
  <c r="G10" i="37"/>
  <c r="G11" i="37"/>
  <c r="H9" i="37"/>
  <c r="H10" i="37"/>
  <c r="H11" i="37"/>
  <c r="J10" i="37"/>
  <c r="J9" i="37"/>
  <c r="I11" i="37"/>
  <c r="B2" i="2"/>
  <c r="K5" i="33" l="1"/>
  <c r="K216" i="37" l="1"/>
  <c r="J216" i="37"/>
  <c r="H24" i="38" s="1"/>
  <c r="I216" i="37"/>
  <c r="G24" i="38" s="1"/>
  <c r="H216" i="37"/>
  <c r="G216" i="37"/>
  <c r="E24" i="38" s="1"/>
  <c r="K215" i="37"/>
  <c r="J215" i="37"/>
  <c r="H22" i="38" s="1"/>
  <c r="I215" i="37"/>
  <c r="H215" i="37"/>
  <c r="F22" i="38" s="1"/>
  <c r="G215" i="37"/>
  <c r="E22" i="38" s="1"/>
  <c r="K214" i="37"/>
  <c r="K211" i="37" s="1"/>
  <c r="K210" i="37" s="1"/>
  <c r="J214" i="37"/>
  <c r="I214" i="37"/>
  <c r="H214" i="37"/>
  <c r="G214" i="37"/>
  <c r="G211" i="37" s="1"/>
  <c r="K213" i="37"/>
  <c r="J213" i="37"/>
  <c r="I213" i="37"/>
  <c r="H213" i="37"/>
  <c r="H211" i="37" s="1"/>
  <c r="G213" i="37"/>
  <c r="K212" i="37"/>
  <c r="J212" i="37"/>
  <c r="J211" i="37" s="1"/>
  <c r="I212" i="37"/>
  <c r="I211" i="37" s="1"/>
  <c r="H212" i="37"/>
  <c r="G212" i="37"/>
  <c r="K209" i="37"/>
  <c r="H86" i="38" s="1"/>
  <c r="J209" i="37"/>
  <c r="I209" i="37"/>
  <c r="H209" i="37"/>
  <c r="G209" i="37"/>
  <c r="E85" i="38" s="1"/>
  <c r="K208" i="37"/>
  <c r="K204" i="37" s="1"/>
  <c r="J208" i="37"/>
  <c r="I208" i="37"/>
  <c r="H208" i="37"/>
  <c r="G208" i="37"/>
  <c r="K207" i="37"/>
  <c r="J207" i="37"/>
  <c r="I207" i="37"/>
  <c r="H207" i="37"/>
  <c r="G207" i="37"/>
  <c r="K206" i="37"/>
  <c r="J206" i="37"/>
  <c r="I206" i="37"/>
  <c r="H206" i="37"/>
  <c r="G206" i="37"/>
  <c r="K205" i="37"/>
  <c r="J205" i="37"/>
  <c r="I205" i="37"/>
  <c r="H205" i="37"/>
  <c r="G205" i="37"/>
  <c r="K203" i="37"/>
  <c r="J203" i="37"/>
  <c r="I203" i="37"/>
  <c r="H203" i="37"/>
  <c r="G203" i="37"/>
  <c r="G199" i="37" s="1"/>
  <c r="K202" i="37"/>
  <c r="J202" i="37"/>
  <c r="I202" i="37"/>
  <c r="H202" i="37"/>
  <c r="G202" i="37"/>
  <c r="K201" i="37"/>
  <c r="J201" i="37"/>
  <c r="I201" i="37"/>
  <c r="H201" i="37"/>
  <c r="G201" i="37"/>
  <c r="K200" i="37"/>
  <c r="J200" i="37"/>
  <c r="I200" i="37"/>
  <c r="H200" i="37"/>
  <c r="G200" i="37"/>
  <c r="K198" i="37"/>
  <c r="J198" i="37"/>
  <c r="I198" i="37"/>
  <c r="G51" i="38" s="1"/>
  <c r="H198" i="37"/>
  <c r="G198" i="37"/>
  <c r="K197" i="37"/>
  <c r="J197" i="37"/>
  <c r="H50" i="38" s="1"/>
  <c r="I197" i="37"/>
  <c r="H197" i="37"/>
  <c r="G197" i="37"/>
  <c r="K196" i="37"/>
  <c r="J196" i="37"/>
  <c r="I196" i="37"/>
  <c r="H196" i="37"/>
  <c r="G196" i="37"/>
  <c r="K195" i="37"/>
  <c r="J195" i="37"/>
  <c r="J193" i="37" s="1"/>
  <c r="I195" i="37"/>
  <c r="H195" i="37"/>
  <c r="G195" i="37"/>
  <c r="K194" i="37"/>
  <c r="J194" i="37"/>
  <c r="I194" i="37"/>
  <c r="H194" i="37"/>
  <c r="H193" i="37" s="1"/>
  <c r="G194" i="37"/>
  <c r="G193" i="37" s="1"/>
  <c r="G192" i="37" s="1"/>
  <c r="K188" i="37"/>
  <c r="J188" i="37"/>
  <c r="I188" i="37"/>
  <c r="H188" i="37"/>
  <c r="H185" i="37" s="1"/>
  <c r="G188" i="37"/>
  <c r="K187" i="37"/>
  <c r="J187" i="37"/>
  <c r="I187" i="37"/>
  <c r="I185" i="37" s="1"/>
  <c r="H187" i="37"/>
  <c r="G187" i="37"/>
  <c r="K186" i="37"/>
  <c r="K185" i="37" s="1"/>
  <c r="J186" i="37"/>
  <c r="I186" i="37"/>
  <c r="H186" i="37"/>
  <c r="G186" i="37"/>
  <c r="K184" i="37"/>
  <c r="J184" i="37"/>
  <c r="I184" i="37"/>
  <c r="H184" i="37"/>
  <c r="G184" i="37"/>
  <c r="K183" i="37"/>
  <c r="J183" i="37"/>
  <c r="I183" i="37"/>
  <c r="G19" i="38" s="1"/>
  <c r="H183" i="37"/>
  <c r="G183" i="37"/>
  <c r="K182" i="37"/>
  <c r="J182" i="37"/>
  <c r="I182" i="37"/>
  <c r="H182" i="37"/>
  <c r="G182" i="37"/>
  <c r="K181" i="37"/>
  <c r="J181" i="37"/>
  <c r="I181" i="37"/>
  <c r="H181" i="37"/>
  <c r="G181" i="37"/>
  <c r="K180" i="37"/>
  <c r="K179" i="37" s="1"/>
  <c r="K178" i="37" s="1"/>
  <c r="J180" i="37"/>
  <c r="I180" i="37"/>
  <c r="H180" i="37"/>
  <c r="H179" i="37" s="1"/>
  <c r="G180" i="37"/>
  <c r="G179" i="37" s="1"/>
  <c r="E18" i="38" s="1"/>
  <c r="K177" i="37"/>
  <c r="J177" i="37"/>
  <c r="I177" i="37"/>
  <c r="H177" i="37"/>
  <c r="G177" i="37"/>
  <c r="K176" i="37"/>
  <c r="J176" i="37"/>
  <c r="I176" i="37"/>
  <c r="H176" i="37"/>
  <c r="G176" i="37"/>
  <c r="K175" i="37"/>
  <c r="J175" i="37"/>
  <c r="I175" i="37"/>
  <c r="H175" i="37"/>
  <c r="G175" i="37"/>
  <c r="K174" i="37"/>
  <c r="J174" i="37"/>
  <c r="I174" i="37"/>
  <c r="H174" i="37"/>
  <c r="G174" i="37"/>
  <c r="K172" i="37"/>
  <c r="J172" i="37"/>
  <c r="I172" i="37"/>
  <c r="H172" i="37"/>
  <c r="G172" i="37"/>
  <c r="K171" i="37"/>
  <c r="J171" i="37"/>
  <c r="I171" i="37"/>
  <c r="H171" i="37"/>
  <c r="G171" i="37"/>
  <c r="K170" i="37"/>
  <c r="J170" i="37"/>
  <c r="I170" i="37"/>
  <c r="H170" i="37"/>
  <c r="G170" i="37"/>
  <c r="K169" i="37"/>
  <c r="J169" i="37"/>
  <c r="I169" i="37"/>
  <c r="H169" i="37"/>
  <c r="G169" i="37"/>
  <c r="K168" i="37"/>
  <c r="J168" i="37"/>
  <c r="I168" i="37"/>
  <c r="H168" i="37"/>
  <c r="G168" i="37"/>
  <c r="K167" i="37"/>
  <c r="J167" i="37"/>
  <c r="I167" i="37"/>
  <c r="H167" i="37"/>
  <c r="G167" i="37"/>
  <c r="K166" i="37"/>
  <c r="J166" i="37"/>
  <c r="I166" i="37"/>
  <c r="H166" i="37"/>
  <c r="G166" i="37"/>
  <c r="K165" i="37"/>
  <c r="J165" i="37"/>
  <c r="I165" i="37"/>
  <c r="H165" i="37"/>
  <c r="G165" i="37"/>
  <c r="K157" i="37"/>
  <c r="J157" i="37"/>
  <c r="I157" i="37"/>
  <c r="H157" i="37"/>
  <c r="G157" i="37"/>
  <c r="K156" i="37"/>
  <c r="J156" i="37"/>
  <c r="I156" i="37"/>
  <c r="I154" i="37" s="1"/>
  <c r="H156" i="37"/>
  <c r="G156" i="37"/>
  <c r="K155" i="37"/>
  <c r="J155" i="37"/>
  <c r="I155" i="37"/>
  <c r="H155" i="37"/>
  <c r="G155" i="37"/>
  <c r="K153" i="37"/>
  <c r="J153" i="37"/>
  <c r="I153" i="37"/>
  <c r="H153" i="37"/>
  <c r="G153" i="37"/>
  <c r="K152" i="37"/>
  <c r="J152" i="37"/>
  <c r="I152" i="37"/>
  <c r="H152" i="37"/>
  <c r="G152" i="37"/>
  <c r="K151" i="37"/>
  <c r="J151" i="37"/>
  <c r="I151" i="37"/>
  <c r="H151" i="37"/>
  <c r="G151" i="37"/>
  <c r="K150" i="37"/>
  <c r="J150" i="37"/>
  <c r="I150" i="37"/>
  <c r="H150" i="37"/>
  <c r="G150" i="37"/>
  <c r="K149" i="37"/>
  <c r="J149" i="37"/>
  <c r="I149" i="37"/>
  <c r="H149" i="37"/>
  <c r="G149" i="37"/>
  <c r="K147" i="37"/>
  <c r="J147" i="37"/>
  <c r="I147" i="37"/>
  <c r="H147" i="37"/>
  <c r="G147" i="37"/>
  <c r="K146" i="37"/>
  <c r="J146" i="37"/>
  <c r="I146" i="37"/>
  <c r="H146" i="37"/>
  <c r="G146" i="37"/>
  <c r="K145" i="37"/>
  <c r="J145" i="37"/>
  <c r="I145" i="37"/>
  <c r="H145" i="37"/>
  <c r="G145" i="37"/>
  <c r="K144" i="37"/>
  <c r="J144" i="37"/>
  <c r="I144" i="37"/>
  <c r="H144" i="37"/>
  <c r="G144" i="37"/>
  <c r="K143" i="37"/>
  <c r="J143" i="37"/>
  <c r="I143" i="37"/>
  <c r="H143" i="37"/>
  <c r="G143" i="37"/>
  <c r="K142" i="37"/>
  <c r="J142" i="37"/>
  <c r="I142" i="37"/>
  <c r="H142" i="37"/>
  <c r="G142" i="37"/>
  <c r="K141" i="37"/>
  <c r="J141" i="37"/>
  <c r="I141" i="37"/>
  <c r="H141" i="37"/>
  <c r="G141" i="37"/>
  <c r="K136" i="37"/>
  <c r="J136" i="37"/>
  <c r="I136" i="37"/>
  <c r="H136" i="37"/>
  <c r="G136" i="37"/>
  <c r="K135" i="37"/>
  <c r="J135" i="37"/>
  <c r="I135" i="37"/>
  <c r="H135" i="37"/>
  <c r="H133" i="37" s="1"/>
  <c r="G135" i="37"/>
  <c r="K134" i="37"/>
  <c r="J134" i="37"/>
  <c r="I134" i="37"/>
  <c r="H134" i="37"/>
  <c r="G134" i="37"/>
  <c r="K132" i="37"/>
  <c r="J132" i="37"/>
  <c r="J130" i="37" s="1"/>
  <c r="I132" i="37"/>
  <c r="H132" i="37"/>
  <c r="G132" i="37"/>
  <c r="K131" i="37"/>
  <c r="K130" i="37" s="1"/>
  <c r="J131" i="37"/>
  <c r="I131" i="37"/>
  <c r="H131" i="37"/>
  <c r="G131" i="37"/>
  <c r="G130" i="37" s="1"/>
  <c r="K129" i="37"/>
  <c r="J129" i="37"/>
  <c r="I129" i="37"/>
  <c r="H129" i="37"/>
  <c r="G129" i="37"/>
  <c r="K128" i="37"/>
  <c r="J128" i="37"/>
  <c r="I128" i="37"/>
  <c r="H128" i="37"/>
  <c r="G128" i="37"/>
  <c r="K127" i="37"/>
  <c r="J127" i="37"/>
  <c r="I127" i="37"/>
  <c r="H127" i="37"/>
  <c r="G127" i="37"/>
  <c r="K126" i="37"/>
  <c r="J126" i="37"/>
  <c r="I126" i="37"/>
  <c r="H126" i="37"/>
  <c r="G126" i="37"/>
  <c r="K125" i="37"/>
  <c r="J125" i="37"/>
  <c r="I125" i="37"/>
  <c r="H125" i="37"/>
  <c r="G125" i="37"/>
  <c r="K124" i="37"/>
  <c r="J124" i="37"/>
  <c r="I124" i="37"/>
  <c r="H124" i="37"/>
  <c r="G124" i="37"/>
  <c r="K123" i="37"/>
  <c r="J123" i="37"/>
  <c r="I123" i="37"/>
  <c r="H123" i="37"/>
  <c r="G123" i="37"/>
  <c r="K122" i="37"/>
  <c r="J122" i="37"/>
  <c r="I122" i="37"/>
  <c r="H122" i="37"/>
  <c r="G122" i="37"/>
  <c r="K114" i="37"/>
  <c r="J114" i="37"/>
  <c r="I114" i="37"/>
  <c r="H114" i="37"/>
  <c r="G114" i="37"/>
  <c r="K113" i="37"/>
  <c r="J113" i="37"/>
  <c r="I113" i="37"/>
  <c r="H113" i="37"/>
  <c r="G113" i="37"/>
  <c r="K112" i="37"/>
  <c r="J112" i="37"/>
  <c r="I112" i="37"/>
  <c r="H112" i="37"/>
  <c r="G112" i="37"/>
  <c r="K111" i="37"/>
  <c r="J111" i="37"/>
  <c r="I111" i="37"/>
  <c r="H111" i="37"/>
  <c r="G111" i="37"/>
  <c r="K110" i="37"/>
  <c r="J110" i="37"/>
  <c r="I110" i="37"/>
  <c r="H110" i="37"/>
  <c r="G110" i="37"/>
  <c r="K108" i="37"/>
  <c r="J108" i="37"/>
  <c r="I108" i="37"/>
  <c r="H108" i="37"/>
  <c r="G108" i="37"/>
  <c r="K107" i="37"/>
  <c r="J107" i="37"/>
  <c r="I107" i="37"/>
  <c r="H107" i="37"/>
  <c r="G107" i="37"/>
  <c r="K106" i="37"/>
  <c r="J106" i="37"/>
  <c r="I106" i="37"/>
  <c r="H106" i="37"/>
  <c r="G106" i="37"/>
  <c r="K105" i="37"/>
  <c r="J105" i="37"/>
  <c r="I105" i="37"/>
  <c r="H105" i="37"/>
  <c r="G105" i="37"/>
  <c r="K104" i="37"/>
  <c r="J104" i="37"/>
  <c r="I104" i="37"/>
  <c r="H104" i="37"/>
  <c r="G104" i="37"/>
  <c r="K94" i="37"/>
  <c r="J94" i="37"/>
  <c r="J92" i="37" s="1"/>
  <c r="I94" i="37"/>
  <c r="H94" i="37"/>
  <c r="G94" i="37"/>
  <c r="K93" i="37"/>
  <c r="K92" i="37" s="1"/>
  <c r="J93" i="37"/>
  <c r="I93" i="37"/>
  <c r="H93" i="37"/>
  <c r="G93" i="37"/>
  <c r="G92" i="37" s="1"/>
  <c r="K90" i="37"/>
  <c r="J90" i="37"/>
  <c r="I90" i="37"/>
  <c r="H90" i="37"/>
  <c r="G90" i="37"/>
  <c r="K84" i="37"/>
  <c r="J84" i="37"/>
  <c r="I84" i="37"/>
  <c r="I82" i="37" s="1"/>
  <c r="H84" i="37"/>
  <c r="G84" i="37"/>
  <c r="K83" i="37"/>
  <c r="H34" i="38" s="1"/>
  <c r="J83" i="37"/>
  <c r="G34" i="38" s="1"/>
  <c r="I83" i="37"/>
  <c r="F34" i="38" s="1"/>
  <c r="H83" i="37"/>
  <c r="E34" i="38" s="1"/>
  <c r="G83" i="37"/>
  <c r="K79" i="37"/>
  <c r="H33" i="38" s="1"/>
  <c r="J79" i="37"/>
  <c r="G33" i="38" s="1"/>
  <c r="I79" i="37"/>
  <c r="F33" i="38" s="1"/>
  <c r="H79" i="37"/>
  <c r="E33" i="38" s="1"/>
  <c r="G79" i="37"/>
  <c r="K76" i="37"/>
  <c r="J76" i="37"/>
  <c r="I76" i="37"/>
  <c r="H76" i="37"/>
  <c r="G76" i="37"/>
  <c r="K75" i="37"/>
  <c r="J75" i="37"/>
  <c r="I75" i="37"/>
  <c r="H75" i="37"/>
  <c r="G75" i="37"/>
  <c r="K74" i="37"/>
  <c r="H12" i="38" s="1"/>
  <c r="J74" i="37"/>
  <c r="I74" i="37"/>
  <c r="F12" i="38" s="1"/>
  <c r="H74" i="37"/>
  <c r="E12" i="38" s="1"/>
  <c r="G74" i="37"/>
  <c r="K73" i="37"/>
  <c r="H11" i="38" s="1"/>
  <c r="J73" i="37"/>
  <c r="G11" i="38" s="1"/>
  <c r="I73" i="37"/>
  <c r="F11" i="38" s="1"/>
  <c r="H73" i="37"/>
  <c r="E11" i="38" s="1"/>
  <c r="G73" i="37"/>
  <c r="K72" i="37"/>
  <c r="H10" i="38" s="1"/>
  <c r="J72" i="37"/>
  <c r="G10" i="38" s="1"/>
  <c r="I72" i="37"/>
  <c r="F10" i="38" s="1"/>
  <c r="H72" i="37"/>
  <c r="G72" i="37"/>
  <c r="K71" i="37"/>
  <c r="H53" i="38" s="1"/>
  <c r="J71" i="37"/>
  <c r="G53" i="38" s="1"/>
  <c r="I71" i="37"/>
  <c r="H71" i="37"/>
  <c r="E53" i="38" s="1"/>
  <c r="G71" i="37"/>
  <c r="K70" i="37"/>
  <c r="H52" i="38" s="1"/>
  <c r="J70" i="37"/>
  <c r="G52" i="38" s="1"/>
  <c r="I70" i="37"/>
  <c r="F52" i="38" s="1"/>
  <c r="H70" i="37"/>
  <c r="E52" i="38" s="1"/>
  <c r="G70" i="37"/>
  <c r="K68" i="37"/>
  <c r="H81" i="38" s="1"/>
  <c r="J68" i="37"/>
  <c r="G81" i="38" s="1"/>
  <c r="I68" i="37"/>
  <c r="F81" i="38" s="1"/>
  <c r="H68" i="37"/>
  <c r="E81" i="38" s="1"/>
  <c r="G68" i="37"/>
  <c r="K67" i="37"/>
  <c r="H80" i="38" s="1"/>
  <c r="J67" i="37"/>
  <c r="G80" i="38" s="1"/>
  <c r="I67" i="37"/>
  <c r="H67" i="37"/>
  <c r="E80" i="38" s="1"/>
  <c r="G67" i="37"/>
  <c r="K66" i="37"/>
  <c r="H79" i="38" s="1"/>
  <c r="J66" i="37"/>
  <c r="I66" i="37"/>
  <c r="F79" i="38" s="1"/>
  <c r="H66" i="37"/>
  <c r="E79" i="38" s="1"/>
  <c r="G66" i="37"/>
  <c r="K65" i="37"/>
  <c r="J65" i="37"/>
  <c r="G78" i="38" s="1"/>
  <c r="I65" i="37"/>
  <c r="F78" i="38" s="1"/>
  <c r="H65" i="37"/>
  <c r="E78" i="38" s="1"/>
  <c r="G65" i="37"/>
  <c r="K64" i="37"/>
  <c r="H77" i="38" s="1"/>
  <c r="J64" i="37"/>
  <c r="G77" i="38" s="1"/>
  <c r="I64" i="37"/>
  <c r="F77" i="38" s="1"/>
  <c r="H64" i="37"/>
  <c r="E77" i="38" s="1"/>
  <c r="G64" i="37"/>
  <c r="K60" i="37"/>
  <c r="J60" i="37"/>
  <c r="I60" i="37"/>
  <c r="H60" i="37"/>
  <c r="G60" i="37"/>
  <c r="K59" i="37"/>
  <c r="J59" i="37"/>
  <c r="I59" i="37"/>
  <c r="H59" i="37"/>
  <c r="G59" i="37"/>
  <c r="K58" i="37"/>
  <c r="J58" i="37"/>
  <c r="J57" i="37" s="1"/>
  <c r="G9" i="38" s="1"/>
  <c r="I58" i="37"/>
  <c r="H58" i="37"/>
  <c r="G58" i="37"/>
  <c r="K56" i="37"/>
  <c r="K54" i="37" s="1"/>
  <c r="J56" i="37"/>
  <c r="I56" i="37"/>
  <c r="H56" i="37"/>
  <c r="G56" i="37"/>
  <c r="G54" i="37" s="1"/>
  <c r="K55" i="37"/>
  <c r="J55" i="37"/>
  <c r="I55" i="37"/>
  <c r="H55" i="37"/>
  <c r="G55" i="37"/>
  <c r="K53" i="37"/>
  <c r="J53" i="37"/>
  <c r="I53" i="37"/>
  <c r="H53" i="37"/>
  <c r="G53" i="37"/>
  <c r="K50" i="37"/>
  <c r="J50" i="37"/>
  <c r="I50" i="37"/>
  <c r="H50" i="37"/>
  <c r="G50" i="37"/>
  <c r="K49" i="37"/>
  <c r="K48" i="37" s="1"/>
  <c r="J49" i="37"/>
  <c r="I49" i="37"/>
  <c r="H49" i="37"/>
  <c r="G49" i="37"/>
  <c r="G48" i="37" s="1"/>
  <c r="K47" i="37"/>
  <c r="J47" i="37"/>
  <c r="I47" i="37"/>
  <c r="H47" i="37"/>
  <c r="G47" i="37"/>
  <c r="K46" i="37"/>
  <c r="J46" i="37"/>
  <c r="I46" i="37"/>
  <c r="I45" i="37" s="1"/>
  <c r="H46" i="37"/>
  <c r="G46" i="37"/>
  <c r="K44" i="37"/>
  <c r="J44" i="37"/>
  <c r="I44" i="37"/>
  <c r="H44" i="37"/>
  <c r="G44" i="37"/>
  <c r="K43" i="37"/>
  <c r="J43" i="37"/>
  <c r="I43" i="37"/>
  <c r="H43" i="37"/>
  <c r="G43" i="37"/>
  <c r="K42" i="37"/>
  <c r="J42" i="37"/>
  <c r="I42" i="37"/>
  <c r="H42" i="37"/>
  <c r="G42" i="37"/>
  <c r="K38" i="37"/>
  <c r="J38" i="37"/>
  <c r="I38" i="37"/>
  <c r="H38" i="37"/>
  <c r="G38" i="37"/>
  <c r="K37" i="37"/>
  <c r="J37" i="37"/>
  <c r="I37" i="37"/>
  <c r="H37" i="37"/>
  <c r="G37" i="37"/>
  <c r="K36" i="37"/>
  <c r="J36" i="37"/>
  <c r="I36" i="37"/>
  <c r="H36" i="37"/>
  <c r="G36" i="37"/>
  <c r="K35" i="37"/>
  <c r="J35" i="37"/>
  <c r="I35" i="37"/>
  <c r="H35" i="37"/>
  <c r="G35" i="37"/>
  <c r="K33" i="37"/>
  <c r="J33" i="37"/>
  <c r="I33" i="37"/>
  <c r="H33" i="37"/>
  <c r="G33" i="37"/>
  <c r="K32" i="37"/>
  <c r="J32" i="37"/>
  <c r="I32" i="37"/>
  <c r="H32" i="37"/>
  <c r="G32" i="37"/>
  <c r="K31" i="37"/>
  <c r="J31" i="37"/>
  <c r="I31" i="37"/>
  <c r="H31" i="37"/>
  <c r="G31" i="37"/>
  <c r="K29" i="37"/>
  <c r="J29" i="37"/>
  <c r="I29" i="37"/>
  <c r="H29" i="37"/>
  <c r="G29" i="37"/>
  <c r="K28" i="37"/>
  <c r="J28" i="37"/>
  <c r="I28" i="37"/>
  <c r="H28" i="37"/>
  <c r="G28" i="37"/>
  <c r="K26" i="37"/>
  <c r="J26" i="37"/>
  <c r="I26" i="37"/>
  <c r="H26" i="37"/>
  <c r="G26" i="37"/>
  <c r="K25" i="37"/>
  <c r="J25" i="37"/>
  <c r="I25" i="37"/>
  <c r="H25" i="37"/>
  <c r="G25" i="37"/>
  <c r="K24" i="37"/>
  <c r="J24" i="37"/>
  <c r="I24" i="37"/>
  <c r="H24" i="37"/>
  <c r="G24" i="37"/>
  <c r="K18" i="37"/>
  <c r="J18" i="37"/>
  <c r="I18" i="37"/>
  <c r="H18" i="37"/>
  <c r="G18" i="37"/>
  <c r="K17" i="37"/>
  <c r="J17" i="37"/>
  <c r="I17" i="37"/>
  <c r="H17" i="37"/>
  <c r="G17" i="37"/>
  <c r="K16" i="37"/>
  <c r="J16" i="37"/>
  <c r="I16" i="37"/>
  <c r="H16" i="37"/>
  <c r="G16" i="37"/>
  <c r="K15" i="37"/>
  <c r="J15" i="37"/>
  <c r="I15" i="37"/>
  <c r="H15" i="37"/>
  <c r="G15" i="37"/>
  <c r="K14" i="37"/>
  <c r="J14" i="37"/>
  <c r="I14" i="37"/>
  <c r="H14" i="37"/>
  <c r="G14" i="37"/>
  <c r="K13" i="37"/>
  <c r="J13" i="37"/>
  <c r="I13" i="37"/>
  <c r="H13" i="37"/>
  <c r="G13" i="37"/>
  <c r="K11" i="37"/>
  <c r="J11" i="37"/>
  <c r="K10" i="37"/>
  <c r="I10" i="37"/>
  <c r="K9" i="37"/>
  <c r="I9" i="37"/>
  <c r="I193" i="37"/>
  <c r="G185" i="37"/>
  <c r="K87" i="37"/>
  <c r="J87" i="37"/>
  <c r="I87" i="37"/>
  <c r="H87" i="37"/>
  <c r="H57" i="37"/>
  <c r="E9" i="38" s="1"/>
  <c r="K27" i="37"/>
  <c r="I27" i="37"/>
  <c r="G27" i="37"/>
  <c r="J5" i="34"/>
  <c r="K5" i="34"/>
  <c r="I5" i="33"/>
  <c r="I48" i="37" l="1"/>
  <c r="J54" i="37"/>
  <c r="I92" i="37"/>
  <c r="I130" i="37"/>
  <c r="G133" i="37"/>
  <c r="K133" i="37"/>
  <c r="H19" i="38"/>
  <c r="F27" i="39"/>
  <c r="F17" i="39"/>
  <c r="F37" i="39"/>
  <c r="H47" i="39" s="1"/>
  <c r="H5" i="33"/>
  <c r="G178" i="37"/>
  <c r="G50" i="38"/>
  <c r="F51" i="38"/>
  <c r="G12" i="37"/>
  <c r="H23" i="37"/>
  <c r="J27" i="37"/>
  <c r="K30" i="37"/>
  <c r="J34" i="37"/>
  <c r="H45" i="37"/>
  <c r="F21" i="38"/>
  <c r="F20" i="38" s="1"/>
  <c r="H26" i="38"/>
  <c r="E23" i="38"/>
  <c r="F32" i="38"/>
  <c r="J82" i="37"/>
  <c r="G60" i="38"/>
  <c r="E62" i="38"/>
  <c r="H63" i="38"/>
  <c r="I133" i="37"/>
  <c r="G67" i="38"/>
  <c r="E68" i="38"/>
  <c r="G72" i="38"/>
  <c r="H21" i="38"/>
  <c r="H20" i="38" s="1"/>
  <c r="E21" i="38"/>
  <c r="E20" i="38" s="1"/>
  <c r="E58" i="38"/>
  <c r="H121" i="37"/>
  <c r="H59" i="38"/>
  <c r="F61" i="38"/>
  <c r="G64" i="38"/>
  <c r="E28" i="38"/>
  <c r="H66" i="38"/>
  <c r="F69" i="38"/>
  <c r="H71" i="38"/>
  <c r="F70" i="38"/>
  <c r="K199" i="37"/>
  <c r="G204" i="37"/>
  <c r="H210" i="37"/>
  <c r="H164" i="37"/>
  <c r="H163" i="37" s="1"/>
  <c r="G41" i="38"/>
  <c r="H42" i="38"/>
  <c r="G43" i="38"/>
  <c r="G173" i="37"/>
  <c r="H46" i="38"/>
  <c r="G47" i="38"/>
  <c r="I179" i="37"/>
  <c r="H204" i="37"/>
  <c r="E27" i="38"/>
  <c r="G42" i="38"/>
  <c r="F43" i="38"/>
  <c r="G46" i="38"/>
  <c r="F47" i="38"/>
  <c r="K193" i="37"/>
  <c r="K192" i="37" s="1"/>
  <c r="J199" i="37"/>
  <c r="H15" i="38" s="1"/>
  <c r="I199" i="37"/>
  <c r="G15" i="38" s="1"/>
  <c r="H199" i="37"/>
  <c r="E15" i="38" s="1"/>
  <c r="I8" i="37"/>
  <c r="K8" i="37"/>
  <c r="J12" i="37"/>
  <c r="G23" i="37"/>
  <c r="K23" i="37"/>
  <c r="K22" i="37" s="1"/>
  <c r="J23" i="37"/>
  <c r="H27" i="37"/>
  <c r="J30" i="37"/>
  <c r="H34" i="37"/>
  <c r="G34" i="37"/>
  <c r="K34" i="37"/>
  <c r="H41" i="37"/>
  <c r="G41" i="37"/>
  <c r="K41" i="37"/>
  <c r="J41" i="37"/>
  <c r="H48" i="37"/>
  <c r="G57" i="37"/>
  <c r="K57" i="37"/>
  <c r="H9" i="38" s="1"/>
  <c r="G32" i="38"/>
  <c r="G82" i="37"/>
  <c r="K82" i="37"/>
  <c r="H92" i="37"/>
  <c r="G103" i="37"/>
  <c r="G115" i="37" s="1"/>
  <c r="G117" i="37" s="1"/>
  <c r="K103" i="37"/>
  <c r="I109" i="37"/>
  <c r="F58" i="38"/>
  <c r="E59" i="38"/>
  <c r="H60" i="38"/>
  <c r="G61" i="38"/>
  <c r="F62" i="38"/>
  <c r="E63" i="38"/>
  <c r="H64" i="38"/>
  <c r="H130" i="37"/>
  <c r="E26" i="38" s="1"/>
  <c r="F28" i="38"/>
  <c r="E66" i="38"/>
  <c r="H67" i="38"/>
  <c r="G69" i="38"/>
  <c r="F68" i="38"/>
  <c r="E71" i="38"/>
  <c r="H72" i="38"/>
  <c r="G70" i="38"/>
  <c r="G148" i="37"/>
  <c r="K148" i="37"/>
  <c r="F27" i="38"/>
  <c r="H154" i="37"/>
  <c r="F29" i="38" s="1"/>
  <c r="J8" i="37"/>
  <c r="K12" i="37"/>
  <c r="G30" i="37"/>
  <c r="I34" i="37"/>
  <c r="J45" i="37"/>
  <c r="J48" i="37"/>
  <c r="G109" i="37"/>
  <c r="H41" i="38"/>
  <c r="G22" i="38"/>
  <c r="F24" i="38"/>
  <c r="F45" i="38"/>
  <c r="I178" i="37"/>
  <c r="G35" i="38"/>
  <c r="J204" i="37"/>
  <c r="H16" i="38" s="1"/>
  <c r="I204" i="37"/>
  <c r="F85" i="38"/>
  <c r="E86" i="38"/>
  <c r="E8" i="38"/>
  <c r="H32" i="38"/>
  <c r="H82" i="37"/>
  <c r="H103" i="37"/>
  <c r="J103" i="37"/>
  <c r="I103" i="37"/>
  <c r="G58" i="38"/>
  <c r="F59" i="38"/>
  <c r="E60" i="38"/>
  <c r="H61" i="38"/>
  <c r="G62" i="38"/>
  <c r="F63" i="38"/>
  <c r="E64" i="38"/>
  <c r="G28" i="38"/>
  <c r="F66" i="38"/>
  <c r="E67" i="38"/>
  <c r="H69" i="38"/>
  <c r="G68" i="38"/>
  <c r="F71" i="38"/>
  <c r="E72" i="38"/>
  <c r="H70" i="38"/>
  <c r="G27" i="38"/>
  <c r="E42" i="38"/>
  <c r="H43" i="38"/>
  <c r="G45" i="38"/>
  <c r="E46" i="38"/>
  <c r="H47" i="38"/>
  <c r="J179" i="37"/>
  <c r="E19" i="38"/>
  <c r="E17" i="38" s="1"/>
  <c r="H35" i="38"/>
  <c r="E50" i="38"/>
  <c r="H51" i="38"/>
  <c r="G85" i="38"/>
  <c r="F86" i="38"/>
  <c r="G210" i="37"/>
  <c r="H63" i="37"/>
  <c r="G26" i="38"/>
  <c r="J192" i="37"/>
  <c r="I23" i="37"/>
  <c r="I41" i="37"/>
  <c r="F8" i="38"/>
  <c r="I57" i="37"/>
  <c r="F9" i="38" s="1"/>
  <c r="I69" i="37"/>
  <c r="F53" i="38"/>
  <c r="H69" i="37"/>
  <c r="E10" i="38"/>
  <c r="G69" i="37"/>
  <c r="J69" i="37"/>
  <c r="G12" i="38"/>
  <c r="E32" i="38"/>
  <c r="H109" i="37"/>
  <c r="K109" i="37"/>
  <c r="J109" i="37"/>
  <c r="G121" i="37"/>
  <c r="K121" i="37"/>
  <c r="H58" i="38"/>
  <c r="J121" i="37"/>
  <c r="G59" i="38"/>
  <c r="I121" i="37"/>
  <c r="F60" i="38"/>
  <c r="E61" i="38"/>
  <c r="H62" i="38"/>
  <c r="G63" i="38"/>
  <c r="F64" i="38"/>
  <c r="H28" i="38"/>
  <c r="G66" i="38"/>
  <c r="I140" i="37"/>
  <c r="F67" i="38"/>
  <c r="H140" i="37"/>
  <c r="E69" i="38"/>
  <c r="G140" i="37"/>
  <c r="K140" i="37"/>
  <c r="H68" i="38"/>
  <c r="G71" i="38"/>
  <c r="F72" i="38"/>
  <c r="E70" i="38"/>
  <c r="H27" i="38"/>
  <c r="J154" i="37"/>
  <c r="G29" i="38" s="1"/>
  <c r="G164" i="37"/>
  <c r="K164" i="37"/>
  <c r="K163" i="37" s="1"/>
  <c r="J164" i="37"/>
  <c r="I164" i="37"/>
  <c r="E41" i="38"/>
  <c r="F42" i="38"/>
  <c r="E43" i="38"/>
  <c r="J173" i="37"/>
  <c r="H45" i="38"/>
  <c r="I173" i="37"/>
  <c r="F46" i="38"/>
  <c r="H173" i="37"/>
  <c r="E47" i="38"/>
  <c r="F19" i="38"/>
  <c r="E35" i="38"/>
  <c r="J185" i="37"/>
  <c r="H23" i="38" s="1"/>
  <c r="F23" i="38"/>
  <c r="F50" i="38"/>
  <c r="E51" i="38"/>
  <c r="G86" i="38"/>
  <c r="H85" i="38"/>
  <c r="H8" i="38"/>
  <c r="J140" i="37"/>
  <c r="K173" i="37"/>
  <c r="I192" i="37"/>
  <c r="G49" i="38"/>
  <c r="G48" i="38" s="1"/>
  <c r="J210" i="37"/>
  <c r="I210" i="37"/>
  <c r="G21" i="38"/>
  <c r="G20" i="38" s="1"/>
  <c r="H8" i="37"/>
  <c r="H7" i="37" s="1"/>
  <c r="H19" i="37" s="1"/>
  <c r="I12" i="37"/>
  <c r="H12" i="37"/>
  <c r="I30" i="37"/>
  <c r="H30" i="37"/>
  <c r="G45" i="37"/>
  <c r="K45" i="37"/>
  <c r="G8" i="38"/>
  <c r="I54" i="37"/>
  <c r="H54" i="37"/>
  <c r="E76" i="38"/>
  <c r="G63" i="37"/>
  <c r="K63" i="37"/>
  <c r="H78" i="38"/>
  <c r="H76" i="38" s="1"/>
  <c r="J63" i="37"/>
  <c r="G79" i="38"/>
  <c r="G76" i="38" s="1"/>
  <c r="I63" i="37"/>
  <c r="F80" i="38"/>
  <c r="F76" i="38" s="1"/>
  <c r="J133" i="37"/>
  <c r="H148" i="37"/>
  <c r="E25" i="38" s="1"/>
  <c r="J148" i="37"/>
  <c r="I148" i="37"/>
  <c r="I158" i="37" s="1"/>
  <c r="G154" i="37"/>
  <c r="K154" i="37"/>
  <c r="H29" i="38" s="1"/>
  <c r="F41" i="38"/>
  <c r="E45" i="38"/>
  <c r="H178" i="37"/>
  <c r="F18" i="38"/>
  <c r="F35" i="38"/>
  <c r="H192" i="37"/>
  <c r="F49" i="38"/>
  <c r="G217" i="37"/>
  <c r="E49" i="38"/>
  <c r="I5" i="34"/>
  <c r="K189" i="37"/>
  <c r="G137" i="37"/>
  <c r="J137" i="37"/>
  <c r="I115" i="37"/>
  <c r="I117" i="37" s="1"/>
  <c r="G8" i="37"/>
  <c r="J158" i="37"/>
  <c r="I1" i="1"/>
  <c r="I1" i="25"/>
  <c r="H4" i="25" s="1"/>
  <c r="I1" i="27"/>
  <c r="H4" i="27" s="1"/>
  <c r="I5" i="27"/>
  <c r="H82" i="27"/>
  <c r="F82" i="27"/>
  <c r="H81" i="27"/>
  <c r="F81" i="27"/>
  <c r="F4" i="27"/>
  <c r="D4" i="27"/>
  <c r="H263" i="36"/>
  <c r="K214" i="36"/>
  <c r="J214" i="36"/>
  <c r="I214" i="36"/>
  <c r="I213" i="36" s="1"/>
  <c r="I220" i="36" s="1"/>
  <c r="H214" i="36"/>
  <c r="G214" i="36"/>
  <c r="K213" i="36"/>
  <c r="J213" i="36"/>
  <c r="H213" i="36"/>
  <c r="G213" i="36"/>
  <c r="K207" i="36"/>
  <c r="J207" i="36"/>
  <c r="I207" i="36"/>
  <c r="H207" i="36"/>
  <c r="G207" i="36"/>
  <c r="K202" i="36"/>
  <c r="J202" i="36"/>
  <c r="I202" i="36"/>
  <c r="H202" i="36"/>
  <c r="G202" i="36"/>
  <c r="K196" i="36"/>
  <c r="J196" i="36"/>
  <c r="I196" i="36"/>
  <c r="I195" i="36" s="1"/>
  <c r="H196" i="36"/>
  <c r="G196" i="36"/>
  <c r="K195" i="36"/>
  <c r="J195" i="36"/>
  <c r="H195" i="36"/>
  <c r="G195" i="36"/>
  <c r="K188" i="36"/>
  <c r="J188" i="36"/>
  <c r="I188" i="36"/>
  <c r="H188" i="36"/>
  <c r="G188" i="36"/>
  <c r="K182" i="36"/>
  <c r="K181" i="36" s="1"/>
  <c r="J182" i="36"/>
  <c r="I182" i="36"/>
  <c r="I181" i="36" s="1"/>
  <c r="H182" i="36"/>
  <c r="G182" i="36"/>
  <c r="J181" i="36"/>
  <c r="H181" i="36"/>
  <c r="G181" i="36"/>
  <c r="K176" i="36"/>
  <c r="J176" i="36"/>
  <c r="I176" i="36"/>
  <c r="H176" i="36"/>
  <c r="G176" i="36"/>
  <c r="K167" i="36"/>
  <c r="J167" i="36"/>
  <c r="I167" i="36"/>
  <c r="I166" i="36" s="1"/>
  <c r="H167" i="36"/>
  <c r="H166" i="36" s="1"/>
  <c r="G167" i="36"/>
  <c r="K166" i="36"/>
  <c r="J166" i="36"/>
  <c r="G166" i="36"/>
  <c r="G192" i="36" s="1"/>
  <c r="G161" i="36"/>
  <c r="K157" i="36"/>
  <c r="J157" i="36"/>
  <c r="I157" i="36"/>
  <c r="H157" i="36"/>
  <c r="H161" i="36" s="1"/>
  <c r="G157" i="36"/>
  <c r="K151" i="36"/>
  <c r="J151" i="36"/>
  <c r="I151" i="36"/>
  <c r="H151" i="36"/>
  <c r="G151" i="36"/>
  <c r="K143" i="36"/>
  <c r="K259" i="36" s="1"/>
  <c r="J143" i="36"/>
  <c r="I143" i="36"/>
  <c r="H143" i="36"/>
  <c r="H259" i="36" s="1"/>
  <c r="G143" i="36"/>
  <c r="G259" i="36" s="1"/>
  <c r="G140" i="36"/>
  <c r="G260" i="36" s="1"/>
  <c r="K136" i="36"/>
  <c r="J136" i="36"/>
  <c r="I136" i="36"/>
  <c r="H136" i="36"/>
  <c r="H140" i="36" s="1"/>
  <c r="G136" i="36"/>
  <c r="K133" i="36"/>
  <c r="J133" i="36"/>
  <c r="I133" i="36"/>
  <c r="H133" i="36"/>
  <c r="G133" i="36"/>
  <c r="K124" i="36"/>
  <c r="J124" i="36"/>
  <c r="J263" i="36" s="1"/>
  <c r="I124" i="36"/>
  <c r="H124" i="36"/>
  <c r="G124" i="36"/>
  <c r="K120" i="36"/>
  <c r="K112" i="36"/>
  <c r="J112" i="36"/>
  <c r="I112" i="36"/>
  <c r="I118" i="36" s="1"/>
  <c r="H112" i="36"/>
  <c r="H118" i="36" s="1"/>
  <c r="G112" i="36"/>
  <c r="K106" i="36"/>
  <c r="K118" i="36" s="1"/>
  <c r="J106" i="36"/>
  <c r="J118" i="36" s="1"/>
  <c r="I106" i="36"/>
  <c r="H106" i="36"/>
  <c r="G106" i="36"/>
  <c r="G118" i="36" s="1"/>
  <c r="K95" i="36"/>
  <c r="J95" i="36"/>
  <c r="I95" i="36"/>
  <c r="H95" i="36"/>
  <c r="G95" i="36"/>
  <c r="K90" i="36"/>
  <c r="J90" i="36"/>
  <c r="I90" i="36"/>
  <c r="H90" i="36"/>
  <c r="K85" i="36"/>
  <c r="J85" i="36"/>
  <c r="I85" i="36"/>
  <c r="H85" i="36"/>
  <c r="G85" i="36"/>
  <c r="J72" i="36"/>
  <c r="I72" i="36"/>
  <c r="H72" i="36"/>
  <c r="G72" i="36"/>
  <c r="K66" i="36"/>
  <c r="J66" i="36"/>
  <c r="I66" i="36"/>
  <c r="H66" i="36"/>
  <c r="G66" i="36"/>
  <c r="K60" i="36"/>
  <c r="J60" i="36"/>
  <c r="I60" i="36"/>
  <c r="H60" i="36"/>
  <c r="G60" i="36"/>
  <c r="K57" i="36"/>
  <c r="J57" i="36"/>
  <c r="I57" i="36"/>
  <c r="H57" i="36"/>
  <c r="G57" i="36"/>
  <c r="K51" i="36"/>
  <c r="J51" i="36"/>
  <c r="I51" i="36"/>
  <c r="H51" i="36"/>
  <c r="G51" i="36"/>
  <c r="K48" i="36"/>
  <c r="J48" i="36"/>
  <c r="I48" i="36"/>
  <c r="H48" i="36"/>
  <c r="G48" i="36"/>
  <c r="K44" i="36"/>
  <c r="J44" i="36"/>
  <c r="I44" i="36"/>
  <c r="H44" i="36"/>
  <c r="G44" i="36"/>
  <c r="K37" i="36"/>
  <c r="J37" i="36"/>
  <c r="I37" i="36"/>
  <c r="H37" i="36"/>
  <c r="G37" i="36"/>
  <c r="K33" i="36"/>
  <c r="J33" i="36"/>
  <c r="I33" i="36"/>
  <c r="H33" i="36"/>
  <c r="G33" i="36"/>
  <c r="K30" i="36"/>
  <c r="J30" i="36"/>
  <c r="J25" i="36" s="1"/>
  <c r="I30" i="36"/>
  <c r="H30" i="36"/>
  <c r="G30" i="36"/>
  <c r="G25" i="36" s="1"/>
  <c r="K26" i="36"/>
  <c r="J26" i="36"/>
  <c r="I26" i="36"/>
  <c r="I25" i="36" s="1"/>
  <c r="H26" i="36"/>
  <c r="G26" i="36"/>
  <c r="K15" i="36"/>
  <c r="J15" i="36"/>
  <c r="I15" i="36"/>
  <c r="H15" i="36"/>
  <c r="G15" i="36"/>
  <c r="K11" i="36"/>
  <c r="K10" i="36" s="1"/>
  <c r="K22" i="36" s="1"/>
  <c r="J11" i="36"/>
  <c r="I11" i="36"/>
  <c r="I10" i="36" s="1"/>
  <c r="I22" i="36" s="1"/>
  <c r="I42" i="36" s="1"/>
  <c r="I54" i="36" s="1"/>
  <c r="H11" i="36"/>
  <c r="G11" i="36"/>
  <c r="J10" i="36"/>
  <c r="J22" i="36" s="1"/>
  <c r="G10" i="36"/>
  <c r="G22" i="36" s="1"/>
  <c r="I5" i="26"/>
  <c r="H82" i="26"/>
  <c r="F82" i="26"/>
  <c r="H81" i="26"/>
  <c r="F81" i="26"/>
  <c r="I6" i="26"/>
  <c r="H4" i="26"/>
  <c r="F4" i="26"/>
  <c r="D4" i="26"/>
  <c r="B4" i="26"/>
  <c r="K214" i="35"/>
  <c r="J214" i="35"/>
  <c r="I214" i="35"/>
  <c r="I213" i="35" s="1"/>
  <c r="H214" i="35"/>
  <c r="H213" i="35" s="1"/>
  <c r="G214" i="35"/>
  <c r="K213" i="35"/>
  <c r="J213" i="35"/>
  <c r="G213" i="35"/>
  <c r="K207" i="35"/>
  <c r="J207" i="35"/>
  <c r="I207" i="35"/>
  <c r="H207" i="35"/>
  <c r="G207" i="35"/>
  <c r="K202" i="35"/>
  <c r="J202" i="35"/>
  <c r="I202" i="35"/>
  <c r="H202" i="35"/>
  <c r="G202" i="35"/>
  <c r="K196" i="35"/>
  <c r="K195" i="35" s="1"/>
  <c r="K220" i="35" s="1"/>
  <c r="J196" i="35"/>
  <c r="J195" i="35" s="1"/>
  <c r="J220" i="35" s="1"/>
  <c r="I196" i="35"/>
  <c r="I195" i="35" s="1"/>
  <c r="H196" i="35"/>
  <c r="G196" i="35"/>
  <c r="H195" i="35"/>
  <c r="H220" i="35" s="1"/>
  <c r="G195" i="35"/>
  <c r="G220" i="35" s="1"/>
  <c r="K188" i="35"/>
  <c r="J188" i="35"/>
  <c r="I188" i="35"/>
  <c r="H188" i="35"/>
  <c r="G188" i="35"/>
  <c r="K182" i="35"/>
  <c r="J182" i="35"/>
  <c r="I182" i="35"/>
  <c r="I181" i="35" s="1"/>
  <c r="H182" i="35"/>
  <c r="H181" i="35" s="1"/>
  <c r="G182" i="35"/>
  <c r="K181" i="35"/>
  <c r="J181" i="35"/>
  <c r="G181" i="35"/>
  <c r="K176" i="35"/>
  <c r="J176" i="35"/>
  <c r="I176" i="35"/>
  <c r="H176" i="35"/>
  <c r="G176" i="35"/>
  <c r="K167" i="35"/>
  <c r="K166" i="35" s="1"/>
  <c r="K192" i="35" s="1"/>
  <c r="J167" i="35"/>
  <c r="I167" i="35"/>
  <c r="H167" i="35"/>
  <c r="H166" i="35" s="1"/>
  <c r="G167" i="35"/>
  <c r="G166" i="35" s="1"/>
  <c r="G192" i="35" s="1"/>
  <c r="J166" i="35"/>
  <c r="J192" i="35" s="1"/>
  <c r="I166" i="35"/>
  <c r="K157" i="35"/>
  <c r="J157" i="35"/>
  <c r="I157" i="35"/>
  <c r="H157" i="35"/>
  <c r="G157" i="35"/>
  <c r="K151" i="35"/>
  <c r="J151" i="35"/>
  <c r="I151" i="35"/>
  <c r="H151" i="35"/>
  <c r="H259" i="35" s="1"/>
  <c r="G151" i="35"/>
  <c r="G161" i="35" s="1"/>
  <c r="K143" i="35"/>
  <c r="J143" i="35"/>
  <c r="I143" i="35"/>
  <c r="H143" i="35"/>
  <c r="G143" i="35"/>
  <c r="G140" i="35"/>
  <c r="K136" i="35"/>
  <c r="J136" i="35"/>
  <c r="I136" i="35"/>
  <c r="H136" i="35"/>
  <c r="G136" i="35"/>
  <c r="K133" i="35"/>
  <c r="J133" i="35"/>
  <c r="I133" i="35"/>
  <c r="H133" i="35"/>
  <c r="G133" i="35"/>
  <c r="K124" i="35"/>
  <c r="K263" i="35" s="1"/>
  <c r="J124" i="35"/>
  <c r="I124" i="35"/>
  <c r="H124" i="35"/>
  <c r="H263" i="35" s="1"/>
  <c r="G124" i="35"/>
  <c r="G263" i="35" s="1"/>
  <c r="G118" i="35"/>
  <c r="G262" i="35" s="1"/>
  <c r="K112" i="35"/>
  <c r="J112" i="35"/>
  <c r="I112" i="35"/>
  <c r="H112" i="35"/>
  <c r="H118" i="35" s="1"/>
  <c r="G112" i="35"/>
  <c r="K106" i="35"/>
  <c r="K118" i="35" s="1"/>
  <c r="J106" i="35"/>
  <c r="J118" i="35" s="1"/>
  <c r="I106" i="35"/>
  <c r="H106" i="35"/>
  <c r="G106" i="35"/>
  <c r="K95" i="35"/>
  <c r="J95" i="35"/>
  <c r="I95" i="35"/>
  <c r="H95" i="35"/>
  <c r="G95" i="35"/>
  <c r="K90" i="35"/>
  <c r="J90" i="35"/>
  <c r="I90" i="35"/>
  <c r="H90" i="35"/>
  <c r="K85" i="35"/>
  <c r="J85" i="35"/>
  <c r="I85" i="35"/>
  <c r="H85" i="35"/>
  <c r="G85" i="35"/>
  <c r="J72" i="35"/>
  <c r="I72" i="35"/>
  <c r="H72" i="35"/>
  <c r="G72" i="35"/>
  <c r="K66" i="35"/>
  <c r="J66" i="35"/>
  <c r="I66" i="35"/>
  <c r="H66" i="35"/>
  <c r="G66" i="35"/>
  <c r="K60" i="35"/>
  <c r="J60" i="35"/>
  <c r="I60" i="35"/>
  <c r="H60" i="35"/>
  <c r="G60" i="35"/>
  <c r="K57" i="35"/>
  <c r="J57" i="35"/>
  <c r="I57" i="35"/>
  <c r="H57" i="35"/>
  <c r="G57" i="35"/>
  <c r="K51" i="35"/>
  <c r="J51" i="35"/>
  <c r="I51" i="35"/>
  <c r="H51" i="35"/>
  <c r="G51" i="35"/>
  <c r="K48" i="35"/>
  <c r="J48" i="35"/>
  <c r="I48" i="35"/>
  <c r="H48" i="35"/>
  <c r="G48" i="35"/>
  <c r="K44" i="35"/>
  <c r="J44" i="35"/>
  <c r="I44" i="35"/>
  <c r="H44" i="35"/>
  <c r="G44" i="35"/>
  <c r="K37" i="35"/>
  <c r="J37" i="35"/>
  <c r="I37" i="35"/>
  <c r="H37" i="35"/>
  <c r="G37" i="35"/>
  <c r="K33" i="35"/>
  <c r="J33" i="35"/>
  <c r="I33" i="35"/>
  <c r="H33" i="35"/>
  <c r="G33" i="35"/>
  <c r="K30" i="35"/>
  <c r="J30" i="35"/>
  <c r="I30" i="35"/>
  <c r="H30" i="35"/>
  <c r="G30" i="35"/>
  <c r="K26" i="35"/>
  <c r="J26" i="35"/>
  <c r="I26" i="35"/>
  <c r="I25" i="35" s="1"/>
  <c r="H26" i="35"/>
  <c r="G26" i="35"/>
  <c r="J25" i="35"/>
  <c r="G22" i="35"/>
  <c r="K15" i="35"/>
  <c r="K10" i="35" s="1"/>
  <c r="K22" i="35" s="1"/>
  <c r="J15" i="35"/>
  <c r="I15" i="35"/>
  <c r="H15" i="35"/>
  <c r="G15" i="35"/>
  <c r="G10" i="35" s="1"/>
  <c r="K11" i="35"/>
  <c r="J11" i="35"/>
  <c r="I11" i="35"/>
  <c r="I10" i="35" s="1"/>
  <c r="I22" i="35" s="1"/>
  <c r="H11" i="35"/>
  <c r="G11" i="35"/>
  <c r="J10" i="35"/>
  <c r="J22" i="35" s="1"/>
  <c r="I5" i="25"/>
  <c r="K214" i="34"/>
  <c r="K213" i="34" s="1"/>
  <c r="J214" i="34"/>
  <c r="J213" i="34" s="1"/>
  <c r="I214" i="34"/>
  <c r="I213" i="34" s="1"/>
  <c r="H214" i="34"/>
  <c r="G214" i="34"/>
  <c r="H213" i="34"/>
  <c r="G213" i="34"/>
  <c r="K207" i="34"/>
  <c r="J207" i="34"/>
  <c r="I207" i="34"/>
  <c r="H207" i="34"/>
  <c r="G207" i="34"/>
  <c r="K202" i="34"/>
  <c r="J202" i="34"/>
  <c r="I202" i="34"/>
  <c r="H202" i="34"/>
  <c r="G202" i="34"/>
  <c r="K196" i="34"/>
  <c r="J196" i="34"/>
  <c r="J195" i="34" s="1"/>
  <c r="I196" i="34"/>
  <c r="I195" i="34" s="1"/>
  <c r="H196" i="34"/>
  <c r="G196" i="34"/>
  <c r="K195" i="34"/>
  <c r="H195" i="34"/>
  <c r="G195" i="34"/>
  <c r="K188" i="34"/>
  <c r="J188" i="34"/>
  <c r="I188" i="34"/>
  <c r="H188" i="34"/>
  <c r="G188" i="34"/>
  <c r="K182" i="34"/>
  <c r="J182" i="34"/>
  <c r="I182" i="34"/>
  <c r="I181" i="34" s="1"/>
  <c r="H182" i="34"/>
  <c r="G182" i="34"/>
  <c r="K181" i="34"/>
  <c r="J181" i="34"/>
  <c r="H181" i="34"/>
  <c r="G181" i="34"/>
  <c r="K176" i="34"/>
  <c r="J176" i="34"/>
  <c r="I176" i="34"/>
  <c r="H176" i="34"/>
  <c r="G176" i="34"/>
  <c r="K167" i="34"/>
  <c r="K166" i="34" s="1"/>
  <c r="J167" i="34"/>
  <c r="J166" i="34" s="1"/>
  <c r="I167" i="34"/>
  <c r="H167" i="34"/>
  <c r="H166" i="34" s="1"/>
  <c r="G167" i="34"/>
  <c r="I166" i="34"/>
  <c r="G166" i="34"/>
  <c r="G192" i="34" s="1"/>
  <c r="K157" i="34"/>
  <c r="J157" i="34"/>
  <c r="I157" i="34"/>
  <c r="H157" i="34"/>
  <c r="G157" i="34"/>
  <c r="K151" i="34"/>
  <c r="J151" i="34"/>
  <c r="I151" i="34"/>
  <c r="H151" i="34"/>
  <c r="G151" i="34"/>
  <c r="K143" i="34"/>
  <c r="J143" i="34"/>
  <c r="I143" i="34"/>
  <c r="I259" i="34" s="1"/>
  <c r="H143" i="34"/>
  <c r="H259" i="34" s="1"/>
  <c r="G143" i="34"/>
  <c r="G161" i="34" s="1"/>
  <c r="K136" i="34"/>
  <c r="J136" i="34"/>
  <c r="I136" i="34"/>
  <c r="H136" i="34"/>
  <c r="G136" i="34"/>
  <c r="K133" i="34"/>
  <c r="K140" i="34" s="1"/>
  <c r="J133" i="34"/>
  <c r="I133" i="34"/>
  <c r="H133" i="34"/>
  <c r="G133" i="34"/>
  <c r="G140" i="34" s="1"/>
  <c r="K124" i="34"/>
  <c r="J124" i="34"/>
  <c r="I124" i="34"/>
  <c r="H124" i="34"/>
  <c r="H263" i="34" s="1"/>
  <c r="G124" i="34"/>
  <c r="K112" i="34"/>
  <c r="J112" i="34"/>
  <c r="I112" i="34"/>
  <c r="H112" i="34"/>
  <c r="G112" i="34"/>
  <c r="K106" i="34"/>
  <c r="J106" i="34"/>
  <c r="I106" i="34"/>
  <c r="I118" i="34" s="1"/>
  <c r="H106" i="34"/>
  <c r="H118" i="34" s="1"/>
  <c r="G106" i="34"/>
  <c r="K95" i="34"/>
  <c r="J95" i="34"/>
  <c r="I95" i="34"/>
  <c r="H95" i="34"/>
  <c r="G95" i="34"/>
  <c r="K90" i="34"/>
  <c r="J90" i="34"/>
  <c r="I90" i="34"/>
  <c r="H90" i="34"/>
  <c r="K85" i="34"/>
  <c r="J85" i="34"/>
  <c r="I85" i="34"/>
  <c r="H85" i="34"/>
  <c r="G85" i="34"/>
  <c r="J72" i="34"/>
  <c r="I72" i="34"/>
  <c r="H72" i="34"/>
  <c r="G72" i="34"/>
  <c r="K66" i="34"/>
  <c r="J66" i="34"/>
  <c r="I66" i="34"/>
  <c r="H66" i="34"/>
  <c r="G66" i="34"/>
  <c r="K60" i="34"/>
  <c r="J60" i="34"/>
  <c r="I60" i="34"/>
  <c r="H60" i="34"/>
  <c r="G60" i="34"/>
  <c r="K57" i="34"/>
  <c r="J57" i="34"/>
  <c r="I57" i="34"/>
  <c r="H57" i="34"/>
  <c r="G57" i="34"/>
  <c r="K51" i="34"/>
  <c r="J51" i="34"/>
  <c r="I51" i="34"/>
  <c r="H51" i="34"/>
  <c r="G51" i="34"/>
  <c r="K48" i="34"/>
  <c r="J48" i="34"/>
  <c r="I48" i="34"/>
  <c r="H48" i="34"/>
  <c r="G48" i="34"/>
  <c r="K44" i="34"/>
  <c r="J44" i="34"/>
  <c r="I44" i="34"/>
  <c r="H44" i="34"/>
  <c r="G44" i="34"/>
  <c r="K37" i="34"/>
  <c r="J37" i="34"/>
  <c r="I37" i="34"/>
  <c r="H37" i="34"/>
  <c r="G37" i="34"/>
  <c r="K33" i="34"/>
  <c r="J33" i="34"/>
  <c r="I33" i="34"/>
  <c r="H33" i="34"/>
  <c r="G33" i="34"/>
  <c r="K30" i="34"/>
  <c r="J30" i="34"/>
  <c r="I30" i="34"/>
  <c r="H30" i="34"/>
  <c r="G30" i="34"/>
  <c r="K26" i="34"/>
  <c r="J26" i="34"/>
  <c r="I26" i="34"/>
  <c r="H26" i="34"/>
  <c r="G26" i="34"/>
  <c r="K15" i="34"/>
  <c r="J15" i="34"/>
  <c r="I15" i="34"/>
  <c r="H15" i="34"/>
  <c r="H10" i="34" s="1"/>
  <c r="H22" i="34" s="1"/>
  <c r="G15" i="34"/>
  <c r="K11" i="34"/>
  <c r="K10" i="34" s="1"/>
  <c r="K22" i="34" s="1"/>
  <c r="J11" i="34"/>
  <c r="I11" i="34"/>
  <c r="H11" i="34"/>
  <c r="G11" i="34"/>
  <c r="G10" i="34" s="1"/>
  <c r="G22" i="34" s="1"/>
  <c r="H82" i="25"/>
  <c r="F82" i="25"/>
  <c r="H81" i="25"/>
  <c r="F81" i="25"/>
  <c r="I5" i="13"/>
  <c r="H4" i="13"/>
  <c r="H4" i="1" s="1"/>
  <c r="F4" i="13"/>
  <c r="F4" i="1" s="1"/>
  <c r="D4" i="13"/>
  <c r="D4" i="1" s="1"/>
  <c r="B4" i="13"/>
  <c r="B4" i="1" s="1"/>
  <c r="I6" i="13"/>
  <c r="K262" i="35" l="1"/>
  <c r="K120" i="35"/>
  <c r="J251" i="36"/>
  <c r="J252" i="36" s="1"/>
  <c r="J42" i="36"/>
  <c r="J54" i="36" s="1"/>
  <c r="J233" i="36" s="1"/>
  <c r="H260" i="36"/>
  <c r="J10" i="34"/>
  <c r="J22" i="34" s="1"/>
  <c r="H25" i="34"/>
  <c r="K192" i="34"/>
  <c r="J140" i="35"/>
  <c r="K140" i="35"/>
  <c r="G221" i="35"/>
  <c r="K221" i="35"/>
  <c r="K255" i="35" s="1"/>
  <c r="H10" i="36"/>
  <c r="H22" i="36" s="1"/>
  <c r="H25" i="36"/>
  <c r="K25" i="36"/>
  <c r="K161" i="36"/>
  <c r="K162" i="36" s="1"/>
  <c r="H220" i="36"/>
  <c r="J256" i="37"/>
  <c r="H246" i="37"/>
  <c r="H247" i="37" s="1"/>
  <c r="K256" i="37"/>
  <c r="E74" i="38"/>
  <c r="J7" i="37"/>
  <c r="J19" i="37" s="1"/>
  <c r="J246" i="37" s="1"/>
  <c r="J247" i="37" s="1"/>
  <c r="J250" i="37" s="1"/>
  <c r="J221" i="35"/>
  <c r="I25" i="34"/>
  <c r="I251" i="34" s="1"/>
  <c r="I252" i="34" s="1"/>
  <c r="J118" i="34"/>
  <c r="G263" i="34"/>
  <c r="K263" i="34"/>
  <c r="I161" i="34"/>
  <c r="I241" i="34" s="1"/>
  <c r="G259" i="35"/>
  <c r="K259" i="35"/>
  <c r="K161" i="35"/>
  <c r="H192" i="35"/>
  <c r="H221" i="35" s="1"/>
  <c r="B62" i="26"/>
  <c r="G260" i="37"/>
  <c r="I256" i="37"/>
  <c r="I137" i="37"/>
  <c r="I159" i="37" s="1"/>
  <c r="I7" i="37"/>
  <c r="I19" i="37" s="1"/>
  <c r="I251" i="37" s="1"/>
  <c r="I10" i="34"/>
  <c r="I22" i="34" s="1"/>
  <c r="I228" i="34" s="1"/>
  <c r="J25" i="34"/>
  <c r="J42" i="34" s="1"/>
  <c r="J54" i="34" s="1"/>
  <c r="G118" i="34"/>
  <c r="K118" i="34"/>
  <c r="G259" i="34"/>
  <c r="K259" i="34"/>
  <c r="K161" i="34"/>
  <c r="I220" i="34"/>
  <c r="H220" i="34"/>
  <c r="G120" i="35"/>
  <c r="I161" i="36"/>
  <c r="H192" i="36"/>
  <c r="H221" i="36" s="1"/>
  <c r="K192" i="36"/>
  <c r="I6" i="27"/>
  <c r="F11" i="27" s="1"/>
  <c r="J22" i="37"/>
  <c r="H17" i="39"/>
  <c r="H27" i="39"/>
  <c r="H37" i="39"/>
  <c r="I47" i="39" s="1"/>
  <c r="H5" i="34"/>
  <c r="H226" i="34" s="1"/>
  <c r="B4" i="27"/>
  <c r="K244" i="37"/>
  <c r="K245" i="37" s="1"/>
  <c r="K248" i="37"/>
  <c r="K249" i="37" s="1"/>
  <c r="I22" i="37"/>
  <c r="I248" i="37" s="1"/>
  <c r="I249" i="37" s="1"/>
  <c r="G7" i="37"/>
  <c r="G19" i="37" s="1"/>
  <c r="H225" i="37" s="1"/>
  <c r="E29" i="38"/>
  <c r="K115" i="37"/>
  <c r="K117" i="37" s="1"/>
  <c r="J248" i="37"/>
  <c r="J249" i="37" s="1"/>
  <c r="G22" i="37"/>
  <c r="G248" i="37" s="1"/>
  <c r="G249" i="37" s="1"/>
  <c r="K217" i="37"/>
  <c r="H49" i="38"/>
  <c r="H137" i="37"/>
  <c r="H25" i="38"/>
  <c r="H22" i="37"/>
  <c r="H244" i="37" s="1"/>
  <c r="H245" i="37" s="1"/>
  <c r="F16" i="38"/>
  <c r="H189" i="37"/>
  <c r="E48" i="38"/>
  <c r="H48" i="38"/>
  <c r="F57" i="38"/>
  <c r="K7" i="37"/>
  <c r="K19" i="37" s="1"/>
  <c r="K246" i="37" s="1"/>
  <c r="K247" i="37" s="1"/>
  <c r="K250" i="37" s="1"/>
  <c r="F15" i="38"/>
  <c r="F17" i="38"/>
  <c r="K218" i="37"/>
  <c r="E65" i="38"/>
  <c r="H44" i="38"/>
  <c r="K259" i="37"/>
  <c r="J260" i="37"/>
  <c r="H217" i="37"/>
  <c r="F48" i="38"/>
  <c r="I217" i="37"/>
  <c r="I239" i="37" s="1"/>
  <c r="I240" i="37" s="1"/>
  <c r="J217" i="37"/>
  <c r="J241" i="37" s="1"/>
  <c r="I246" i="37"/>
  <c r="I247" i="37" s="1"/>
  <c r="H115" i="37"/>
  <c r="H117" i="37" s="1"/>
  <c r="K137" i="37"/>
  <c r="K257" i="37" s="1"/>
  <c r="G158" i="37"/>
  <c r="G238" i="37" s="1"/>
  <c r="G44" i="38"/>
  <c r="H65" i="38"/>
  <c r="E57" i="38"/>
  <c r="G74" i="38"/>
  <c r="F26" i="38"/>
  <c r="E16" i="38"/>
  <c r="G259" i="37"/>
  <c r="H248" i="37"/>
  <c r="H249" i="37" s="1"/>
  <c r="H250" i="37" s="1"/>
  <c r="J244" i="37"/>
  <c r="J245" i="37" s="1"/>
  <c r="K260" i="37"/>
  <c r="H260" i="37"/>
  <c r="G256" i="37"/>
  <c r="I163" i="37"/>
  <c r="I189" i="37" s="1"/>
  <c r="G40" i="38"/>
  <c r="G39" i="38" s="1"/>
  <c r="G65" i="38"/>
  <c r="J178" i="37"/>
  <c r="H18" i="38"/>
  <c r="H17" i="38" s="1"/>
  <c r="F44" i="38"/>
  <c r="H74" i="38"/>
  <c r="I259" i="37"/>
  <c r="J115" i="37"/>
  <c r="K158" i="37"/>
  <c r="K239" i="37" s="1"/>
  <c r="H256" i="37"/>
  <c r="E44" i="38"/>
  <c r="F25" i="38"/>
  <c r="J163" i="37"/>
  <c r="H40" i="38"/>
  <c r="H39" i="38" s="1"/>
  <c r="G23" i="38"/>
  <c r="F65" i="38"/>
  <c r="G57" i="38"/>
  <c r="F40" i="38"/>
  <c r="F39" i="38" s="1"/>
  <c r="G163" i="37"/>
  <c r="G189" i="37" s="1"/>
  <c r="G218" i="37" s="1"/>
  <c r="E40" i="38"/>
  <c r="E39" i="38" s="1"/>
  <c r="H158" i="37"/>
  <c r="H159" i="37" s="1"/>
  <c r="H251" i="37"/>
  <c r="I260" i="37"/>
  <c r="G25" i="38"/>
  <c r="H57" i="38"/>
  <c r="F74" i="38"/>
  <c r="G16" i="38"/>
  <c r="G18" i="38"/>
  <c r="G17" i="38" s="1"/>
  <c r="J39" i="37"/>
  <c r="J51" i="37" s="1"/>
  <c r="J61" i="37" s="1"/>
  <c r="G6" i="38" s="1"/>
  <c r="G13" i="38" s="1"/>
  <c r="H64" i="26"/>
  <c r="B4" i="25"/>
  <c r="I6" i="25"/>
  <c r="B43" i="25" s="1"/>
  <c r="B17" i="13"/>
  <c r="B40" i="13"/>
  <c r="B53" i="13"/>
  <c r="D12" i="13"/>
  <c r="D19" i="13"/>
  <c r="D40" i="13"/>
  <c r="H11" i="13"/>
  <c r="H18" i="13"/>
  <c r="H40" i="13"/>
  <c r="H52" i="13"/>
  <c r="B42" i="13"/>
  <c r="B58" i="13"/>
  <c r="D6" i="13"/>
  <c r="D21" i="13"/>
  <c r="D42" i="13"/>
  <c r="D52" i="13"/>
  <c r="D60" i="13"/>
  <c r="H12" i="13"/>
  <c r="H19" i="13"/>
  <c r="H28" i="13"/>
  <c r="H42" i="13"/>
  <c r="H53" i="13"/>
  <c r="D4" i="25"/>
  <c r="B28" i="26"/>
  <c r="B24" i="13"/>
  <c r="D28" i="13"/>
  <c r="D59" i="13"/>
  <c r="H24" i="13"/>
  <c r="B6" i="13"/>
  <c r="B27" i="13"/>
  <c r="B12" i="13"/>
  <c r="B20" i="13"/>
  <c r="B28" i="13"/>
  <c r="B45" i="13"/>
  <c r="B59" i="13"/>
  <c r="D17" i="13"/>
  <c r="D22" i="13"/>
  <c r="D45" i="13"/>
  <c r="D53" i="13"/>
  <c r="D63" i="13"/>
  <c r="H6" i="13"/>
  <c r="H21" i="13"/>
  <c r="H45" i="13"/>
  <c r="H59" i="13"/>
  <c r="F4" i="25"/>
  <c r="B58" i="26"/>
  <c r="B19" i="13"/>
  <c r="B15" i="13"/>
  <c r="B21" i="13"/>
  <c r="B39" i="13"/>
  <c r="B52" i="13"/>
  <c r="C52" i="13" s="1"/>
  <c r="B60" i="13"/>
  <c r="D11" i="13"/>
  <c r="D18" i="13"/>
  <c r="D24" i="13"/>
  <c r="D39" i="13"/>
  <c r="D41" i="13" s="1"/>
  <c r="D55" i="13"/>
  <c r="F42" i="13"/>
  <c r="H17" i="13"/>
  <c r="H22" i="13"/>
  <c r="H55" i="13"/>
  <c r="H60" i="13"/>
  <c r="C60" i="13"/>
  <c r="B11" i="13"/>
  <c r="B18" i="13"/>
  <c r="B22" i="13"/>
  <c r="B37" i="13"/>
  <c r="B43" i="13"/>
  <c r="B55" i="13"/>
  <c r="B63" i="13"/>
  <c r="D15" i="13"/>
  <c r="D20" i="13"/>
  <c r="D27" i="13"/>
  <c r="D37" i="13"/>
  <c r="D43" i="13"/>
  <c r="D58" i="13"/>
  <c r="F19" i="13"/>
  <c r="F60" i="13"/>
  <c r="H15" i="13"/>
  <c r="H20" i="13"/>
  <c r="H27" i="13"/>
  <c r="H39" i="13"/>
  <c r="H37" i="13"/>
  <c r="H43" i="13"/>
  <c r="B11" i="26"/>
  <c r="B39" i="26"/>
  <c r="B63" i="26"/>
  <c r="B17" i="26"/>
  <c r="B45" i="26"/>
  <c r="B21" i="26"/>
  <c r="B52" i="26"/>
  <c r="G239" i="37"/>
  <c r="I257" i="37"/>
  <c r="K159" i="37"/>
  <c r="K220" i="37" s="1"/>
  <c r="H259" i="37"/>
  <c r="H39" i="37"/>
  <c r="H51" i="37" s="1"/>
  <c r="H230" i="37" s="1"/>
  <c r="I39" i="37"/>
  <c r="I51" i="37" s="1"/>
  <c r="G246" i="37"/>
  <c r="G247" i="37" s="1"/>
  <c r="I225" i="37"/>
  <c r="I241" i="37"/>
  <c r="J239" i="37"/>
  <c r="B6" i="26"/>
  <c r="B12" i="26"/>
  <c r="B18" i="26"/>
  <c r="B22" i="26"/>
  <c r="B34" i="26"/>
  <c r="B40" i="26"/>
  <c r="B46" i="26"/>
  <c r="B53" i="26"/>
  <c r="B59" i="26"/>
  <c r="B64" i="26"/>
  <c r="B5" i="26"/>
  <c r="B7" i="26"/>
  <c r="B14" i="26"/>
  <c r="B19" i="26"/>
  <c r="B24" i="26"/>
  <c r="B35" i="26"/>
  <c r="B42" i="26"/>
  <c r="B49" i="26"/>
  <c r="B55" i="26"/>
  <c r="B60" i="26"/>
  <c r="D5" i="26"/>
  <c r="B10" i="26"/>
  <c r="B15" i="26"/>
  <c r="B20" i="26"/>
  <c r="B27" i="26"/>
  <c r="B37" i="26"/>
  <c r="B43" i="26"/>
  <c r="B51" i="26"/>
  <c r="B56" i="26"/>
  <c r="F7" i="27"/>
  <c r="F94" i="27" s="1"/>
  <c r="F19" i="27"/>
  <c r="F35" i="27"/>
  <c r="F49" i="27"/>
  <c r="F60" i="27"/>
  <c r="B10" i="27"/>
  <c r="B20" i="27"/>
  <c r="B37" i="27"/>
  <c r="B53" i="27"/>
  <c r="B64" i="27"/>
  <c r="F12" i="27"/>
  <c r="F22" i="27"/>
  <c r="F89" i="27" s="1"/>
  <c r="F40" i="27"/>
  <c r="F53" i="27"/>
  <c r="F64" i="27"/>
  <c r="B14" i="27"/>
  <c r="B24" i="27"/>
  <c r="B92" i="27" s="1"/>
  <c r="B42" i="27"/>
  <c r="B55" i="27"/>
  <c r="D6" i="27"/>
  <c r="D12" i="27"/>
  <c r="D18" i="27"/>
  <c r="D22" i="27"/>
  <c r="D34" i="27"/>
  <c r="D40" i="27"/>
  <c r="D46" i="27"/>
  <c r="D53" i="27"/>
  <c r="D59" i="27"/>
  <c r="D64" i="27"/>
  <c r="E64" i="27" s="1"/>
  <c r="H11" i="27"/>
  <c r="H17" i="27"/>
  <c r="H21" i="27"/>
  <c r="H28" i="27"/>
  <c r="H39" i="27"/>
  <c r="H45" i="27"/>
  <c r="H52" i="27"/>
  <c r="H58" i="27"/>
  <c r="H63" i="27"/>
  <c r="H228" i="36"/>
  <c r="H42" i="36"/>
  <c r="H54" i="36" s="1"/>
  <c r="H255" i="36"/>
  <c r="H254" i="36"/>
  <c r="H249" i="36"/>
  <c r="H250" i="36" s="1"/>
  <c r="K251" i="36"/>
  <c r="K252" i="36" s="1"/>
  <c r="K247" i="36"/>
  <c r="K248" i="36" s="1"/>
  <c r="I120" i="36"/>
  <c r="I262" i="36"/>
  <c r="I241" i="36"/>
  <c r="I244" i="36"/>
  <c r="I242" i="36"/>
  <c r="I243" i="36" s="1"/>
  <c r="J229" i="36"/>
  <c r="G249" i="36"/>
  <c r="G250" i="36" s="1"/>
  <c r="G42" i="36"/>
  <c r="G54" i="36" s="1"/>
  <c r="G254" i="36"/>
  <c r="I64" i="36"/>
  <c r="I233" i="36"/>
  <c r="I229" i="36"/>
  <c r="H242" i="36"/>
  <c r="H243" i="36" s="1"/>
  <c r="H244" i="36"/>
  <c r="H241" i="36"/>
  <c r="G263" i="36"/>
  <c r="K263" i="36"/>
  <c r="G162" i="36"/>
  <c r="J220" i="36"/>
  <c r="J254" i="36"/>
  <c r="J249" i="36"/>
  <c r="J250" i="36" s="1"/>
  <c r="I254" i="36"/>
  <c r="I249" i="36"/>
  <c r="I250" i="36" s="1"/>
  <c r="I251" i="36"/>
  <c r="I252" i="36" s="1"/>
  <c r="I247" i="36"/>
  <c r="I248" i="36" s="1"/>
  <c r="H251" i="36"/>
  <c r="H252" i="36" s="1"/>
  <c r="H247" i="36"/>
  <c r="H248" i="36" s="1"/>
  <c r="G262" i="36"/>
  <c r="K262" i="36"/>
  <c r="G120" i="36"/>
  <c r="K140" i="36"/>
  <c r="J161" i="36"/>
  <c r="J259" i="36"/>
  <c r="I259" i="36"/>
  <c r="I263" i="36"/>
  <c r="J192" i="36"/>
  <c r="J221" i="36" s="1"/>
  <c r="J255" i="36" s="1"/>
  <c r="K220" i="36"/>
  <c r="I228" i="36"/>
  <c r="J247" i="36"/>
  <c r="J248" i="36" s="1"/>
  <c r="K249" i="36"/>
  <c r="K250" i="36" s="1"/>
  <c r="K228" i="36"/>
  <c r="K42" i="36"/>
  <c r="K54" i="36" s="1"/>
  <c r="H262" i="36"/>
  <c r="H162" i="36"/>
  <c r="H223" i="36" s="1"/>
  <c r="G251" i="36"/>
  <c r="G252" i="36" s="1"/>
  <c r="G247" i="36"/>
  <c r="G248" i="36" s="1"/>
  <c r="G253" i="36" s="1"/>
  <c r="J120" i="36"/>
  <c r="J262" i="36"/>
  <c r="J140" i="36"/>
  <c r="I192" i="36"/>
  <c r="I221" i="36" s="1"/>
  <c r="I255" i="36" s="1"/>
  <c r="H120" i="36"/>
  <c r="G220" i="36"/>
  <c r="J228" i="36"/>
  <c r="K254" i="36"/>
  <c r="I140" i="36"/>
  <c r="I260" i="36" s="1"/>
  <c r="F5" i="26"/>
  <c r="D6" i="26"/>
  <c r="D7" i="26"/>
  <c r="D10" i="26"/>
  <c r="D11" i="26"/>
  <c r="D12" i="26"/>
  <c r="D14" i="26"/>
  <c r="D15" i="26"/>
  <c r="D17" i="26"/>
  <c r="D18" i="26"/>
  <c r="D19" i="26"/>
  <c r="D20" i="26"/>
  <c r="D21" i="26"/>
  <c r="D22" i="26"/>
  <c r="D24" i="26"/>
  <c r="D27" i="26"/>
  <c r="D28" i="26"/>
  <c r="D34" i="26"/>
  <c r="D35" i="26"/>
  <c r="D37" i="26"/>
  <c r="D39" i="26"/>
  <c r="D40" i="26"/>
  <c r="D42" i="26"/>
  <c r="D43" i="26"/>
  <c r="D45" i="26"/>
  <c r="D46" i="26"/>
  <c r="D49" i="26"/>
  <c r="D51" i="26"/>
  <c r="D52" i="26"/>
  <c r="D53" i="26"/>
  <c r="D55" i="26"/>
  <c r="D56" i="26"/>
  <c r="D58" i="26"/>
  <c r="D59" i="26"/>
  <c r="D60" i="26"/>
  <c r="D62" i="26"/>
  <c r="D63" i="26"/>
  <c r="D64" i="26"/>
  <c r="H5" i="26"/>
  <c r="F6" i="26"/>
  <c r="F7" i="26"/>
  <c r="F10" i="26"/>
  <c r="F11" i="26"/>
  <c r="F12" i="26"/>
  <c r="F14" i="26"/>
  <c r="F15" i="26"/>
  <c r="F17" i="26"/>
  <c r="F18" i="26"/>
  <c r="F19" i="26"/>
  <c r="F20" i="26"/>
  <c r="F21" i="26"/>
  <c r="F22" i="26"/>
  <c r="F24" i="26"/>
  <c r="F27" i="26"/>
  <c r="F28" i="26"/>
  <c r="F34" i="26"/>
  <c r="F35" i="26"/>
  <c r="F37" i="26"/>
  <c r="F39" i="26"/>
  <c r="F40" i="26"/>
  <c r="F42" i="26"/>
  <c r="F43" i="26"/>
  <c r="F45" i="26"/>
  <c r="F46" i="26"/>
  <c r="F49" i="26"/>
  <c r="F51" i="26"/>
  <c r="F52" i="26"/>
  <c r="F53" i="26"/>
  <c r="F55" i="26"/>
  <c r="F56" i="26"/>
  <c r="F58" i="26"/>
  <c r="F59" i="26"/>
  <c r="F60" i="26"/>
  <c r="F62" i="26"/>
  <c r="F63" i="26"/>
  <c r="F64" i="26"/>
  <c r="H6" i="26"/>
  <c r="H7" i="26"/>
  <c r="H94" i="26" s="1"/>
  <c r="H11" i="26"/>
  <c r="H12" i="26"/>
  <c r="H14" i="26"/>
  <c r="H15" i="26"/>
  <c r="I15" i="26" s="1"/>
  <c r="H17" i="26"/>
  <c r="H18" i="26"/>
  <c r="H19" i="26"/>
  <c r="H20" i="26"/>
  <c r="I20" i="26" s="1"/>
  <c r="H21" i="26"/>
  <c r="H22" i="26"/>
  <c r="H24" i="26"/>
  <c r="H27" i="26"/>
  <c r="H28" i="26"/>
  <c r="H34" i="26"/>
  <c r="H35" i="26"/>
  <c r="H37" i="26"/>
  <c r="H39" i="26"/>
  <c r="H40" i="26"/>
  <c r="H42" i="26"/>
  <c r="H43" i="26"/>
  <c r="H45" i="26"/>
  <c r="H46" i="26"/>
  <c r="H49" i="26"/>
  <c r="H51" i="26"/>
  <c r="H52" i="26"/>
  <c r="H53" i="26"/>
  <c r="H55" i="26"/>
  <c r="H56" i="26"/>
  <c r="H58" i="26"/>
  <c r="H59" i="26"/>
  <c r="H60" i="26"/>
  <c r="H62" i="26"/>
  <c r="H63" i="26"/>
  <c r="J254" i="35"/>
  <c r="J255" i="35"/>
  <c r="J249" i="35"/>
  <c r="J250" i="35" s="1"/>
  <c r="J228" i="35"/>
  <c r="J42" i="35"/>
  <c r="J54" i="35" s="1"/>
  <c r="K249" i="35"/>
  <c r="K250" i="35" s="1"/>
  <c r="K254" i="35"/>
  <c r="K228" i="35"/>
  <c r="K244" i="35"/>
  <c r="K242" i="35"/>
  <c r="K243" i="35" s="1"/>
  <c r="K241" i="35"/>
  <c r="J251" i="35"/>
  <c r="J252" i="35" s="1"/>
  <c r="J247" i="35"/>
  <c r="J248" i="35" s="1"/>
  <c r="G244" i="35"/>
  <c r="G242" i="35"/>
  <c r="G243" i="35" s="1"/>
  <c r="G241" i="35"/>
  <c r="I251" i="35"/>
  <c r="I252" i="35" s="1"/>
  <c r="I247" i="35"/>
  <c r="I248" i="35" s="1"/>
  <c r="H10" i="35"/>
  <c r="H22" i="35" s="1"/>
  <c r="I42" i="35"/>
  <c r="I54" i="35" s="1"/>
  <c r="I118" i="35"/>
  <c r="J263" i="35"/>
  <c r="G260" i="35"/>
  <c r="I161" i="35"/>
  <c r="H161" i="35"/>
  <c r="H242" i="35" s="1"/>
  <c r="I192" i="35"/>
  <c r="I254" i="35"/>
  <c r="I249" i="35"/>
  <c r="I250" i="35" s="1"/>
  <c r="G249" i="35"/>
  <c r="G250" i="35" s="1"/>
  <c r="G254" i="35"/>
  <c r="G42" i="35"/>
  <c r="G54" i="35" s="1"/>
  <c r="G255" i="35"/>
  <c r="H25" i="35"/>
  <c r="G25" i="35"/>
  <c r="H10" i="26" s="1"/>
  <c r="I10" i="26" s="1"/>
  <c r="K25" i="35"/>
  <c r="J120" i="35"/>
  <c r="J262" i="35"/>
  <c r="H262" i="35"/>
  <c r="H162" i="35"/>
  <c r="H120" i="35"/>
  <c r="K260" i="35"/>
  <c r="J161" i="35"/>
  <c r="J162" i="35" s="1"/>
  <c r="J223" i="35" s="1"/>
  <c r="J259" i="35"/>
  <c r="I220" i="35"/>
  <c r="H140" i="35"/>
  <c r="H260" i="35" s="1"/>
  <c r="G162" i="35"/>
  <c r="G223" i="35" s="1"/>
  <c r="K162" i="35"/>
  <c r="I259" i="35"/>
  <c r="I263" i="35"/>
  <c r="I140" i="35"/>
  <c r="J220" i="34"/>
  <c r="J242" i="34" s="1"/>
  <c r="J243" i="34" s="1"/>
  <c r="B28" i="25"/>
  <c r="B12" i="25"/>
  <c r="B40" i="25"/>
  <c r="B19" i="25"/>
  <c r="D5" i="25"/>
  <c r="B27" i="25"/>
  <c r="B49" i="25"/>
  <c r="B55" i="25"/>
  <c r="B60" i="25"/>
  <c r="F5" i="25"/>
  <c r="D11" i="25"/>
  <c r="D17" i="25"/>
  <c r="D21" i="25"/>
  <c r="E21" i="25" s="1"/>
  <c r="D28" i="25"/>
  <c r="D39" i="25"/>
  <c r="D45" i="25"/>
  <c r="D52" i="25"/>
  <c r="D58" i="25"/>
  <c r="D63" i="25"/>
  <c r="F7" i="25"/>
  <c r="F14" i="25"/>
  <c r="G14" i="25" s="1"/>
  <c r="F19" i="25"/>
  <c r="G19" i="25" s="1"/>
  <c r="F24" i="25"/>
  <c r="F35" i="25"/>
  <c r="F42" i="25"/>
  <c r="F49" i="25"/>
  <c r="F55" i="25"/>
  <c r="F60" i="25"/>
  <c r="H6" i="25"/>
  <c r="H12" i="25"/>
  <c r="H18" i="25"/>
  <c r="H22" i="25"/>
  <c r="H34" i="25"/>
  <c r="H40" i="25"/>
  <c r="H46" i="25"/>
  <c r="H53" i="25"/>
  <c r="H59" i="25"/>
  <c r="G249" i="34"/>
  <c r="G250" i="34" s="1"/>
  <c r="G254" i="34"/>
  <c r="H241" i="34"/>
  <c r="J254" i="34"/>
  <c r="J249" i="34"/>
  <c r="J250" i="34" s="1"/>
  <c r="J228" i="34"/>
  <c r="H251" i="34"/>
  <c r="H252" i="34" s="1"/>
  <c r="H247" i="34"/>
  <c r="H248" i="34" s="1"/>
  <c r="K262" i="34"/>
  <c r="K162" i="34"/>
  <c r="K120" i="34"/>
  <c r="J263" i="34"/>
  <c r="J140" i="34"/>
  <c r="J260" i="34" s="1"/>
  <c r="K260" i="34"/>
  <c r="J161" i="34"/>
  <c r="J259" i="34"/>
  <c r="I192" i="34"/>
  <c r="I221" i="34" s="1"/>
  <c r="I255" i="34" s="1"/>
  <c r="H192" i="34"/>
  <c r="H221" i="34" s="1"/>
  <c r="H255" i="34" s="1"/>
  <c r="K220" i="34"/>
  <c r="K249" i="34"/>
  <c r="K250" i="34" s="1"/>
  <c r="K254" i="34"/>
  <c r="K228" i="34"/>
  <c r="G262" i="34"/>
  <c r="G162" i="34"/>
  <c r="G260" i="34"/>
  <c r="G25" i="34"/>
  <c r="K25" i="34"/>
  <c r="K42" i="34" s="1"/>
  <c r="K54" i="34" s="1"/>
  <c r="I262" i="34"/>
  <c r="I120" i="34"/>
  <c r="H262" i="34"/>
  <c r="H120" i="34"/>
  <c r="J192" i="34"/>
  <c r="J221" i="34" s="1"/>
  <c r="J255" i="34" s="1"/>
  <c r="G220" i="34"/>
  <c r="G221" i="34" s="1"/>
  <c r="G255" i="34" s="1"/>
  <c r="J247" i="34"/>
  <c r="J248" i="34" s="1"/>
  <c r="I254" i="34"/>
  <c r="I249" i="34"/>
  <c r="I250" i="34" s="1"/>
  <c r="H228" i="34"/>
  <c r="H42" i="34"/>
  <c r="H54" i="34" s="1"/>
  <c r="H249" i="34"/>
  <c r="H250" i="34" s="1"/>
  <c r="H254" i="34"/>
  <c r="J120" i="34"/>
  <c r="J262" i="34"/>
  <c r="G120" i="34"/>
  <c r="H161" i="34"/>
  <c r="H244" i="34" s="1"/>
  <c r="H140" i="34"/>
  <c r="H260" i="34" s="1"/>
  <c r="I263" i="34"/>
  <c r="D3" i="25"/>
  <c r="E9" i="25" s="1"/>
  <c r="I140" i="34"/>
  <c r="H58" i="13"/>
  <c r="H63" i="13"/>
  <c r="F24" i="13"/>
  <c r="F55" i="13"/>
  <c r="F15" i="13"/>
  <c r="F20" i="13"/>
  <c r="F27" i="13"/>
  <c r="F37" i="13"/>
  <c r="F43" i="13"/>
  <c r="F11" i="13"/>
  <c r="F17" i="13"/>
  <c r="F21" i="13"/>
  <c r="F28" i="13"/>
  <c r="F39" i="13"/>
  <c r="F45" i="13"/>
  <c r="G45" i="13" s="1"/>
  <c r="F52" i="13"/>
  <c r="F58" i="13"/>
  <c r="F63" i="13"/>
  <c r="F6" i="13"/>
  <c r="F12" i="13"/>
  <c r="F18" i="13"/>
  <c r="F22" i="13"/>
  <c r="F40" i="13"/>
  <c r="F53" i="13"/>
  <c r="F59" i="13"/>
  <c r="J251" i="37" l="1"/>
  <c r="J225" i="37"/>
  <c r="J230" i="37"/>
  <c r="J240" i="37"/>
  <c r="K223" i="35"/>
  <c r="H223" i="35"/>
  <c r="J64" i="36"/>
  <c r="H62" i="27"/>
  <c r="G62" i="27" s="1"/>
  <c r="H56" i="27"/>
  <c r="H98" i="27" s="1"/>
  <c r="H51" i="27"/>
  <c r="H43" i="27"/>
  <c r="H37" i="27"/>
  <c r="G37" i="27" s="1"/>
  <c r="H27" i="27"/>
  <c r="H20" i="27"/>
  <c r="H15" i="27"/>
  <c r="H10" i="27"/>
  <c r="H71" i="27" s="1"/>
  <c r="D63" i="27"/>
  <c r="D58" i="27"/>
  <c r="D52" i="27"/>
  <c r="D45" i="27"/>
  <c r="E45" i="27" s="1"/>
  <c r="D39" i="27"/>
  <c r="D28" i="27"/>
  <c r="D21" i="27"/>
  <c r="D17" i="27"/>
  <c r="D88" i="27" s="1"/>
  <c r="D11" i="27"/>
  <c r="F5" i="27"/>
  <c r="B52" i="27"/>
  <c r="B39" i="27"/>
  <c r="B41" i="27" s="1"/>
  <c r="B21" i="27"/>
  <c r="B11" i="27"/>
  <c r="F62" i="27"/>
  <c r="F51" i="27"/>
  <c r="G51" i="27" s="1"/>
  <c r="F37" i="27"/>
  <c r="F20" i="27"/>
  <c r="F10" i="27"/>
  <c r="B62" i="27"/>
  <c r="B61" i="27" s="1"/>
  <c r="B51" i="27"/>
  <c r="B34" i="27"/>
  <c r="B18" i="27"/>
  <c r="B6" i="27"/>
  <c r="C6" i="27" s="1"/>
  <c r="F58" i="27"/>
  <c r="F45" i="27"/>
  <c r="F28" i="27"/>
  <c r="F91" i="27" s="1"/>
  <c r="F17" i="27"/>
  <c r="F88" i="27" s="1"/>
  <c r="H64" i="27"/>
  <c r="H238" i="37"/>
  <c r="I238" i="37"/>
  <c r="B43" i="27"/>
  <c r="C43" i="27" s="1"/>
  <c r="J251" i="34"/>
  <c r="J252" i="34" s="1"/>
  <c r="I260" i="34"/>
  <c r="J241" i="34"/>
  <c r="I247" i="34"/>
  <c r="I248" i="34" s="1"/>
  <c r="I244" i="34"/>
  <c r="E11" i="25"/>
  <c r="I260" i="35"/>
  <c r="J258" i="36"/>
  <c r="H60" i="27"/>
  <c r="H55" i="27"/>
  <c r="H49" i="27"/>
  <c r="G49" i="27" s="1"/>
  <c r="H42" i="27"/>
  <c r="H35" i="27"/>
  <c r="H24" i="27"/>
  <c r="H19" i="27"/>
  <c r="H93" i="27" s="1"/>
  <c r="H14" i="27"/>
  <c r="H7" i="27"/>
  <c r="H94" i="27" s="1"/>
  <c r="D62" i="27"/>
  <c r="D56" i="27"/>
  <c r="B98" i="27" s="1"/>
  <c r="D51" i="27"/>
  <c r="D43" i="27"/>
  <c r="D37" i="27"/>
  <c r="D27" i="27"/>
  <c r="D90" i="27" s="1"/>
  <c r="D20" i="27"/>
  <c r="D15" i="27"/>
  <c r="D10" i="27"/>
  <c r="B60" i="27"/>
  <c r="B49" i="27"/>
  <c r="B35" i="27"/>
  <c r="B19" i="27"/>
  <c r="B7" i="27"/>
  <c r="B94" i="27" s="1"/>
  <c r="F59" i="27"/>
  <c r="F46" i="27"/>
  <c r="F34" i="27"/>
  <c r="F18" i="27"/>
  <c r="G18" i="27" s="1"/>
  <c r="F6" i="27"/>
  <c r="B59" i="27"/>
  <c r="B46" i="27"/>
  <c r="B27" i="27"/>
  <c r="B90" i="27" s="1"/>
  <c r="B15" i="27"/>
  <c r="B5" i="27"/>
  <c r="F55" i="27"/>
  <c r="F42" i="27"/>
  <c r="G42" i="27" s="1"/>
  <c r="F24" i="27"/>
  <c r="F92" i="27" s="1"/>
  <c r="F14" i="27"/>
  <c r="H241" i="37"/>
  <c r="H239" i="37"/>
  <c r="H240" i="37" s="1"/>
  <c r="G54" i="38"/>
  <c r="H218" i="37"/>
  <c r="H252" i="37" s="1"/>
  <c r="I244" i="37"/>
  <c r="I245" i="37" s="1"/>
  <c r="I250" i="37" s="1"/>
  <c r="B63" i="27"/>
  <c r="I242" i="34"/>
  <c r="I243" i="34" s="1"/>
  <c r="I42" i="34"/>
  <c r="I54" i="34" s="1"/>
  <c r="I229" i="34" s="1"/>
  <c r="H162" i="34"/>
  <c r="H223" i="34" s="1"/>
  <c r="J244" i="34"/>
  <c r="K260" i="36"/>
  <c r="H59" i="27"/>
  <c r="H57" i="27" s="1"/>
  <c r="H53" i="27"/>
  <c r="H46" i="27"/>
  <c r="H40" i="27"/>
  <c r="H34" i="27"/>
  <c r="G34" i="27" s="1"/>
  <c r="H22" i="27"/>
  <c r="H18" i="27"/>
  <c r="H12" i="27"/>
  <c r="H6" i="27"/>
  <c r="G6" i="27" s="1"/>
  <c r="D60" i="27"/>
  <c r="D55" i="27"/>
  <c r="D49" i="27"/>
  <c r="D42" i="27"/>
  <c r="C42" i="27" s="1"/>
  <c r="D35" i="27"/>
  <c r="D24" i="27"/>
  <c r="D19" i="27"/>
  <c r="D14" i="27"/>
  <c r="E14" i="27" s="1"/>
  <c r="D7" i="27"/>
  <c r="B58" i="27"/>
  <c r="B45" i="27"/>
  <c r="B28" i="27"/>
  <c r="C28" i="27" s="1"/>
  <c r="B17" i="27"/>
  <c r="H5" i="27"/>
  <c r="F56" i="27"/>
  <c r="F43" i="27"/>
  <c r="G43" i="27" s="1"/>
  <c r="F27" i="27"/>
  <c r="F90" i="27" s="1"/>
  <c r="F15" i="27"/>
  <c r="D5" i="27"/>
  <c r="E30" i="27" s="1"/>
  <c r="B56" i="27"/>
  <c r="C56" i="27" s="1"/>
  <c r="B40" i="27"/>
  <c r="B22" i="27"/>
  <c r="B89" i="27" s="1"/>
  <c r="B12" i="27"/>
  <c r="F63" i="27"/>
  <c r="F61" i="27" s="1"/>
  <c r="F52" i="27"/>
  <c r="F39" i="27"/>
  <c r="F21" i="27"/>
  <c r="I218" i="37"/>
  <c r="I252" i="37" s="1"/>
  <c r="H102" i="34"/>
  <c r="F3" i="25"/>
  <c r="G4" i="25" s="1"/>
  <c r="G33" i="25" s="1"/>
  <c r="B104" i="27"/>
  <c r="I21" i="26"/>
  <c r="I11" i="26"/>
  <c r="C46" i="26"/>
  <c r="H63" i="25"/>
  <c r="H58" i="25"/>
  <c r="H57" i="25" s="1"/>
  <c r="H52" i="25"/>
  <c r="H45" i="25"/>
  <c r="G45" i="25" s="1"/>
  <c r="H39" i="25"/>
  <c r="H28" i="25"/>
  <c r="H91" i="25" s="1"/>
  <c r="H21" i="25"/>
  <c r="H17" i="25"/>
  <c r="H88" i="25" s="1"/>
  <c r="H11" i="25"/>
  <c r="F64" i="25"/>
  <c r="F59" i="25"/>
  <c r="F53" i="25"/>
  <c r="G53" i="25" s="1"/>
  <c r="F46" i="25"/>
  <c r="F40" i="25"/>
  <c r="F34" i="25"/>
  <c r="F22" i="25"/>
  <c r="F89" i="25" s="1"/>
  <c r="F18" i="25"/>
  <c r="G18" i="25" s="1"/>
  <c r="F12" i="25"/>
  <c r="F6" i="25"/>
  <c r="D62" i="25"/>
  <c r="D61" i="25" s="1"/>
  <c r="D56" i="25"/>
  <c r="D51" i="25"/>
  <c r="D43" i="25"/>
  <c r="D37" i="25"/>
  <c r="E37" i="25" s="1"/>
  <c r="D27" i="25"/>
  <c r="E27" i="25" s="1"/>
  <c r="D20" i="25"/>
  <c r="E20" i="25" s="1"/>
  <c r="D15" i="25"/>
  <c r="D10" i="25"/>
  <c r="E10" i="25" s="1"/>
  <c r="B64" i="25"/>
  <c r="B59" i="25"/>
  <c r="B53" i="25"/>
  <c r="B46" i="25"/>
  <c r="C46" i="25" s="1"/>
  <c r="B20" i="25"/>
  <c r="B42" i="25"/>
  <c r="B14" i="25"/>
  <c r="B34" i="25"/>
  <c r="C34" i="25" s="1"/>
  <c r="B6" i="25"/>
  <c r="H64" i="25"/>
  <c r="H62" i="25"/>
  <c r="H56" i="25"/>
  <c r="H71" i="25" s="1"/>
  <c r="H51" i="25"/>
  <c r="H43" i="25"/>
  <c r="H37" i="25"/>
  <c r="H27" i="25"/>
  <c r="H90" i="25" s="1"/>
  <c r="H20" i="25"/>
  <c r="H15" i="25"/>
  <c r="H10" i="25"/>
  <c r="F63" i="25"/>
  <c r="E63" i="25" s="1"/>
  <c r="F58" i="25"/>
  <c r="G58" i="25" s="1"/>
  <c r="F52" i="25"/>
  <c r="E52" i="25" s="1"/>
  <c r="F45" i="25"/>
  <c r="F39" i="25"/>
  <c r="F41" i="25" s="1"/>
  <c r="F28" i="25"/>
  <c r="F91" i="25" s="1"/>
  <c r="F21" i="25"/>
  <c r="G21" i="25" s="1"/>
  <c r="F17" i="25"/>
  <c r="F11" i="25"/>
  <c r="G11" i="25" s="1"/>
  <c r="H5" i="25"/>
  <c r="I19" i="25" s="1"/>
  <c r="D60" i="25"/>
  <c r="C60" i="25" s="1"/>
  <c r="D55" i="25"/>
  <c r="D49" i="25"/>
  <c r="E49" i="25" s="1"/>
  <c r="D42" i="25"/>
  <c r="E42" i="25" s="1"/>
  <c r="D35" i="25"/>
  <c r="D24" i="25"/>
  <c r="D19" i="25"/>
  <c r="E19" i="25" s="1"/>
  <c r="D14" i="25"/>
  <c r="D7" i="25"/>
  <c r="E7" i="25" s="1"/>
  <c r="B63" i="25"/>
  <c r="B58" i="25"/>
  <c r="C58" i="25" s="1"/>
  <c r="B52" i="25"/>
  <c r="B45" i="25"/>
  <c r="C45" i="25" s="1"/>
  <c r="B15" i="25"/>
  <c r="B35" i="25"/>
  <c r="B7" i="25"/>
  <c r="B22" i="25"/>
  <c r="B39" i="25"/>
  <c r="B21" i="25"/>
  <c r="C21" i="25" s="1"/>
  <c r="H60" i="25"/>
  <c r="H55" i="25"/>
  <c r="G55" i="25" s="1"/>
  <c r="H49" i="25"/>
  <c r="H42" i="25"/>
  <c r="G42" i="25" s="1"/>
  <c r="H35" i="25"/>
  <c r="H36" i="25" s="1"/>
  <c r="H24" i="25"/>
  <c r="H104" i="25" s="1"/>
  <c r="H19" i="25"/>
  <c r="H14" i="25"/>
  <c r="I14" i="25" s="1"/>
  <c r="H7" i="25"/>
  <c r="H94" i="25" s="1"/>
  <c r="F62" i="25"/>
  <c r="F56" i="25"/>
  <c r="F51" i="25"/>
  <c r="F50" i="25" s="1"/>
  <c r="F43" i="25"/>
  <c r="G43" i="25" s="1"/>
  <c r="F37" i="25"/>
  <c r="G37" i="25" s="1"/>
  <c r="F27" i="25"/>
  <c r="F20" i="25"/>
  <c r="F93" i="25" s="1"/>
  <c r="F15" i="25"/>
  <c r="F10" i="25"/>
  <c r="D64" i="25"/>
  <c r="D59" i="25"/>
  <c r="D57" i="25" s="1"/>
  <c r="D53" i="25"/>
  <c r="D46" i="25"/>
  <c r="E46" i="25" s="1"/>
  <c r="D40" i="25"/>
  <c r="D34" i="25"/>
  <c r="D38" i="25" s="1"/>
  <c r="D22" i="25"/>
  <c r="E22" i="25" s="1"/>
  <c r="D18" i="25"/>
  <c r="D12" i="25"/>
  <c r="D6" i="25"/>
  <c r="E6" i="25" s="1"/>
  <c r="B62" i="25"/>
  <c r="B61" i="25" s="1"/>
  <c r="B56" i="25"/>
  <c r="C56" i="25" s="1"/>
  <c r="B51" i="25"/>
  <c r="B37" i="25"/>
  <c r="C37" i="25" s="1"/>
  <c r="B10" i="25"/>
  <c r="B24" i="25"/>
  <c r="B92" i="25" s="1"/>
  <c r="B5" i="25"/>
  <c r="B18" i="25"/>
  <c r="B93" i="25" s="1"/>
  <c r="B11" i="25"/>
  <c r="C11" i="25" s="1"/>
  <c r="B17" i="25"/>
  <c r="B88" i="25" s="1"/>
  <c r="E60" i="13"/>
  <c r="I19" i="26"/>
  <c r="I14" i="26"/>
  <c r="C40" i="26"/>
  <c r="I12" i="26"/>
  <c r="E60" i="26"/>
  <c r="J255" i="37"/>
  <c r="J226" i="37"/>
  <c r="K251" i="37"/>
  <c r="H257" i="37"/>
  <c r="G39" i="37"/>
  <c r="G51" i="37" s="1"/>
  <c r="G230" i="37" s="1"/>
  <c r="G244" i="37"/>
  <c r="G245" i="37" s="1"/>
  <c r="G250" i="37" s="1"/>
  <c r="K39" i="37"/>
  <c r="K51" i="37" s="1"/>
  <c r="K255" i="37" s="1"/>
  <c r="G252" i="37"/>
  <c r="G251" i="37"/>
  <c r="K252" i="37"/>
  <c r="K240" i="37"/>
  <c r="G240" i="37"/>
  <c r="K225" i="37"/>
  <c r="H54" i="38"/>
  <c r="G241" i="37"/>
  <c r="J238" i="37"/>
  <c r="G30" i="38"/>
  <c r="G36" i="38" s="1"/>
  <c r="J189" i="37"/>
  <c r="J218" i="37" s="1"/>
  <c r="J252" i="37" s="1"/>
  <c r="G257" i="37"/>
  <c r="G159" i="37"/>
  <c r="G220" i="37" s="1"/>
  <c r="E54" i="38"/>
  <c r="F54" i="38"/>
  <c r="J259" i="37"/>
  <c r="J159" i="37"/>
  <c r="J117" i="37"/>
  <c r="J257" i="37"/>
  <c r="K238" i="37"/>
  <c r="K241" i="37"/>
  <c r="H57" i="13"/>
  <c r="C39" i="13"/>
  <c r="E14" i="26"/>
  <c r="C42" i="26"/>
  <c r="G37" i="26"/>
  <c r="E35" i="25"/>
  <c r="E6" i="27"/>
  <c r="C58" i="13"/>
  <c r="C63" i="13"/>
  <c r="G60" i="13"/>
  <c r="C59" i="13"/>
  <c r="G42" i="13"/>
  <c r="E42" i="13"/>
  <c r="C6" i="13"/>
  <c r="C53" i="13"/>
  <c r="E55" i="13"/>
  <c r="G6" i="25"/>
  <c r="C55" i="25"/>
  <c r="E15" i="25"/>
  <c r="E19" i="26"/>
  <c r="G27" i="27"/>
  <c r="I21" i="27"/>
  <c r="C53" i="27"/>
  <c r="C6" i="26"/>
  <c r="E21" i="27"/>
  <c r="F104" i="27"/>
  <c r="H44" i="26"/>
  <c r="H100" i="26" s="1"/>
  <c r="E21" i="26"/>
  <c r="E11" i="26"/>
  <c r="I19" i="27"/>
  <c r="I14" i="27"/>
  <c r="E20" i="27"/>
  <c r="E15" i="27"/>
  <c r="E10" i="27"/>
  <c r="C35" i="27"/>
  <c r="G6" i="13"/>
  <c r="G22" i="27"/>
  <c r="G60" i="27"/>
  <c r="C37" i="27"/>
  <c r="C46" i="27"/>
  <c r="B36" i="27"/>
  <c r="B93" i="27"/>
  <c r="G64" i="27"/>
  <c r="C45" i="13"/>
  <c r="H41" i="13"/>
  <c r="C40" i="13"/>
  <c r="G46" i="26"/>
  <c r="B38" i="27"/>
  <c r="G40" i="27"/>
  <c r="C55" i="27"/>
  <c r="E35" i="27"/>
  <c r="C55" i="13"/>
  <c r="C42" i="13"/>
  <c r="D57" i="13"/>
  <c r="G39" i="13"/>
  <c r="E58" i="13"/>
  <c r="C43" i="13"/>
  <c r="C37" i="13"/>
  <c r="E39" i="13"/>
  <c r="G55" i="13"/>
  <c r="E4" i="25"/>
  <c r="E33" i="25" s="1"/>
  <c r="G15" i="27"/>
  <c r="E55" i="27"/>
  <c r="G28" i="27"/>
  <c r="D71" i="27"/>
  <c r="C22" i="27"/>
  <c r="G59" i="27"/>
  <c r="H50" i="27"/>
  <c r="C7" i="27"/>
  <c r="C52" i="27"/>
  <c r="H38" i="26"/>
  <c r="G12" i="26"/>
  <c r="H57" i="26"/>
  <c r="H69" i="26" s="1"/>
  <c r="G53" i="26"/>
  <c r="G6" i="26"/>
  <c r="C37" i="26"/>
  <c r="C53" i="26"/>
  <c r="D32" i="25"/>
  <c r="J253" i="34"/>
  <c r="J253" i="35"/>
  <c r="H61" i="37"/>
  <c r="E6" i="38" s="1"/>
  <c r="E13" i="38" s="1"/>
  <c r="E30" i="38" s="1"/>
  <c r="E36" i="38" s="1"/>
  <c r="I226" i="37"/>
  <c r="I230" i="37"/>
  <c r="I61" i="37"/>
  <c r="F6" i="38" s="1"/>
  <c r="F13" i="38" s="1"/>
  <c r="F30" i="38" s="1"/>
  <c r="F36" i="38" s="1"/>
  <c r="J77" i="37"/>
  <c r="J80" i="37" s="1"/>
  <c r="J233" i="37"/>
  <c r="E43" i="26"/>
  <c r="G20" i="26"/>
  <c r="G15" i="26"/>
  <c r="G10" i="26"/>
  <c r="E64" i="26"/>
  <c r="E59" i="26"/>
  <c r="C5" i="27"/>
  <c r="I20" i="27"/>
  <c r="D81" i="27"/>
  <c r="I12" i="27"/>
  <c r="E19" i="27"/>
  <c r="C14" i="27"/>
  <c r="I15" i="27"/>
  <c r="E7" i="27"/>
  <c r="I11" i="27"/>
  <c r="C40" i="27"/>
  <c r="E12" i="27"/>
  <c r="C21" i="27"/>
  <c r="C11" i="27"/>
  <c r="C20" i="27"/>
  <c r="C10" i="27"/>
  <c r="B88" i="27"/>
  <c r="C17" i="27"/>
  <c r="C15" i="27"/>
  <c r="E42" i="27"/>
  <c r="C12" i="27"/>
  <c r="G24" i="27"/>
  <c r="E5" i="27"/>
  <c r="C24" i="27"/>
  <c r="C18" i="27"/>
  <c r="D94" i="27"/>
  <c r="E11" i="27"/>
  <c r="C19" i="27"/>
  <c r="G7" i="27"/>
  <c r="D8" i="27"/>
  <c r="D13" i="27" s="1"/>
  <c r="G5" i="27"/>
  <c r="G20" i="27"/>
  <c r="G14" i="27"/>
  <c r="F8" i="27"/>
  <c r="G21" i="27"/>
  <c r="G19" i="27"/>
  <c r="G12" i="27"/>
  <c r="G11" i="27"/>
  <c r="E17" i="27"/>
  <c r="E60" i="27"/>
  <c r="H90" i="27"/>
  <c r="I27" i="27"/>
  <c r="H89" i="27"/>
  <c r="I22" i="27"/>
  <c r="I18" i="27"/>
  <c r="C49" i="27"/>
  <c r="E59" i="27"/>
  <c r="E58" i="27"/>
  <c r="D57" i="27"/>
  <c r="E62" i="27"/>
  <c r="D61" i="27"/>
  <c r="D44" i="27"/>
  <c r="C51" i="27"/>
  <c r="B50" i="27"/>
  <c r="C58" i="27"/>
  <c r="B57" i="27"/>
  <c r="E34" i="27"/>
  <c r="D36" i="27"/>
  <c r="D74" i="27" s="1"/>
  <c r="D38" i="27"/>
  <c r="D89" i="27"/>
  <c r="E22" i="27"/>
  <c r="D93" i="27"/>
  <c r="E18" i="27"/>
  <c r="C34" i="27"/>
  <c r="G53" i="27"/>
  <c r="G52" i="27"/>
  <c r="G35" i="27"/>
  <c r="F36" i="27"/>
  <c r="F41" i="27"/>
  <c r="G39" i="27"/>
  <c r="H44" i="27"/>
  <c r="H100" i="27" s="1"/>
  <c r="F50" i="27"/>
  <c r="G55" i="27"/>
  <c r="F57" i="27"/>
  <c r="D91" i="27"/>
  <c r="E28" i="27"/>
  <c r="D104" i="27"/>
  <c r="D92" i="27"/>
  <c r="E24" i="27"/>
  <c r="H41" i="27"/>
  <c r="G45" i="27"/>
  <c r="F44" i="27"/>
  <c r="G56" i="27"/>
  <c r="F98" i="27"/>
  <c r="F71" i="27"/>
  <c r="F70" i="27"/>
  <c r="C62" i="27"/>
  <c r="E43" i="27"/>
  <c r="G46" i="27"/>
  <c r="H91" i="27"/>
  <c r="I28" i="27"/>
  <c r="H104" i="27"/>
  <c r="H92" i="27"/>
  <c r="I24" i="27"/>
  <c r="H88" i="27"/>
  <c r="I17" i="27"/>
  <c r="E40" i="27"/>
  <c r="D41" i="27"/>
  <c r="E39" i="27"/>
  <c r="C45" i="27"/>
  <c r="B44" i="27"/>
  <c r="D50" i="27"/>
  <c r="E46" i="27"/>
  <c r="C60" i="27"/>
  <c r="C64" i="27"/>
  <c r="E37" i="27"/>
  <c r="E49" i="27"/>
  <c r="E53" i="27"/>
  <c r="C59" i="27"/>
  <c r="E52" i="27"/>
  <c r="G58" i="27"/>
  <c r="I253" i="36"/>
  <c r="J260" i="36"/>
  <c r="K233" i="36"/>
  <c r="K258" i="36"/>
  <c r="K229" i="36"/>
  <c r="K64" i="36"/>
  <c r="J253" i="36"/>
  <c r="I258" i="36"/>
  <c r="I80" i="36"/>
  <c r="I83" i="36" s="1"/>
  <c r="I236" i="36"/>
  <c r="J80" i="36"/>
  <c r="J83" i="36" s="1"/>
  <c r="J236" i="36"/>
  <c r="I162" i="36"/>
  <c r="I223" i="36" s="1"/>
  <c r="K242" i="36"/>
  <c r="K243" i="36" s="1"/>
  <c r="K241" i="36"/>
  <c r="K244" i="36"/>
  <c r="K253" i="36"/>
  <c r="G241" i="36"/>
  <c r="G242" i="36"/>
  <c r="G243" i="36" s="1"/>
  <c r="G244" i="36"/>
  <c r="H253" i="36"/>
  <c r="J244" i="36"/>
  <c r="J242" i="36"/>
  <c r="J243" i="36" s="1"/>
  <c r="J241" i="36"/>
  <c r="J162" i="36"/>
  <c r="J223" i="36" s="1"/>
  <c r="H229" i="36"/>
  <c r="H64" i="36"/>
  <c r="H233" i="36"/>
  <c r="G233" i="36"/>
  <c r="G258" i="36"/>
  <c r="G64" i="36"/>
  <c r="G221" i="36"/>
  <c r="G255" i="36" s="1"/>
  <c r="K221" i="36"/>
  <c r="K255" i="36" s="1"/>
  <c r="H89" i="26"/>
  <c r="I22" i="26"/>
  <c r="G34" i="26"/>
  <c r="F38" i="26"/>
  <c r="G38" i="26" s="1"/>
  <c r="F36" i="26"/>
  <c r="F74" i="26" s="1"/>
  <c r="G58" i="26"/>
  <c r="F57" i="26"/>
  <c r="F93" i="26"/>
  <c r="G18" i="26"/>
  <c r="F90" i="26"/>
  <c r="G27" i="26"/>
  <c r="H41" i="26"/>
  <c r="H47" i="26" s="1"/>
  <c r="G45" i="26"/>
  <c r="F44" i="26"/>
  <c r="H61" i="26"/>
  <c r="H99" i="26" s="1"/>
  <c r="G35" i="26"/>
  <c r="F41" i="26"/>
  <c r="G39" i="26"/>
  <c r="F50" i="26"/>
  <c r="G51" i="26"/>
  <c r="G55" i="26"/>
  <c r="G63" i="26"/>
  <c r="C5" i="26"/>
  <c r="B81" i="26"/>
  <c r="B8" i="26"/>
  <c r="B94" i="26"/>
  <c r="C7" i="26"/>
  <c r="D88" i="26"/>
  <c r="E17" i="26"/>
  <c r="D104" i="26"/>
  <c r="D92" i="26"/>
  <c r="E24" i="26"/>
  <c r="D91" i="26"/>
  <c r="E28" i="26"/>
  <c r="E35" i="26"/>
  <c r="C62" i="26"/>
  <c r="B61" i="26"/>
  <c r="D81" i="26"/>
  <c r="E30" i="26"/>
  <c r="D8" i="26"/>
  <c r="E5" i="26"/>
  <c r="D94" i="26"/>
  <c r="E7" i="26"/>
  <c r="C11" i="26"/>
  <c r="C14" i="26"/>
  <c r="B88" i="26"/>
  <c r="C17" i="26"/>
  <c r="C19" i="26"/>
  <c r="C21" i="26"/>
  <c r="B104" i="26"/>
  <c r="B92" i="26"/>
  <c r="C24" i="26"/>
  <c r="B91" i="26"/>
  <c r="C28" i="26"/>
  <c r="G62" i="26"/>
  <c r="F61" i="26"/>
  <c r="C49" i="26"/>
  <c r="E46" i="26"/>
  <c r="C56" i="26"/>
  <c r="B71" i="26"/>
  <c r="B70" i="26"/>
  <c r="C60" i="26"/>
  <c r="C64" i="26"/>
  <c r="E37" i="26"/>
  <c r="C43" i="26"/>
  <c r="E49" i="26"/>
  <c r="E53" i="26"/>
  <c r="C59" i="26"/>
  <c r="H36" i="26"/>
  <c r="H93" i="26"/>
  <c r="I18" i="26"/>
  <c r="H90" i="26"/>
  <c r="I27" i="26"/>
  <c r="F94" i="26"/>
  <c r="G7" i="26"/>
  <c r="H88" i="26"/>
  <c r="I17" i="26"/>
  <c r="H104" i="26"/>
  <c r="H92" i="26"/>
  <c r="I24" i="26"/>
  <c r="H91" i="26"/>
  <c r="I28" i="26"/>
  <c r="E52" i="26"/>
  <c r="H8" i="26"/>
  <c r="H13" i="26" s="1"/>
  <c r="G11" i="26"/>
  <c r="G14" i="26"/>
  <c r="F88" i="26"/>
  <c r="G17" i="26"/>
  <c r="G19" i="26"/>
  <c r="G21" i="26"/>
  <c r="F104" i="26"/>
  <c r="F92" i="26"/>
  <c r="G24" i="26"/>
  <c r="F91" i="26"/>
  <c r="G28" i="26"/>
  <c r="G49" i="26"/>
  <c r="G40" i="26"/>
  <c r="G56" i="26"/>
  <c r="F98" i="26"/>
  <c r="F71" i="26"/>
  <c r="F70" i="26"/>
  <c r="D98" i="26"/>
  <c r="G60" i="26"/>
  <c r="G64" i="26"/>
  <c r="G43" i="26"/>
  <c r="G59" i="26"/>
  <c r="F89" i="26"/>
  <c r="G22" i="26"/>
  <c r="H50" i="26"/>
  <c r="G52" i="26"/>
  <c r="G5" i="26"/>
  <c r="F8" i="26"/>
  <c r="G42" i="26"/>
  <c r="E10" i="26"/>
  <c r="E12" i="26"/>
  <c r="E15" i="26"/>
  <c r="D93" i="26"/>
  <c r="E18" i="26"/>
  <c r="E20" i="26"/>
  <c r="D89" i="26"/>
  <c r="E22" i="26"/>
  <c r="D90" i="26"/>
  <c r="E27" i="26"/>
  <c r="E34" i="26"/>
  <c r="D38" i="26"/>
  <c r="D36" i="26"/>
  <c r="D74" i="26" s="1"/>
  <c r="H98" i="26"/>
  <c r="H71" i="26"/>
  <c r="H70" i="26"/>
  <c r="D71" i="26"/>
  <c r="D70" i="26"/>
  <c r="E56" i="26"/>
  <c r="B98" i="26"/>
  <c r="E6" i="26"/>
  <c r="C10" i="26"/>
  <c r="C12" i="26"/>
  <c r="C15" i="26"/>
  <c r="B93" i="26"/>
  <c r="C18" i="26"/>
  <c r="C20" i="26"/>
  <c r="B89" i="26"/>
  <c r="C22" i="26"/>
  <c r="B90" i="26"/>
  <c r="C27" i="26"/>
  <c r="B36" i="26"/>
  <c r="B74" i="26" s="1"/>
  <c r="C34" i="26"/>
  <c r="B38" i="26"/>
  <c r="C58" i="26"/>
  <c r="B57" i="26"/>
  <c r="D41" i="26"/>
  <c r="E39" i="26"/>
  <c r="C45" i="26"/>
  <c r="B44" i="26"/>
  <c r="E51" i="26"/>
  <c r="D50" i="26"/>
  <c r="E55" i="26"/>
  <c r="E63" i="26"/>
  <c r="E42" i="26"/>
  <c r="C52" i="26"/>
  <c r="E58" i="26"/>
  <c r="D57" i="26"/>
  <c r="E62" i="26"/>
  <c r="D61" i="26"/>
  <c r="C35" i="26"/>
  <c r="B41" i="26"/>
  <c r="C39" i="26"/>
  <c r="D44" i="26"/>
  <c r="E45" i="26"/>
  <c r="C51" i="26"/>
  <c r="B50" i="26"/>
  <c r="C55" i="26"/>
  <c r="C63" i="26"/>
  <c r="E40" i="26"/>
  <c r="K251" i="35"/>
  <c r="K252" i="35" s="1"/>
  <c r="K247" i="35"/>
  <c r="K248" i="35" s="1"/>
  <c r="K253" i="35" s="1"/>
  <c r="J242" i="35"/>
  <c r="J243" i="35" s="1"/>
  <c r="G251" i="35"/>
  <c r="G252" i="35" s="1"/>
  <c r="G247" i="35"/>
  <c r="G248" i="35" s="1"/>
  <c r="H244" i="35"/>
  <c r="I253" i="35"/>
  <c r="J241" i="35"/>
  <c r="I241" i="35"/>
  <c r="I242" i="35"/>
  <c r="I243" i="35" s="1"/>
  <c r="I244" i="35"/>
  <c r="I221" i="35"/>
  <c r="I255" i="35" s="1"/>
  <c r="H228" i="35"/>
  <c r="H42" i="35"/>
  <c r="H54" i="35" s="1"/>
  <c r="H249" i="35"/>
  <c r="H250" i="35" s="1"/>
  <c r="H243" i="35"/>
  <c r="H255" i="35"/>
  <c r="H254" i="35"/>
  <c r="J244" i="35"/>
  <c r="J260" i="35"/>
  <c r="H251" i="35"/>
  <c r="H252" i="35" s="1"/>
  <c r="H247" i="35"/>
  <c r="H248" i="35" s="1"/>
  <c r="I162" i="35"/>
  <c r="I120" i="35"/>
  <c r="I262" i="35"/>
  <c r="H241" i="35"/>
  <c r="K42" i="35"/>
  <c r="K54" i="35" s="1"/>
  <c r="I228" i="35"/>
  <c r="G233" i="35"/>
  <c r="G258" i="35"/>
  <c r="G64" i="35"/>
  <c r="I64" i="35"/>
  <c r="I233" i="35"/>
  <c r="I229" i="35"/>
  <c r="J233" i="35"/>
  <c r="J258" i="35"/>
  <c r="J229" i="35"/>
  <c r="J64" i="35"/>
  <c r="J162" i="34"/>
  <c r="J223" i="34" s="1"/>
  <c r="C53" i="25"/>
  <c r="E30" i="25"/>
  <c r="G59" i="25"/>
  <c r="G12" i="25"/>
  <c r="G22" i="25"/>
  <c r="E40" i="25"/>
  <c r="E12" i="25"/>
  <c r="G15" i="25"/>
  <c r="E14" i="25"/>
  <c r="C52" i="25"/>
  <c r="E5" i="25"/>
  <c r="D81" i="25"/>
  <c r="G60" i="25"/>
  <c r="G20" i="25"/>
  <c r="G10" i="25"/>
  <c r="C40" i="25"/>
  <c r="C63" i="25"/>
  <c r="G46" i="25"/>
  <c r="E60" i="25"/>
  <c r="H50" i="25"/>
  <c r="B3" i="25"/>
  <c r="I102" i="34"/>
  <c r="I226" i="34"/>
  <c r="H64" i="34"/>
  <c r="H233" i="34"/>
  <c r="K251" i="34"/>
  <c r="K252" i="34" s="1"/>
  <c r="K247" i="34"/>
  <c r="K248" i="34" s="1"/>
  <c r="H253" i="34"/>
  <c r="H242" i="34"/>
  <c r="H243" i="34" s="1"/>
  <c r="G251" i="34"/>
  <c r="G252" i="34" s="1"/>
  <c r="G247" i="34"/>
  <c r="G248" i="34" s="1"/>
  <c r="K233" i="34"/>
  <c r="K258" i="34"/>
  <c r="K229" i="34"/>
  <c r="K64" i="34"/>
  <c r="G244" i="34"/>
  <c r="G242" i="34"/>
  <c r="G243" i="34" s="1"/>
  <c r="G241" i="34"/>
  <c r="I162" i="34"/>
  <c r="I223" i="34" s="1"/>
  <c r="I253" i="34"/>
  <c r="I233" i="34"/>
  <c r="G223" i="34"/>
  <c r="K244" i="34"/>
  <c r="K242" i="34"/>
  <c r="K243" i="34" s="1"/>
  <c r="K241" i="34"/>
  <c r="J233" i="34"/>
  <c r="J258" i="34"/>
  <c r="J229" i="34"/>
  <c r="J64" i="34"/>
  <c r="G42" i="34"/>
  <c r="G54" i="34" s="1"/>
  <c r="H229" i="34" s="1"/>
  <c r="K221" i="34"/>
  <c r="K255" i="34" s="1"/>
  <c r="C5" i="25"/>
  <c r="B81" i="25"/>
  <c r="B91" i="25"/>
  <c r="C28" i="25"/>
  <c r="E62" i="25"/>
  <c r="B50" i="25"/>
  <c r="F88" i="25"/>
  <c r="G17" i="25"/>
  <c r="F57" i="25"/>
  <c r="F94" i="25"/>
  <c r="G49" i="25"/>
  <c r="H8" i="25"/>
  <c r="H13" i="25" s="1"/>
  <c r="I11" i="25"/>
  <c r="B89" i="25"/>
  <c r="C22" i="25"/>
  <c r="D89" i="25"/>
  <c r="D90" i="25"/>
  <c r="G62" i="25"/>
  <c r="F61" i="25"/>
  <c r="G52" i="25"/>
  <c r="G35" i="25"/>
  <c r="H44" i="25"/>
  <c r="H100" i="25" s="1"/>
  <c r="D41" i="25"/>
  <c r="E39" i="25"/>
  <c r="F8" i="25"/>
  <c r="E17" i="25"/>
  <c r="D88" i="25"/>
  <c r="B44" i="25"/>
  <c r="I24" i="25"/>
  <c r="E58" i="25"/>
  <c r="C39" i="25"/>
  <c r="B41" i="25"/>
  <c r="C17" i="25"/>
  <c r="C15" i="25"/>
  <c r="F104" i="25"/>
  <c r="F92" i="25"/>
  <c r="G24" i="25"/>
  <c r="C19" i="25"/>
  <c r="B94" i="25"/>
  <c r="B104" i="25"/>
  <c r="C24" i="25"/>
  <c r="I20" i="25"/>
  <c r="H89" i="25"/>
  <c r="H98" i="25"/>
  <c r="H41" i="25"/>
  <c r="B71" i="25"/>
  <c r="B70" i="25"/>
  <c r="C43" i="25"/>
  <c r="C59" i="25"/>
  <c r="I18" i="25"/>
  <c r="C14" i="25"/>
  <c r="G5" i="25"/>
  <c r="C35" i="25"/>
  <c r="E45" i="25"/>
  <c r="F90" i="25"/>
  <c r="G27" i="25"/>
  <c r="C18" i="25"/>
  <c r="C12" i="25"/>
  <c r="H38" i="25"/>
  <c r="C20" i="25"/>
  <c r="C27" i="25"/>
  <c r="B90" i="25"/>
  <c r="E24" i="25"/>
  <c r="D104" i="25"/>
  <c r="D92" i="25"/>
  <c r="D91" i="25"/>
  <c r="E28" i="25"/>
  <c r="C42" i="25"/>
  <c r="B57" i="25"/>
  <c r="F36" i="25"/>
  <c r="F38" i="25"/>
  <c r="G34" i="25"/>
  <c r="G40" i="25"/>
  <c r="D50" i="25"/>
  <c r="F98" i="25"/>
  <c r="F71" i="25"/>
  <c r="G64" i="25"/>
  <c r="H93" i="25"/>
  <c r="D71" i="25"/>
  <c r="E56" i="25"/>
  <c r="D94" i="25"/>
  <c r="E55" i="25"/>
  <c r="E18" i="25"/>
  <c r="C10" i="25"/>
  <c r="E40" i="13"/>
  <c r="G40" i="13"/>
  <c r="E52" i="13"/>
  <c r="G52" i="13"/>
  <c r="E43" i="13"/>
  <c r="G43" i="13"/>
  <c r="E37" i="13"/>
  <c r="G37" i="13"/>
  <c r="G58" i="13"/>
  <c r="E59" i="13"/>
  <c r="G59" i="13"/>
  <c r="E53" i="13"/>
  <c r="G53" i="13"/>
  <c r="E63" i="13"/>
  <c r="G63" i="13"/>
  <c r="F41" i="13"/>
  <c r="E45" i="13"/>
  <c r="F57" i="13"/>
  <c r="G57" i="13" s="1"/>
  <c r="E6" i="13"/>
  <c r="H97" i="26" l="1"/>
  <c r="H101" i="26" s="1"/>
  <c r="G50" i="25"/>
  <c r="C49" i="25"/>
  <c r="I27" i="25"/>
  <c r="G39" i="25"/>
  <c r="I64" i="34"/>
  <c r="I80" i="34" s="1"/>
  <c r="I83" i="34" s="1"/>
  <c r="F38" i="27"/>
  <c r="B70" i="27"/>
  <c r="E50" i="27"/>
  <c r="H38" i="27"/>
  <c r="D98" i="27"/>
  <c r="G63" i="27"/>
  <c r="E27" i="27"/>
  <c r="C39" i="27"/>
  <c r="H70" i="27"/>
  <c r="D70" i="27"/>
  <c r="H8" i="27"/>
  <c r="H13" i="27" s="1"/>
  <c r="K226" i="37"/>
  <c r="K230" i="37"/>
  <c r="E63" i="27"/>
  <c r="G17" i="27"/>
  <c r="B74" i="27"/>
  <c r="H220" i="37"/>
  <c r="G51" i="25"/>
  <c r="E34" i="25"/>
  <c r="B71" i="27"/>
  <c r="E51" i="27"/>
  <c r="H36" i="27"/>
  <c r="H48" i="27" s="1"/>
  <c r="H61" i="27"/>
  <c r="H99" i="27" s="1"/>
  <c r="E56" i="27"/>
  <c r="I220" i="37"/>
  <c r="K61" i="37"/>
  <c r="F93" i="27"/>
  <c r="I10" i="27"/>
  <c r="B91" i="27"/>
  <c r="D36" i="25"/>
  <c r="D74" i="25" s="1"/>
  <c r="C51" i="25"/>
  <c r="E64" i="25"/>
  <c r="B81" i="27"/>
  <c r="G10" i="27"/>
  <c r="B36" i="25"/>
  <c r="B74" i="25" s="1"/>
  <c r="D70" i="25"/>
  <c r="D93" i="25"/>
  <c r="F70" i="25"/>
  <c r="E51" i="25"/>
  <c r="F74" i="25"/>
  <c r="H70" i="25"/>
  <c r="G253" i="34"/>
  <c r="K253" i="34"/>
  <c r="E59" i="25"/>
  <c r="B8" i="27"/>
  <c r="B13" i="27" s="1"/>
  <c r="B78" i="27" s="1"/>
  <c r="C27" i="27"/>
  <c r="E53" i="25"/>
  <c r="H74" i="25"/>
  <c r="C7" i="25"/>
  <c r="B6" i="1"/>
  <c r="C64" i="25"/>
  <c r="D98" i="25"/>
  <c r="F44" i="25"/>
  <c r="H61" i="25"/>
  <c r="H99" i="25" s="1"/>
  <c r="C63" i="27"/>
  <c r="F32" i="25"/>
  <c r="G9" i="25"/>
  <c r="C36" i="27"/>
  <c r="E8" i="27"/>
  <c r="H97" i="25"/>
  <c r="H69" i="25"/>
  <c r="I28" i="25"/>
  <c r="G28" i="25"/>
  <c r="C62" i="25"/>
  <c r="H92" i="25"/>
  <c r="C6" i="25"/>
  <c r="G63" i="25"/>
  <c r="B38" i="25"/>
  <c r="C38" i="25" s="1"/>
  <c r="I17" i="25"/>
  <c r="I21" i="25"/>
  <c r="I12" i="25"/>
  <c r="D8" i="25"/>
  <c r="E8" i="25" s="1"/>
  <c r="B98" i="25"/>
  <c r="G56" i="25"/>
  <c r="D44" i="25"/>
  <c r="E44" i="25" s="1"/>
  <c r="I22" i="25"/>
  <c r="G7" i="25"/>
  <c r="B8" i="25"/>
  <c r="E43" i="25"/>
  <c r="I10" i="25"/>
  <c r="I15" i="25"/>
  <c r="C50" i="26"/>
  <c r="H226" i="37"/>
  <c r="J220" i="37"/>
  <c r="G255" i="37"/>
  <c r="G61" i="37"/>
  <c r="H77" i="37"/>
  <c r="H80" i="37" s="1"/>
  <c r="H85" i="37" s="1"/>
  <c r="H255" i="37"/>
  <c r="H233" i="37"/>
  <c r="K77" i="37"/>
  <c r="K80" i="37" s="1"/>
  <c r="K88" i="37" s="1"/>
  <c r="H75" i="38" s="1"/>
  <c r="H73" i="38" s="1"/>
  <c r="H82" i="38" s="1"/>
  <c r="H6" i="38"/>
  <c r="H13" i="38" s="1"/>
  <c r="H30" i="38" s="1"/>
  <c r="H36" i="38" s="1"/>
  <c r="F54" i="26"/>
  <c r="H54" i="26"/>
  <c r="H65" i="26" s="1"/>
  <c r="H48" i="26"/>
  <c r="B54" i="27"/>
  <c r="B73" i="27" s="1"/>
  <c r="G50" i="27"/>
  <c r="K233" i="37"/>
  <c r="I77" i="37"/>
  <c r="I80" i="37" s="1"/>
  <c r="I233" i="37"/>
  <c r="I255" i="37"/>
  <c r="J88" i="37"/>
  <c r="G75" i="38" s="1"/>
  <c r="G73" i="38" s="1"/>
  <c r="G82" i="38" s="1"/>
  <c r="G84" i="38" s="1"/>
  <c r="G88" i="38" s="1"/>
  <c r="J85" i="37"/>
  <c r="B32" i="25"/>
  <c r="C4" i="25"/>
  <c r="C33" i="25" s="1"/>
  <c r="C9" i="25"/>
  <c r="E50" i="26"/>
  <c r="C13" i="27"/>
  <c r="B16" i="27"/>
  <c r="C16" i="27" s="1"/>
  <c r="C8" i="27"/>
  <c r="C61" i="27"/>
  <c r="E38" i="27"/>
  <c r="C50" i="27"/>
  <c r="G8" i="27"/>
  <c r="F13" i="27"/>
  <c r="B72" i="27"/>
  <c r="B75" i="27"/>
  <c r="F99" i="27"/>
  <c r="G61" i="27"/>
  <c r="D99" i="27"/>
  <c r="D78" i="27"/>
  <c r="D16" i="27"/>
  <c r="E13" i="27"/>
  <c r="F54" i="27"/>
  <c r="H47" i="27"/>
  <c r="F47" i="27"/>
  <c r="G41" i="27"/>
  <c r="B47" i="27"/>
  <c r="C41" i="27"/>
  <c r="G44" i="27"/>
  <c r="F100" i="27"/>
  <c r="F48" i="27"/>
  <c r="E36" i="27"/>
  <c r="D48" i="27"/>
  <c r="D69" i="27"/>
  <c r="E57" i="27"/>
  <c r="B97" i="27"/>
  <c r="D54" i="27"/>
  <c r="C38" i="27"/>
  <c r="C44" i="27"/>
  <c r="B100" i="27"/>
  <c r="D47" i="27"/>
  <c r="E47" i="27" s="1"/>
  <c r="E41" i="27"/>
  <c r="B48" i="27"/>
  <c r="F97" i="27"/>
  <c r="F69" i="27"/>
  <c r="G57" i="27"/>
  <c r="D97" i="27"/>
  <c r="F74" i="27"/>
  <c r="H97" i="27"/>
  <c r="H69" i="27"/>
  <c r="C57" i="27"/>
  <c r="B69" i="27"/>
  <c r="D100" i="27"/>
  <c r="E44" i="27"/>
  <c r="B99" i="27"/>
  <c r="E61" i="27"/>
  <c r="G80" i="36"/>
  <c r="G83" i="36" s="1"/>
  <c r="G236" i="36"/>
  <c r="K223" i="36"/>
  <c r="K80" i="36"/>
  <c r="K83" i="36" s="1"/>
  <c r="K236" i="36"/>
  <c r="H258" i="36"/>
  <c r="H236" i="36"/>
  <c r="H80" i="36"/>
  <c r="H83" i="36" s="1"/>
  <c r="J91" i="36"/>
  <c r="J88" i="36"/>
  <c r="G223" i="36"/>
  <c r="I88" i="36"/>
  <c r="I91" i="36"/>
  <c r="C38" i="26"/>
  <c r="B54" i="26"/>
  <c r="B72" i="26" s="1"/>
  <c r="F73" i="26"/>
  <c r="F72" i="26"/>
  <c r="F65" i="26"/>
  <c r="E8" i="26"/>
  <c r="D13" i="26"/>
  <c r="E38" i="26"/>
  <c r="H78" i="26"/>
  <c r="I13" i="26"/>
  <c r="H16" i="26"/>
  <c r="G50" i="26"/>
  <c r="G44" i="26"/>
  <c r="F100" i="26"/>
  <c r="F97" i="26"/>
  <c r="F69" i="26"/>
  <c r="G57" i="26"/>
  <c r="D97" i="26"/>
  <c r="B99" i="26"/>
  <c r="E61" i="26"/>
  <c r="H73" i="26"/>
  <c r="H72" i="26"/>
  <c r="B47" i="26"/>
  <c r="C41" i="26"/>
  <c r="D69" i="26"/>
  <c r="B97" i="26"/>
  <c r="E57" i="26"/>
  <c r="C44" i="26"/>
  <c r="B100" i="26"/>
  <c r="D47" i="26"/>
  <c r="E41" i="26"/>
  <c r="F13" i="26"/>
  <c r="G8" i="26"/>
  <c r="B65" i="26"/>
  <c r="D48" i="26"/>
  <c r="E36" i="26"/>
  <c r="F99" i="26"/>
  <c r="G61" i="26"/>
  <c r="D99" i="26"/>
  <c r="H74" i="26"/>
  <c r="D100" i="26"/>
  <c r="E44" i="26"/>
  <c r="C57" i="26"/>
  <c r="B69" i="26"/>
  <c r="C36" i="26"/>
  <c r="B48" i="26"/>
  <c r="D54" i="26"/>
  <c r="D65" i="26" s="1"/>
  <c r="C61" i="26"/>
  <c r="B13" i="26"/>
  <c r="C8" i="26"/>
  <c r="F47" i="26"/>
  <c r="G47" i="26" s="1"/>
  <c r="G41" i="26"/>
  <c r="G36" i="26"/>
  <c r="F48" i="26"/>
  <c r="I258" i="35"/>
  <c r="I80" i="35"/>
  <c r="I83" i="35" s="1"/>
  <c r="I236" i="35"/>
  <c r="G80" i="35"/>
  <c r="G83" i="35" s="1"/>
  <c r="G236" i="35"/>
  <c r="I223" i="35"/>
  <c r="H253" i="35"/>
  <c r="H229" i="35"/>
  <c r="H64" i="35"/>
  <c r="H233" i="35"/>
  <c r="K233" i="35"/>
  <c r="K258" i="35"/>
  <c r="K229" i="35"/>
  <c r="K64" i="35"/>
  <c r="J80" i="35"/>
  <c r="J83" i="35" s="1"/>
  <c r="J236" i="35"/>
  <c r="G253" i="35"/>
  <c r="E50" i="25"/>
  <c r="B54" i="25"/>
  <c r="B72" i="25" s="1"/>
  <c r="F54" i="25"/>
  <c r="F72" i="25" s="1"/>
  <c r="H54" i="25"/>
  <c r="H65" i="25" s="1"/>
  <c r="E38" i="25"/>
  <c r="C61" i="25"/>
  <c r="K80" i="34"/>
  <c r="K83" i="34" s="1"/>
  <c r="K236" i="34"/>
  <c r="G233" i="34"/>
  <c r="G258" i="34"/>
  <c r="G64" i="34"/>
  <c r="I236" i="34"/>
  <c r="J80" i="34"/>
  <c r="J83" i="34" s="1"/>
  <c r="J236" i="34"/>
  <c r="K223" i="34"/>
  <c r="H258" i="34"/>
  <c r="H236" i="34"/>
  <c r="H80" i="34"/>
  <c r="H83" i="34" s="1"/>
  <c r="J102" i="34"/>
  <c r="J226" i="34"/>
  <c r="G38" i="25"/>
  <c r="H47" i="25"/>
  <c r="E41" i="25"/>
  <c r="H101" i="25"/>
  <c r="F99" i="25"/>
  <c r="G61" i="25"/>
  <c r="D99" i="25"/>
  <c r="E61" i="25"/>
  <c r="B99" i="25"/>
  <c r="B13" i="25"/>
  <c r="G8" i="25"/>
  <c r="F13" i="25"/>
  <c r="D13" i="25"/>
  <c r="G36" i="25"/>
  <c r="F48" i="25"/>
  <c r="B73" i="25"/>
  <c r="D69" i="25"/>
  <c r="B97" i="25"/>
  <c r="E57" i="25"/>
  <c r="H78" i="25"/>
  <c r="I13" i="25"/>
  <c r="H16" i="25"/>
  <c r="D54" i="25"/>
  <c r="D65" i="25" s="1"/>
  <c r="F73" i="25"/>
  <c r="C57" i="25"/>
  <c r="B69" i="25"/>
  <c r="H48" i="25"/>
  <c r="B47" i="25"/>
  <c r="C41" i="25"/>
  <c r="F47" i="25"/>
  <c r="G41" i="25"/>
  <c r="G44" i="25"/>
  <c r="F100" i="25"/>
  <c r="E36" i="25"/>
  <c r="F97" i="25"/>
  <c r="F69" i="25"/>
  <c r="G57" i="25"/>
  <c r="D97" i="25"/>
  <c r="C50" i="25"/>
  <c r="E41" i="13"/>
  <c r="G41" i="13"/>
  <c r="E57" i="13"/>
  <c r="H74" i="27" l="1"/>
  <c r="G36" i="27"/>
  <c r="G38" i="27"/>
  <c r="C8" i="25"/>
  <c r="B48" i="25"/>
  <c r="H54" i="27"/>
  <c r="H78" i="27"/>
  <c r="I13" i="27"/>
  <c r="D100" i="25"/>
  <c r="I258" i="34"/>
  <c r="H16" i="27"/>
  <c r="H75" i="27" s="1"/>
  <c r="C36" i="25"/>
  <c r="H101" i="27"/>
  <c r="D48" i="25"/>
  <c r="E48" i="25" s="1"/>
  <c r="C44" i="25"/>
  <c r="B100" i="25"/>
  <c r="B101" i="25" s="1"/>
  <c r="D47" i="25"/>
  <c r="C47" i="25" s="1"/>
  <c r="G54" i="26"/>
  <c r="G77" i="37"/>
  <c r="G80" i="37" s="1"/>
  <c r="G233" i="37"/>
  <c r="H88" i="37"/>
  <c r="E75" i="38" s="1"/>
  <c r="E73" i="38" s="1"/>
  <c r="E82" i="38" s="1"/>
  <c r="E84" i="38" s="1"/>
  <c r="E88" i="38" s="1"/>
  <c r="H84" i="38"/>
  <c r="H88" i="38" s="1"/>
  <c r="K85" i="37"/>
  <c r="E48" i="27"/>
  <c r="E65" i="26"/>
  <c r="B76" i="27"/>
  <c r="B65" i="27"/>
  <c r="B23" i="27"/>
  <c r="C23" i="27" s="1"/>
  <c r="G48" i="26"/>
  <c r="B73" i="26"/>
  <c r="G65" i="26"/>
  <c r="I85" i="37"/>
  <c r="I88" i="37"/>
  <c r="F75" i="38" s="1"/>
  <c r="F73" i="38" s="1"/>
  <c r="F82" i="38" s="1"/>
  <c r="F84" i="38" s="1"/>
  <c r="F88" i="38" s="1"/>
  <c r="K234" i="37"/>
  <c r="K96" i="37"/>
  <c r="K232" i="37" s="1"/>
  <c r="K227" i="37"/>
  <c r="K95" i="37"/>
  <c r="K235" i="37"/>
  <c r="K231" i="37"/>
  <c r="K91" i="37"/>
  <c r="K258" i="37"/>
  <c r="J235" i="37"/>
  <c r="J231" i="37"/>
  <c r="J91" i="37"/>
  <c r="J234" i="37"/>
  <c r="J96" i="37"/>
  <c r="J232" i="37" s="1"/>
  <c r="J227" i="37"/>
  <c r="J95" i="37"/>
  <c r="J258" i="37"/>
  <c r="H96" i="37"/>
  <c r="H232" i="37" s="1"/>
  <c r="F101" i="27"/>
  <c r="G48" i="27"/>
  <c r="D101" i="27"/>
  <c r="G47" i="27"/>
  <c r="F16" i="27"/>
  <c r="G13" i="27"/>
  <c r="F78" i="27"/>
  <c r="H73" i="27"/>
  <c r="H72" i="27"/>
  <c r="H65" i="27"/>
  <c r="E54" i="27"/>
  <c r="D73" i="27"/>
  <c r="D72" i="27"/>
  <c r="B25" i="27"/>
  <c r="C48" i="27"/>
  <c r="B101" i="27"/>
  <c r="D77" i="27"/>
  <c r="D76" i="27"/>
  <c r="D75" i="27"/>
  <c r="D23" i="27"/>
  <c r="E16" i="27"/>
  <c r="F73" i="27"/>
  <c r="F72" i="27"/>
  <c r="G54" i="27"/>
  <c r="F65" i="27"/>
  <c r="D65" i="27"/>
  <c r="C65" i="27" s="1"/>
  <c r="C47" i="27"/>
  <c r="C54" i="27"/>
  <c r="I237" i="36"/>
  <c r="I238" i="36"/>
  <c r="I234" i="36"/>
  <c r="I94" i="36"/>
  <c r="I98" i="36"/>
  <c r="I99" i="36"/>
  <c r="I235" i="36" s="1"/>
  <c r="I261" i="36"/>
  <c r="J238" i="36"/>
  <c r="J234" i="36"/>
  <c r="J94" i="36"/>
  <c r="J237" i="36"/>
  <c r="J99" i="36"/>
  <c r="J235" i="36" s="1"/>
  <c r="J230" i="36"/>
  <c r="J98" i="36"/>
  <c r="J261" i="36"/>
  <c r="H88" i="36"/>
  <c r="H91" i="36"/>
  <c r="K91" i="36"/>
  <c r="K88" i="36"/>
  <c r="G91" i="36"/>
  <c r="G88" i="36"/>
  <c r="C48" i="26"/>
  <c r="F78" i="26"/>
  <c r="F16" i="26"/>
  <c r="G13" i="26"/>
  <c r="E54" i="26"/>
  <c r="D73" i="26"/>
  <c r="D72" i="26"/>
  <c r="E48" i="26"/>
  <c r="C47" i="26"/>
  <c r="F101" i="26"/>
  <c r="H77" i="26"/>
  <c r="H76" i="26"/>
  <c r="H75" i="26"/>
  <c r="I16" i="26"/>
  <c r="H23" i="26"/>
  <c r="D78" i="26"/>
  <c r="E13" i="26"/>
  <c r="D16" i="26"/>
  <c r="B16" i="26"/>
  <c r="B78" i="26"/>
  <c r="C13" i="26"/>
  <c r="C65" i="26"/>
  <c r="E47" i="26"/>
  <c r="B101" i="26"/>
  <c r="D101" i="26"/>
  <c r="C54" i="26"/>
  <c r="G91" i="35"/>
  <c r="G88" i="35"/>
  <c r="J91" i="35"/>
  <c r="J88" i="35"/>
  <c r="I91" i="35"/>
  <c r="I88" i="35"/>
  <c r="K80" i="35"/>
  <c r="K83" i="35" s="1"/>
  <c r="K236" i="35"/>
  <c r="H258" i="35"/>
  <c r="H236" i="35"/>
  <c r="H80" i="35"/>
  <c r="H83" i="35" s="1"/>
  <c r="B65" i="25"/>
  <c r="C65" i="25" s="1"/>
  <c r="H72" i="25"/>
  <c r="H73" i="25"/>
  <c r="F65" i="25"/>
  <c r="G65" i="25" s="1"/>
  <c r="D101" i="25"/>
  <c r="G54" i="25"/>
  <c r="G47" i="25"/>
  <c r="E47" i="25"/>
  <c r="I91" i="34"/>
  <c r="I88" i="34"/>
  <c r="H88" i="34"/>
  <c r="H91" i="34"/>
  <c r="K226" i="34"/>
  <c r="K102" i="34"/>
  <c r="J91" i="34"/>
  <c r="J88" i="34"/>
  <c r="G80" i="34"/>
  <c r="G83" i="34" s="1"/>
  <c r="G236" i="34"/>
  <c r="K91" i="34"/>
  <c r="K88" i="34"/>
  <c r="H77" i="25"/>
  <c r="H76" i="25"/>
  <c r="H75" i="25"/>
  <c r="I16" i="25"/>
  <c r="H23" i="25"/>
  <c r="E13" i="25"/>
  <c r="D16" i="25"/>
  <c r="D78" i="25"/>
  <c r="G48" i="25"/>
  <c r="B78" i="25"/>
  <c r="C13" i="25"/>
  <c r="B16" i="25"/>
  <c r="F101" i="25"/>
  <c r="E54" i="25"/>
  <c r="D73" i="25"/>
  <c r="D72" i="25"/>
  <c r="C54" i="25"/>
  <c r="F78" i="25"/>
  <c r="F16" i="25"/>
  <c r="G13" i="25"/>
  <c r="C48" i="25" l="1"/>
  <c r="H76" i="27"/>
  <c r="H77" i="27"/>
  <c r="I16" i="27"/>
  <c r="H23" i="27"/>
  <c r="H235" i="37"/>
  <c r="H234" i="37"/>
  <c r="H258" i="37"/>
  <c r="H91" i="37"/>
  <c r="H95" i="37"/>
  <c r="H231" i="37"/>
  <c r="G88" i="37"/>
  <c r="G85" i="37"/>
  <c r="G65" i="27"/>
  <c r="E65" i="25"/>
  <c r="I231" i="37"/>
  <c r="I95" i="37"/>
  <c r="I91" i="37"/>
  <c r="I227" i="37"/>
  <c r="I235" i="37"/>
  <c r="I234" i="37"/>
  <c r="I258" i="37"/>
  <c r="I96" i="37"/>
  <c r="I232" i="37" s="1"/>
  <c r="G16" i="27"/>
  <c r="F77" i="27"/>
  <c r="F23" i="27"/>
  <c r="F76" i="27"/>
  <c r="F75" i="27"/>
  <c r="B86" i="27"/>
  <c r="B96" i="27" s="1"/>
  <c r="B102" i="27" s="1"/>
  <c r="B106" i="27" s="1"/>
  <c r="B79" i="27"/>
  <c r="C25" i="27"/>
  <c r="B26" i="27"/>
  <c r="D25" i="27"/>
  <c r="B82" i="27" s="1"/>
  <c r="E23" i="27"/>
  <c r="E65" i="27"/>
  <c r="G237" i="36"/>
  <c r="G99" i="36"/>
  <c r="G235" i="36" s="1"/>
  <c r="G98" i="36"/>
  <c r="G238" i="36"/>
  <c r="G94" i="36"/>
  <c r="G234" i="36"/>
  <c r="G261" i="36"/>
  <c r="K237" i="36"/>
  <c r="K99" i="36"/>
  <c r="K235" i="36" s="1"/>
  <c r="K230" i="36"/>
  <c r="K98" i="36"/>
  <c r="K234" i="36"/>
  <c r="K94" i="36"/>
  <c r="K238" i="36"/>
  <c r="K261" i="36"/>
  <c r="H230" i="36"/>
  <c r="H98" i="36"/>
  <c r="H238" i="36"/>
  <c r="H234" i="36"/>
  <c r="H94" i="36"/>
  <c r="H237" i="36"/>
  <c r="H99" i="36"/>
  <c r="H235" i="36" s="1"/>
  <c r="H261" i="36"/>
  <c r="I230" i="36"/>
  <c r="F77" i="26"/>
  <c r="F76" i="26"/>
  <c r="F75" i="26"/>
  <c r="F23" i="26"/>
  <c r="G16" i="26"/>
  <c r="B75" i="26"/>
  <c r="B23" i="26"/>
  <c r="B76" i="26"/>
  <c r="C16" i="26"/>
  <c r="I23" i="26"/>
  <c r="H25" i="26"/>
  <c r="D77" i="26"/>
  <c r="D76" i="26"/>
  <c r="D75" i="26"/>
  <c r="E16" i="26"/>
  <c r="D23" i="26"/>
  <c r="K91" i="35"/>
  <c r="K88" i="35"/>
  <c r="J238" i="35"/>
  <c r="J234" i="35"/>
  <c r="J94" i="35"/>
  <c r="J237" i="35"/>
  <c r="J99" i="35"/>
  <c r="J235" i="35" s="1"/>
  <c r="J230" i="35"/>
  <c r="J98" i="35"/>
  <c r="J261" i="35"/>
  <c r="H88" i="35"/>
  <c r="H91" i="35"/>
  <c r="I230" i="35" s="1"/>
  <c r="I238" i="35"/>
  <c r="I234" i="35"/>
  <c r="I94" i="35"/>
  <c r="I237" i="35"/>
  <c r="I99" i="35"/>
  <c r="I235" i="35" s="1"/>
  <c r="I98" i="35"/>
  <c r="I261" i="35"/>
  <c r="G237" i="35"/>
  <c r="G99" i="35"/>
  <c r="G235" i="35" s="1"/>
  <c r="G98" i="35"/>
  <c r="G238" i="35"/>
  <c r="G234" i="35"/>
  <c r="G94" i="35"/>
  <c r="G261" i="35"/>
  <c r="K237" i="34"/>
  <c r="K99" i="34"/>
  <c r="K235" i="34" s="1"/>
  <c r="K230" i="34"/>
  <c r="K98" i="34"/>
  <c r="K94" i="34"/>
  <c r="K238" i="34"/>
  <c r="K234" i="34"/>
  <c r="K261" i="34"/>
  <c r="H98" i="34"/>
  <c r="H238" i="34"/>
  <c r="H234" i="34"/>
  <c r="H94" i="34"/>
  <c r="H99" i="34"/>
  <c r="H235" i="34" s="1"/>
  <c r="H237" i="34"/>
  <c r="H261" i="34"/>
  <c r="J238" i="34"/>
  <c r="J234" i="34"/>
  <c r="J94" i="34"/>
  <c r="J237" i="34"/>
  <c r="J99" i="34"/>
  <c r="J235" i="34" s="1"/>
  <c r="J230" i="34"/>
  <c r="J98" i="34"/>
  <c r="J261" i="34"/>
  <c r="G91" i="34"/>
  <c r="G88" i="34"/>
  <c r="I238" i="34"/>
  <c r="I234" i="34"/>
  <c r="I94" i="34"/>
  <c r="I237" i="34"/>
  <c r="I99" i="34"/>
  <c r="I235" i="34" s="1"/>
  <c r="I230" i="34"/>
  <c r="I98" i="34"/>
  <c r="I261" i="34"/>
  <c r="D77" i="25"/>
  <c r="D75" i="25"/>
  <c r="E16" i="25"/>
  <c r="D23" i="25"/>
  <c r="D76" i="25"/>
  <c r="F77" i="25"/>
  <c r="F76" i="25"/>
  <c r="F75" i="25"/>
  <c r="F23" i="25"/>
  <c r="G16" i="25"/>
  <c r="B75" i="25"/>
  <c r="B23" i="25"/>
  <c r="C16" i="25"/>
  <c r="B76" i="25"/>
  <c r="I23" i="25"/>
  <c r="H25" i="25"/>
  <c r="I23" i="27" l="1"/>
  <c r="H25" i="27"/>
  <c r="H227" i="37"/>
  <c r="G234" i="37"/>
  <c r="G231" i="37"/>
  <c r="G235" i="37"/>
  <c r="G96" i="37"/>
  <c r="G232" i="37" s="1"/>
  <c r="G91" i="37"/>
  <c r="G95" i="37"/>
  <c r="G258" i="37"/>
  <c r="G23" i="27"/>
  <c r="F25" i="27"/>
  <c r="D82" i="27" s="1"/>
  <c r="D86" i="27"/>
  <c r="D96" i="27" s="1"/>
  <c r="D102" i="27" s="1"/>
  <c r="D106" i="27" s="1"/>
  <c r="D79" i="27"/>
  <c r="D26" i="27"/>
  <c r="E25" i="27"/>
  <c r="C26" i="27"/>
  <c r="B80" i="27"/>
  <c r="B29" i="27"/>
  <c r="C29" i="27" s="1"/>
  <c r="F25" i="26"/>
  <c r="G23" i="26"/>
  <c r="B25" i="26"/>
  <c r="C23" i="26"/>
  <c r="H86" i="26"/>
  <c r="H96" i="26" s="1"/>
  <c r="H102" i="26" s="1"/>
  <c r="H106" i="26" s="1"/>
  <c r="H79" i="26"/>
  <c r="I25" i="26"/>
  <c r="H26" i="26"/>
  <c r="E23" i="26"/>
  <c r="D25" i="26"/>
  <c r="H230" i="35"/>
  <c r="H98" i="35"/>
  <c r="H238" i="35"/>
  <c r="H234" i="35"/>
  <c r="H94" i="35"/>
  <c r="H237" i="35"/>
  <c r="H99" i="35"/>
  <c r="H235" i="35" s="1"/>
  <c r="H261" i="35"/>
  <c r="K237" i="35"/>
  <c r="K99" i="35"/>
  <c r="K235" i="35" s="1"/>
  <c r="K230" i="35"/>
  <c r="K98" i="35"/>
  <c r="K234" i="35"/>
  <c r="K94" i="35"/>
  <c r="K238" i="35"/>
  <c r="K261" i="35"/>
  <c r="G237" i="34"/>
  <c r="G99" i="34"/>
  <c r="G235" i="34" s="1"/>
  <c r="G98" i="34"/>
  <c r="G94" i="34"/>
  <c r="G234" i="34"/>
  <c r="G238" i="34"/>
  <c r="G261" i="34"/>
  <c r="H230" i="34"/>
  <c r="E23" i="25"/>
  <c r="D25" i="25"/>
  <c r="H86" i="25"/>
  <c r="H96" i="25" s="1"/>
  <c r="H102" i="25" s="1"/>
  <c r="H106" i="25" s="1"/>
  <c r="H79" i="25"/>
  <c r="I25" i="25"/>
  <c r="H26" i="25"/>
  <c r="B25" i="25"/>
  <c r="C23" i="25"/>
  <c r="F25" i="25"/>
  <c r="G23" i="25"/>
  <c r="H79" i="27" l="1"/>
  <c r="H26" i="27"/>
  <c r="I25" i="27"/>
  <c r="H86" i="27"/>
  <c r="H96" i="27" s="1"/>
  <c r="H102" i="27" s="1"/>
  <c r="H106" i="27" s="1"/>
  <c r="G25" i="27"/>
  <c r="F86" i="27"/>
  <c r="F96" i="27" s="1"/>
  <c r="F102" i="27" s="1"/>
  <c r="F106" i="27" s="1"/>
  <c r="F79" i="27"/>
  <c r="F26" i="27"/>
  <c r="D80" i="27"/>
  <c r="D29" i="27"/>
  <c r="E29" i="27" s="1"/>
  <c r="E26" i="27"/>
  <c r="H80" i="26"/>
  <c r="I26" i="26"/>
  <c r="H29" i="26"/>
  <c r="I29" i="26" s="1"/>
  <c r="B86" i="26"/>
  <c r="B96" i="26" s="1"/>
  <c r="B102" i="26" s="1"/>
  <c r="B106" i="26" s="1"/>
  <c r="B79" i="26"/>
  <c r="B26" i="26"/>
  <c r="B82" i="26"/>
  <c r="C25" i="26"/>
  <c r="D86" i="26"/>
  <c r="D96" i="26" s="1"/>
  <c r="D102" i="26" s="1"/>
  <c r="D106" i="26" s="1"/>
  <c r="D82" i="26"/>
  <c r="D79" i="26"/>
  <c r="E25" i="26"/>
  <c r="D26" i="26"/>
  <c r="F86" i="26"/>
  <c r="F96" i="26" s="1"/>
  <c r="F102" i="26" s="1"/>
  <c r="F106" i="26" s="1"/>
  <c r="F79" i="26"/>
  <c r="F26" i="26"/>
  <c r="G25" i="26"/>
  <c r="B86" i="25"/>
  <c r="B96" i="25" s="1"/>
  <c r="B102" i="25" s="1"/>
  <c r="B106" i="25" s="1"/>
  <c r="B82" i="25"/>
  <c r="B79" i="25"/>
  <c r="B26" i="25"/>
  <c r="C25" i="25"/>
  <c r="H80" i="25"/>
  <c r="I26" i="25"/>
  <c r="H29" i="25"/>
  <c r="I29" i="25" s="1"/>
  <c r="D86" i="25"/>
  <c r="D96" i="25" s="1"/>
  <c r="D102" i="25" s="1"/>
  <c r="D106" i="25" s="1"/>
  <c r="D82" i="25"/>
  <c r="D79" i="25"/>
  <c r="E25" i="25"/>
  <c r="D26" i="25"/>
  <c r="F86" i="25"/>
  <c r="F96" i="25" s="1"/>
  <c r="F102" i="25" s="1"/>
  <c r="F106" i="25" s="1"/>
  <c r="F79" i="25"/>
  <c r="G25" i="25"/>
  <c r="F26" i="25"/>
  <c r="H80" i="27" l="1"/>
  <c r="H29" i="27"/>
  <c r="I29" i="27" s="1"/>
  <c r="I26" i="27"/>
  <c r="F29" i="27"/>
  <c r="G29" i="27" s="1"/>
  <c r="F80" i="27"/>
  <c r="G26" i="27"/>
  <c r="F80" i="26"/>
  <c r="F29" i="26"/>
  <c r="G29" i="26" s="1"/>
  <c r="G26" i="26"/>
  <c r="B29" i="26"/>
  <c r="C29" i="26" s="1"/>
  <c r="B80" i="26"/>
  <c r="C26" i="26"/>
  <c r="D80" i="26"/>
  <c r="E26" i="26"/>
  <c r="D29" i="26"/>
  <c r="E29" i="26" s="1"/>
  <c r="B29" i="25"/>
  <c r="C29" i="25" s="1"/>
  <c r="B80" i="25"/>
  <c r="C26" i="25"/>
  <c r="F80" i="25"/>
  <c r="G26" i="25"/>
  <c r="F29" i="25"/>
  <c r="G29" i="25" s="1"/>
  <c r="E26" i="25"/>
  <c r="D29" i="25"/>
  <c r="E29" i="25" s="1"/>
  <c r="D80" i="25"/>
  <c r="J33" i="33" l="1"/>
  <c r="K214" i="33"/>
  <c r="J214" i="33"/>
  <c r="J213" i="33" s="1"/>
  <c r="I214" i="33"/>
  <c r="I213" i="33" s="1"/>
  <c r="H214" i="33"/>
  <c r="G214" i="33"/>
  <c r="K213" i="33"/>
  <c r="H213" i="33"/>
  <c r="G213" i="33"/>
  <c r="K207" i="33"/>
  <c r="J207" i="33"/>
  <c r="I207" i="33"/>
  <c r="H207" i="33"/>
  <c r="G207" i="33"/>
  <c r="K202" i="33"/>
  <c r="J202" i="33"/>
  <c r="B56" i="13" s="1"/>
  <c r="I202" i="33"/>
  <c r="D56" i="13" s="1"/>
  <c r="H202" i="33"/>
  <c r="F56" i="13" s="1"/>
  <c r="G202" i="33"/>
  <c r="H56" i="13" s="1"/>
  <c r="K196" i="33"/>
  <c r="J196" i="33"/>
  <c r="B51" i="13" s="1"/>
  <c r="I196" i="33"/>
  <c r="H196" i="33"/>
  <c r="F51" i="13" s="1"/>
  <c r="G196" i="33"/>
  <c r="H51" i="13" s="1"/>
  <c r="H50" i="13" s="1"/>
  <c r="K195" i="33"/>
  <c r="H195" i="33"/>
  <c r="H220" i="33" s="1"/>
  <c r="K188" i="33"/>
  <c r="J188" i="33"/>
  <c r="B64" i="13" s="1"/>
  <c r="I188" i="33"/>
  <c r="D64" i="13" s="1"/>
  <c r="E64" i="13" s="1"/>
  <c r="H188" i="33"/>
  <c r="F64" i="13" s="1"/>
  <c r="G188" i="33"/>
  <c r="H64" i="13" s="1"/>
  <c r="K182" i="33"/>
  <c r="J182" i="33"/>
  <c r="B62" i="13" s="1"/>
  <c r="C62" i="13" s="1"/>
  <c r="I182" i="33"/>
  <c r="D62" i="13" s="1"/>
  <c r="H182" i="33"/>
  <c r="F62" i="13" s="1"/>
  <c r="G182" i="33"/>
  <c r="H62" i="13" s="1"/>
  <c r="H61" i="13" s="1"/>
  <c r="H54" i="13" s="1"/>
  <c r="K181" i="33"/>
  <c r="I181" i="33"/>
  <c r="H181" i="33"/>
  <c r="G181" i="33"/>
  <c r="K176" i="33"/>
  <c r="J176" i="33"/>
  <c r="I176" i="33"/>
  <c r="H176" i="33"/>
  <c r="G176" i="33"/>
  <c r="K167" i="33"/>
  <c r="K166" i="33" s="1"/>
  <c r="J167" i="33"/>
  <c r="J166" i="33" s="1"/>
  <c r="B49" i="13" s="1"/>
  <c r="I167" i="33"/>
  <c r="I166" i="33" s="1"/>
  <c r="D49" i="13" s="1"/>
  <c r="H167" i="33"/>
  <c r="H166" i="33" s="1"/>
  <c r="G167" i="33"/>
  <c r="G166" i="33" s="1"/>
  <c r="K157" i="33"/>
  <c r="K161" i="33" s="1"/>
  <c r="J157" i="33"/>
  <c r="I157" i="33"/>
  <c r="H157" i="33"/>
  <c r="G157" i="33"/>
  <c r="G161" i="33" s="1"/>
  <c r="K151" i="33"/>
  <c r="J151" i="33"/>
  <c r="I151" i="33"/>
  <c r="H151" i="33"/>
  <c r="G151" i="33"/>
  <c r="K143" i="33"/>
  <c r="K259" i="33" s="1"/>
  <c r="J143" i="33"/>
  <c r="J259" i="33" s="1"/>
  <c r="I143" i="33"/>
  <c r="H143" i="33"/>
  <c r="G143" i="33"/>
  <c r="G259" i="33" s="1"/>
  <c r="K136" i="33"/>
  <c r="J136" i="33"/>
  <c r="I136" i="33"/>
  <c r="H136" i="33"/>
  <c r="G136" i="33"/>
  <c r="K133" i="33"/>
  <c r="J133" i="33"/>
  <c r="I133" i="33"/>
  <c r="H133" i="33"/>
  <c r="G133" i="33"/>
  <c r="H46" i="13" s="1"/>
  <c r="H44" i="13" s="1"/>
  <c r="H47" i="13" s="1"/>
  <c r="K124" i="33"/>
  <c r="J124" i="33"/>
  <c r="I124" i="33"/>
  <c r="H124" i="33"/>
  <c r="G124" i="33"/>
  <c r="K112" i="33"/>
  <c r="K118" i="33" s="1"/>
  <c r="J112" i="33"/>
  <c r="B35" i="13" s="1"/>
  <c r="I112" i="33"/>
  <c r="D35" i="13" s="1"/>
  <c r="H112" i="33"/>
  <c r="G112" i="33"/>
  <c r="H35" i="13" s="1"/>
  <c r="K106" i="33"/>
  <c r="J106" i="33"/>
  <c r="I106" i="33"/>
  <c r="H106" i="33"/>
  <c r="F34" i="13" s="1"/>
  <c r="G106" i="33"/>
  <c r="H34" i="13" s="1"/>
  <c r="K95" i="33"/>
  <c r="J95" i="33"/>
  <c r="I95" i="33"/>
  <c r="H95" i="33"/>
  <c r="G95" i="33"/>
  <c r="K90" i="33"/>
  <c r="J90" i="33"/>
  <c r="I90" i="33"/>
  <c r="H90" i="33"/>
  <c r="K85" i="33"/>
  <c r="J85" i="33"/>
  <c r="I85" i="33"/>
  <c r="H85" i="33"/>
  <c r="G85" i="33"/>
  <c r="J72" i="33"/>
  <c r="B7" i="13" s="1"/>
  <c r="C7" i="13" s="1"/>
  <c r="I72" i="33"/>
  <c r="D7" i="13" s="1"/>
  <c r="H72" i="33"/>
  <c r="F7" i="13" s="1"/>
  <c r="G72" i="33"/>
  <c r="H7" i="13" s="1"/>
  <c r="G7" i="13" s="1"/>
  <c r="K66" i="33"/>
  <c r="J66" i="33"/>
  <c r="I66" i="33"/>
  <c r="H66" i="33"/>
  <c r="G66" i="33"/>
  <c r="K60" i="33"/>
  <c r="J60" i="33"/>
  <c r="I60" i="33"/>
  <c r="H60" i="33"/>
  <c r="G60" i="33"/>
  <c r="K57" i="33"/>
  <c r="J57" i="33"/>
  <c r="I57" i="33"/>
  <c r="H57" i="33"/>
  <c r="G57" i="33"/>
  <c r="K51" i="33"/>
  <c r="J51" i="33"/>
  <c r="B14" i="13" s="1"/>
  <c r="I51" i="33"/>
  <c r="D14" i="13" s="1"/>
  <c r="H51" i="33"/>
  <c r="F14" i="13" s="1"/>
  <c r="G51" i="33"/>
  <c r="H14" i="13" s="1"/>
  <c r="K48" i="33"/>
  <c r="J48" i="33"/>
  <c r="I48" i="33"/>
  <c r="H48" i="33"/>
  <c r="G48" i="33"/>
  <c r="K44" i="33"/>
  <c r="J44" i="33"/>
  <c r="I44" i="33"/>
  <c r="H44" i="33"/>
  <c r="G44" i="33"/>
  <c r="K37" i="33"/>
  <c r="J37" i="33"/>
  <c r="I37" i="33"/>
  <c r="H37" i="33"/>
  <c r="G37" i="33"/>
  <c r="K33" i="33"/>
  <c r="I33" i="33"/>
  <c r="I25" i="33" s="1"/>
  <c r="D10" i="13" s="1"/>
  <c r="H33" i="33"/>
  <c r="G33" i="33"/>
  <c r="K30" i="33"/>
  <c r="J30" i="33"/>
  <c r="I30" i="33"/>
  <c r="H30" i="33"/>
  <c r="G30" i="33"/>
  <c r="K26" i="33"/>
  <c r="K25" i="33" s="1"/>
  <c r="J26" i="33"/>
  <c r="I26" i="33"/>
  <c r="H26" i="33"/>
  <c r="H25" i="33" s="1"/>
  <c r="F10" i="13" s="1"/>
  <c r="G26" i="33"/>
  <c r="G25" i="33" s="1"/>
  <c r="H10" i="13" s="1"/>
  <c r="K15" i="33"/>
  <c r="J15" i="33"/>
  <c r="I15" i="33"/>
  <c r="H15" i="33"/>
  <c r="G15" i="33"/>
  <c r="K11" i="33"/>
  <c r="K10" i="33" s="1"/>
  <c r="K22" i="33" s="1"/>
  <c r="J11" i="33"/>
  <c r="B5" i="13" s="1"/>
  <c r="I11" i="33"/>
  <c r="H11" i="33"/>
  <c r="F5" i="13" s="1"/>
  <c r="G11" i="33"/>
  <c r="I10" i="33"/>
  <c r="I22" i="33" s="1"/>
  <c r="H192" i="33" l="1"/>
  <c r="F49" i="13"/>
  <c r="E10" i="13"/>
  <c r="F38" i="13"/>
  <c r="G34" i="13"/>
  <c r="I195" i="33"/>
  <c r="D51" i="13"/>
  <c r="F70" i="13"/>
  <c r="G56" i="13"/>
  <c r="F71" i="13"/>
  <c r="G22" i="33"/>
  <c r="G42" i="33" s="1"/>
  <c r="G54" i="33" s="1"/>
  <c r="G10" i="33"/>
  <c r="H5" i="13"/>
  <c r="I14" i="13"/>
  <c r="I118" i="33"/>
  <c r="I120" i="33" s="1"/>
  <c r="D34" i="13"/>
  <c r="H118" i="33"/>
  <c r="F35" i="13"/>
  <c r="G35" i="13" s="1"/>
  <c r="G118" i="33"/>
  <c r="G162" i="33" s="1"/>
  <c r="G223" i="33" s="1"/>
  <c r="F46" i="13"/>
  <c r="G140" i="33"/>
  <c r="K140" i="33"/>
  <c r="K260" i="33" s="1"/>
  <c r="H73" i="13"/>
  <c r="H72" i="13"/>
  <c r="C64" i="13"/>
  <c r="C51" i="13"/>
  <c r="D70" i="13"/>
  <c r="E56" i="13"/>
  <c r="D71" i="13"/>
  <c r="E35" i="13"/>
  <c r="D46" i="13"/>
  <c r="C49" i="13"/>
  <c r="G62" i="13"/>
  <c r="F61" i="13"/>
  <c r="G61" i="13" s="1"/>
  <c r="C56" i="13"/>
  <c r="D5" i="13"/>
  <c r="E14" i="13"/>
  <c r="E7" i="13"/>
  <c r="H36" i="13"/>
  <c r="H38" i="13"/>
  <c r="C35" i="13"/>
  <c r="G263" i="33"/>
  <c r="K263" i="33"/>
  <c r="B46" i="13"/>
  <c r="H161" i="33"/>
  <c r="G192" i="33"/>
  <c r="G221" i="33" s="1"/>
  <c r="H49" i="13"/>
  <c r="H65" i="13" s="1"/>
  <c r="K192" i="33"/>
  <c r="E62" i="13"/>
  <c r="D61" i="13"/>
  <c r="G64" i="13"/>
  <c r="G195" i="33"/>
  <c r="G220" i="33" s="1"/>
  <c r="G51" i="13"/>
  <c r="F50" i="13"/>
  <c r="H70" i="13"/>
  <c r="H71" i="13"/>
  <c r="E5" i="13"/>
  <c r="G22" i="13"/>
  <c r="G17" i="13"/>
  <c r="G10" i="13"/>
  <c r="G19" i="13"/>
  <c r="G14" i="13"/>
  <c r="G5" i="13"/>
  <c r="D81" i="13"/>
  <c r="G20" i="13"/>
  <c r="G12" i="13"/>
  <c r="G28" i="13"/>
  <c r="G18" i="13"/>
  <c r="G21" i="13"/>
  <c r="G27" i="13"/>
  <c r="G11" i="13"/>
  <c r="G24" i="13"/>
  <c r="G15" i="13"/>
  <c r="F69" i="13"/>
  <c r="H10" i="33"/>
  <c r="H22" i="33" s="1"/>
  <c r="H254" i="33" s="1"/>
  <c r="J195" i="33"/>
  <c r="J181" i="33"/>
  <c r="J161" i="33"/>
  <c r="J241" i="33" s="1"/>
  <c r="J263" i="33"/>
  <c r="J140" i="33"/>
  <c r="J118" i="33"/>
  <c r="J120" i="33" s="1"/>
  <c r="B34" i="13"/>
  <c r="C34" i="13" s="1"/>
  <c r="C22" i="13"/>
  <c r="C19" i="13"/>
  <c r="C17" i="13"/>
  <c r="C15" i="13"/>
  <c r="C21" i="13"/>
  <c r="C28" i="13"/>
  <c r="C18" i="13"/>
  <c r="C11" i="13"/>
  <c r="C14" i="13"/>
  <c r="C12" i="13"/>
  <c r="C24" i="13"/>
  <c r="C20" i="13"/>
  <c r="C27" i="13"/>
  <c r="B81" i="13"/>
  <c r="J10" i="33"/>
  <c r="C5" i="13"/>
  <c r="H221" i="33"/>
  <c r="J220" i="33"/>
  <c r="I220" i="33"/>
  <c r="I251" i="33"/>
  <c r="I252" i="33" s="1"/>
  <c r="I247" i="33"/>
  <c r="I248" i="33" s="1"/>
  <c r="K262" i="33"/>
  <c r="K162" i="33"/>
  <c r="K120" i="33"/>
  <c r="I140" i="33"/>
  <c r="I263" i="33"/>
  <c r="G260" i="33"/>
  <c r="I161" i="33"/>
  <c r="I259" i="33"/>
  <c r="H263" i="33"/>
  <c r="H259" i="33"/>
  <c r="I192" i="33"/>
  <c r="J192" i="33"/>
  <c r="J221" i="33" s="1"/>
  <c r="K249" i="33"/>
  <c r="K250" i="33" s="1"/>
  <c r="K42" i="33"/>
  <c r="K54" i="33" s="1"/>
  <c r="K254" i="33"/>
  <c r="K251" i="33"/>
  <c r="K252" i="33" s="1"/>
  <c r="K247" i="33"/>
  <c r="K248" i="33" s="1"/>
  <c r="K253" i="33" s="1"/>
  <c r="J244" i="33"/>
  <c r="J242" i="33"/>
  <c r="I244" i="33"/>
  <c r="I242" i="33"/>
  <c r="I243" i="33" s="1"/>
  <c r="G249" i="33"/>
  <c r="G250" i="33" s="1"/>
  <c r="G251" i="33"/>
  <c r="G252" i="33" s="1"/>
  <c r="G247" i="33"/>
  <c r="G248" i="33" s="1"/>
  <c r="H262" i="33"/>
  <c r="H120" i="33"/>
  <c r="G262" i="33"/>
  <c r="G244" i="33"/>
  <c r="G242" i="33"/>
  <c r="G243" i="33" s="1"/>
  <c r="G241" i="33"/>
  <c r="H242" i="33"/>
  <c r="H241" i="33"/>
  <c r="H244" i="33"/>
  <c r="I254" i="33"/>
  <c r="I249" i="33"/>
  <c r="I250" i="33" s="1"/>
  <c r="I42" i="33"/>
  <c r="I54" i="33" s="1"/>
  <c r="J260" i="33"/>
  <c r="H251" i="33"/>
  <c r="H252" i="33" s="1"/>
  <c r="H247" i="33"/>
  <c r="H248" i="33" s="1"/>
  <c r="J25" i="33"/>
  <c r="B10" i="13" s="1"/>
  <c r="C10" i="13" s="1"/>
  <c r="I162" i="33"/>
  <c r="K220" i="33"/>
  <c r="H140" i="33"/>
  <c r="H260" i="33" s="1"/>
  <c r="G3" i="32"/>
  <c r="H74" i="13" l="1"/>
  <c r="H48" i="13"/>
  <c r="E46" i="13"/>
  <c r="D44" i="13"/>
  <c r="G38" i="13"/>
  <c r="G49" i="13"/>
  <c r="G254" i="33"/>
  <c r="G50" i="13"/>
  <c r="D54" i="13"/>
  <c r="E61" i="13"/>
  <c r="F54" i="13"/>
  <c r="F65" i="13" s="1"/>
  <c r="G65" i="13" s="1"/>
  <c r="E51" i="13"/>
  <c r="D50" i="13"/>
  <c r="D65" i="13" s="1"/>
  <c r="F36" i="13"/>
  <c r="G120" i="33"/>
  <c r="G255" i="33"/>
  <c r="I262" i="33"/>
  <c r="J162" i="33"/>
  <c r="I241" i="33"/>
  <c r="I28" i="13"/>
  <c r="I17" i="13"/>
  <c r="I24" i="13"/>
  <c r="H69" i="13"/>
  <c r="I27" i="13"/>
  <c r="I18" i="13"/>
  <c r="I19" i="13"/>
  <c r="I20" i="13"/>
  <c r="I15" i="13"/>
  <c r="I21" i="13"/>
  <c r="I11" i="13"/>
  <c r="I12" i="13"/>
  <c r="I22" i="13"/>
  <c r="J262" i="33"/>
  <c r="C46" i="13"/>
  <c r="E28" i="13"/>
  <c r="E15" i="13"/>
  <c r="E24" i="13"/>
  <c r="E22" i="13"/>
  <c r="E17" i="13"/>
  <c r="E11" i="13"/>
  <c r="E12" i="13"/>
  <c r="E30" i="13"/>
  <c r="E20" i="13"/>
  <c r="E19" i="13"/>
  <c r="E27" i="13"/>
  <c r="E21" i="13"/>
  <c r="E18" i="13"/>
  <c r="D69" i="13"/>
  <c r="F44" i="13"/>
  <c r="G46" i="13"/>
  <c r="E34" i="13"/>
  <c r="D36" i="13"/>
  <c r="D38" i="13"/>
  <c r="E38" i="13" s="1"/>
  <c r="I10" i="13"/>
  <c r="E49" i="13"/>
  <c r="H249" i="33"/>
  <c r="H250" i="33" s="1"/>
  <c r="H253" i="33" s="1"/>
  <c r="H255" i="33"/>
  <c r="H42" i="33"/>
  <c r="H54" i="33" s="1"/>
  <c r="H229" i="33" s="1"/>
  <c r="H228" i="33"/>
  <c r="I228" i="33"/>
  <c r="H243" i="33"/>
  <c r="J22" i="33"/>
  <c r="D14" i="39" s="1"/>
  <c r="B71" i="13"/>
  <c r="B70" i="13"/>
  <c r="G253" i="33"/>
  <c r="I221" i="33"/>
  <c r="I255" i="33" s="1"/>
  <c r="I233" i="33"/>
  <c r="I229" i="33"/>
  <c r="I64" i="33"/>
  <c r="K233" i="33"/>
  <c r="K258" i="33"/>
  <c r="K64" i="33"/>
  <c r="I260" i="33"/>
  <c r="G233" i="33"/>
  <c r="G258" i="33"/>
  <c r="G64" i="33"/>
  <c r="J251" i="33"/>
  <c r="J252" i="33" s="1"/>
  <c r="J247" i="33"/>
  <c r="J248" i="33" s="1"/>
  <c r="K242" i="33"/>
  <c r="K243" i="33" s="1"/>
  <c r="K244" i="33"/>
  <c r="K241" i="33"/>
  <c r="H162" i="33"/>
  <c r="H223" i="33" s="1"/>
  <c r="J223" i="33"/>
  <c r="H64" i="33"/>
  <c r="H233" i="33"/>
  <c r="I253" i="33"/>
  <c r="K221" i="33"/>
  <c r="K255" i="33" s="1"/>
  <c r="Q16" i="19"/>
  <c r="I16" i="19"/>
  <c r="A15" i="19"/>
  <c r="Q15" i="19" s="1"/>
  <c r="A16" i="19"/>
  <c r="A17" i="18"/>
  <c r="A16" i="18" s="1"/>
  <c r="A15" i="18" s="1"/>
  <c r="A14" i="18" s="1"/>
  <c r="A13" i="18" s="1"/>
  <c r="A12" i="18" s="1"/>
  <c r="A11" i="18" s="1"/>
  <c r="A10" i="18" s="1"/>
  <c r="A9" i="18" s="1"/>
  <c r="A8" i="18" s="1"/>
  <c r="A7" i="18" s="1"/>
  <c r="A6" i="18" s="1"/>
  <c r="E65" i="13" l="1"/>
  <c r="G44" i="13"/>
  <c r="F47" i="13"/>
  <c r="D72" i="13"/>
  <c r="D73" i="13"/>
  <c r="E54" i="13"/>
  <c r="D47" i="13"/>
  <c r="E44" i="13"/>
  <c r="A14" i="19"/>
  <c r="D74" i="13"/>
  <c r="E36" i="13"/>
  <c r="D48" i="13"/>
  <c r="G54" i="13"/>
  <c r="F72" i="13"/>
  <c r="F73" i="13"/>
  <c r="E50" i="13"/>
  <c r="I15" i="19"/>
  <c r="G36" i="13"/>
  <c r="F74" i="13"/>
  <c r="F48" i="13"/>
  <c r="K228" i="33"/>
  <c r="J249" i="33"/>
  <c r="J250" i="33" s="1"/>
  <c r="J253" i="33" s="1"/>
  <c r="J228" i="33"/>
  <c r="J254" i="33"/>
  <c r="J255" i="33"/>
  <c r="J42" i="33"/>
  <c r="J54" i="33" s="1"/>
  <c r="J233" i="33" s="1"/>
  <c r="J243" i="33"/>
  <c r="I223" i="33"/>
  <c r="K223" i="33"/>
  <c r="K236" i="33"/>
  <c r="K80" i="33"/>
  <c r="K83" i="33" s="1"/>
  <c r="I80" i="33"/>
  <c r="I83" i="33" s="1"/>
  <c r="I258" i="33"/>
  <c r="I236" i="33"/>
  <c r="G236" i="33"/>
  <c r="G80" i="33"/>
  <c r="G83" i="33" s="1"/>
  <c r="H258" i="33"/>
  <c r="H236" i="33"/>
  <c r="H80" i="33"/>
  <c r="H83" i="33" s="1"/>
  <c r="AD7" i="32"/>
  <c r="AC7" i="32"/>
  <c r="AB7" i="32"/>
  <c r="AA7" i="32"/>
  <c r="Z7" i="32"/>
  <c r="Y7" i="32"/>
  <c r="X7" i="32"/>
  <c r="W7" i="32"/>
  <c r="V7" i="32"/>
  <c r="U7" i="32"/>
  <c r="T7" i="32"/>
  <c r="S7" i="32"/>
  <c r="R7" i="32"/>
  <c r="Q7" i="32"/>
  <c r="P7" i="32"/>
  <c r="O7" i="32"/>
  <c r="N7" i="32"/>
  <c r="M7" i="32"/>
  <c r="L7" i="32"/>
  <c r="K7" i="32"/>
  <c r="J7" i="32"/>
  <c r="I7" i="32"/>
  <c r="H7" i="32"/>
  <c r="G7" i="32"/>
  <c r="D7" i="32"/>
  <c r="F6" i="32"/>
  <c r="E6" i="32"/>
  <c r="F5" i="32"/>
  <c r="E5" i="32"/>
  <c r="E7" i="32" s="1"/>
  <c r="I3" i="32"/>
  <c r="K3" i="32" s="1"/>
  <c r="M3" i="32" s="1"/>
  <c r="O3" i="32" s="1"/>
  <c r="Q3" i="32" s="1"/>
  <c r="S3" i="32" s="1"/>
  <c r="U3" i="32" s="1"/>
  <c r="W3" i="32" s="1"/>
  <c r="Y3" i="32" s="1"/>
  <c r="AA3" i="32" s="1"/>
  <c r="AC3" i="32" s="1"/>
  <c r="U18" i="31"/>
  <c r="T18" i="31"/>
  <c r="S18" i="31"/>
  <c r="R18" i="31"/>
  <c r="Q18" i="31"/>
  <c r="P18" i="31"/>
  <c r="O18" i="31"/>
  <c r="N18" i="31"/>
  <c r="M18" i="31"/>
  <c r="L18" i="31"/>
  <c r="K18" i="31"/>
  <c r="J18" i="31"/>
  <c r="I17" i="31"/>
  <c r="H17" i="31"/>
  <c r="I16" i="31"/>
  <c r="H16" i="31"/>
  <c r="I15" i="31"/>
  <c r="H15" i="31"/>
  <c r="I14" i="31"/>
  <c r="H14" i="31"/>
  <c r="I13" i="31"/>
  <c r="H13" i="31"/>
  <c r="I12" i="31"/>
  <c r="I18" i="31" s="1"/>
  <c r="H12" i="31"/>
  <c r="H18" i="31" s="1"/>
  <c r="J10" i="31"/>
  <c r="L10" i="31" s="1"/>
  <c r="N10" i="31" s="1"/>
  <c r="P10" i="31" s="1"/>
  <c r="R10" i="31" s="1"/>
  <c r="T10" i="31" s="1"/>
  <c r="AH7" i="31"/>
  <c r="AG7" i="31"/>
  <c r="AF7" i="31"/>
  <c r="AE7" i="31"/>
  <c r="AD7" i="31"/>
  <c r="AC7" i="31"/>
  <c r="AB7" i="31"/>
  <c r="AA7" i="31"/>
  <c r="Z7" i="31"/>
  <c r="Y7" i="31"/>
  <c r="X7" i="31"/>
  <c r="W7" i="31"/>
  <c r="V7" i="31"/>
  <c r="U7" i="31"/>
  <c r="T7" i="31"/>
  <c r="S7" i="31"/>
  <c r="R7" i="31"/>
  <c r="Q7" i="31"/>
  <c r="P7" i="31"/>
  <c r="O7" i="31"/>
  <c r="N7" i="31"/>
  <c r="M7" i="31"/>
  <c r="L7" i="31"/>
  <c r="K7" i="31"/>
  <c r="J7" i="31"/>
  <c r="E7" i="31"/>
  <c r="D7" i="31"/>
  <c r="I6" i="31"/>
  <c r="H6" i="31"/>
  <c r="I5" i="31"/>
  <c r="I7" i="31" s="1"/>
  <c r="H5" i="31"/>
  <c r="H7" i="31" s="1"/>
  <c r="L3" i="31"/>
  <c r="N3" i="31" s="1"/>
  <c r="P3" i="31" s="1"/>
  <c r="R3" i="31" s="1"/>
  <c r="T3" i="31" s="1"/>
  <c r="V3" i="31" s="1"/>
  <c r="X3" i="31" s="1"/>
  <c r="Z3" i="31" s="1"/>
  <c r="AB3" i="31" s="1"/>
  <c r="AD3" i="31" s="1"/>
  <c r="AF3" i="31" s="1"/>
  <c r="A13" i="19" l="1"/>
  <c r="Q14" i="19"/>
  <c r="I14" i="19"/>
  <c r="E48" i="13"/>
  <c r="G48" i="13"/>
  <c r="F7" i="32"/>
  <c r="E47" i="13"/>
  <c r="G47" i="13"/>
  <c r="J64" i="33"/>
  <c r="J229" i="33"/>
  <c r="J258" i="33"/>
  <c r="K229" i="33"/>
  <c r="G88" i="33"/>
  <c r="G91" i="33"/>
  <c r="K88" i="33"/>
  <c r="K91" i="33"/>
  <c r="H91" i="33"/>
  <c r="H88" i="33"/>
  <c r="I91" i="33"/>
  <c r="I88" i="33"/>
  <c r="J80" i="33"/>
  <c r="J83" i="33" s="1"/>
  <c r="J236" i="33"/>
  <c r="V31" i="19"/>
  <c r="T31" i="19"/>
  <c r="V34" i="19"/>
  <c r="U34" i="19"/>
  <c r="T34" i="19"/>
  <c r="V33" i="19"/>
  <c r="U33" i="19"/>
  <c r="T33" i="19"/>
  <c r="S26" i="19"/>
  <c r="S25" i="19"/>
  <c r="S24" i="19"/>
  <c r="S18" i="19"/>
  <c r="R24" i="19"/>
  <c r="R31" i="19"/>
  <c r="R53" i="19" s="1"/>
  <c r="V18" i="19"/>
  <c r="U18" i="19"/>
  <c r="T18" i="19"/>
  <c r="V17" i="19"/>
  <c r="U17" i="19"/>
  <c r="T17" i="19"/>
  <c r="S17" i="19"/>
  <c r="A12" i="19" l="1"/>
  <c r="Q13" i="19"/>
  <c r="I13" i="19"/>
  <c r="I94" i="33"/>
  <c r="I238" i="33"/>
  <c r="I234" i="33"/>
  <c r="I99" i="33"/>
  <c r="I235" i="33" s="1"/>
  <c r="I230" i="33"/>
  <c r="I237" i="33"/>
  <c r="I98" i="33"/>
  <c r="I261" i="33"/>
  <c r="G237" i="33"/>
  <c r="G98" i="33"/>
  <c r="G234" i="33"/>
  <c r="G94" i="33"/>
  <c r="G238" i="33"/>
  <c r="G99" i="33"/>
  <c r="G235" i="33" s="1"/>
  <c r="G261" i="33"/>
  <c r="K237" i="33"/>
  <c r="K98" i="33"/>
  <c r="K238" i="33"/>
  <c r="K94" i="33"/>
  <c r="K234" i="33"/>
  <c r="K99" i="33"/>
  <c r="K235" i="33" s="1"/>
  <c r="K261" i="33"/>
  <c r="J91" i="33"/>
  <c r="J88" i="33"/>
  <c r="H230" i="33"/>
  <c r="H94" i="33"/>
  <c r="H237" i="33"/>
  <c r="H238" i="33"/>
  <c r="H234" i="33"/>
  <c r="H99" i="33"/>
  <c r="H235" i="33" s="1"/>
  <c r="H98" i="33"/>
  <c r="H261" i="33"/>
  <c r="R17" i="19"/>
  <c r="R18" i="19"/>
  <c r="B46" i="14"/>
  <c r="A11" i="19" l="1"/>
  <c r="Q12" i="19"/>
  <c r="I12" i="19"/>
  <c r="J238" i="33"/>
  <c r="J234" i="33"/>
  <c r="J99" i="33"/>
  <c r="J235" i="33" s="1"/>
  <c r="J237" i="33"/>
  <c r="J98" i="33"/>
  <c r="J230" i="33"/>
  <c r="J261" i="33"/>
  <c r="J94" i="33"/>
  <c r="H14" i="39" s="1"/>
  <c r="K230" i="33"/>
  <c r="C32" i="29"/>
  <c r="A10" i="19" l="1"/>
  <c r="Q11" i="19"/>
  <c r="I11" i="19"/>
  <c r="C44" i="29"/>
  <c r="C41" i="29"/>
  <c r="A41" i="29"/>
  <c r="C40" i="29"/>
  <c r="A40" i="29"/>
  <c r="B39" i="29"/>
  <c r="C38" i="29"/>
  <c r="A38" i="29"/>
  <c r="C37" i="29"/>
  <c r="C36" i="29"/>
  <c r="C35" i="29"/>
  <c r="B32" i="29"/>
  <c r="C31" i="29"/>
  <c r="C33" i="29" s="1"/>
  <c r="B31" i="29"/>
  <c r="A19" i="29"/>
  <c r="B7" i="29"/>
  <c r="B6" i="29"/>
  <c r="O4" i="29" s="1"/>
  <c r="B5" i="29"/>
  <c r="B4" i="29"/>
  <c r="B3" i="29"/>
  <c r="B2" i="29"/>
  <c r="G3" i="21"/>
  <c r="D21" i="21"/>
  <c r="N17" i="19"/>
  <c r="M17" i="19"/>
  <c r="L17" i="19"/>
  <c r="K17" i="19"/>
  <c r="J17" i="19"/>
  <c r="V24" i="19"/>
  <c r="U24" i="19"/>
  <c r="T24" i="19"/>
  <c r="R28" i="19"/>
  <c r="AP25" i="3"/>
  <c r="AP27" i="3"/>
  <c r="AP28" i="3"/>
  <c r="AO28" i="3"/>
  <c r="AO27" i="3"/>
  <c r="A9" i="19" l="1"/>
  <c r="Q10" i="19"/>
  <c r="I10" i="19"/>
  <c r="AP29" i="3"/>
  <c r="A8" i="19" l="1"/>
  <c r="Q9" i="19"/>
  <c r="I9" i="19"/>
  <c r="B5" i="1"/>
  <c r="A7" i="19" l="1"/>
  <c r="Q8" i="19"/>
  <c r="I8" i="19"/>
  <c r="C30" i="1"/>
  <c r="C62" i="28"/>
  <c r="C61" i="28"/>
  <c r="C60" i="20"/>
  <c r="C63" i="14"/>
  <c r="I66" i="2"/>
  <c r="I67" i="2"/>
  <c r="I68" i="2"/>
  <c r="I69" i="2"/>
  <c r="I70" i="2"/>
  <c r="I71" i="2"/>
  <c r="I72" i="2"/>
  <c r="I73" i="2"/>
  <c r="I74" i="2"/>
  <c r="I75" i="2"/>
  <c r="I65" i="2"/>
  <c r="A6" i="19" l="1"/>
  <c r="Q7" i="19"/>
  <c r="I7" i="19"/>
  <c r="B58" i="14"/>
  <c r="C59" i="14"/>
  <c r="C53" i="14"/>
  <c r="C51" i="14"/>
  <c r="G5" i="21"/>
  <c r="G6" i="21"/>
  <c r="A5" i="19" l="1"/>
  <c r="Q6" i="19"/>
  <c r="I6" i="19"/>
  <c r="C50" i="14"/>
  <c r="C46" i="14"/>
  <c r="C48" i="14" s="1"/>
  <c r="B47" i="14"/>
  <c r="Q5" i="19" l="1"/>
  <c r="I5" i="19"/>
  <c r="C60" i="14"/>
  <c r="A60" i="14"/>
  <c r="D22" i="3"/>
  <c r="C47" i="3"/>
  <c r="F48" i="2"/>
  <c r="F31" i="2"/>
  <c r="A59" i="14" l="1"/>
  <c r="B59" i="20"/>
  <c r="C59" i="20" s="1"/>
  <c r="C57" i="14"/>
  <c r="C56" i="14"/>
  <c r="C55" i="14"/>
  <c r="C54" i="14"/>
  <c r="C52" i="14"/>
  <c r="C52" i="20" l="1"/>
  <c r="F65" i="28"/>
  <c r="F66" i="28"/>
  <c r="F67" i="28"/>
  <c r="E67" i="28"/>
  <c r="E66" i="28"/>
  <c r="E65" i="28"/>
  <c r="D67" i="28"/>
  <c r="D66" i="28"/>
  <c r="D65" i="28"/>
  <c r="E70" i="28"/>
  <c r="E71" i="28"/>
  <c r="D71" i="28"/>
  <c r="D70" i="28"/>
  <c r="C51" i="20"/>
  <c r="C52" i="28"/>
  <c r="C53" i="28"/>
  <c r="V53" i="19"/>
  <c r="F71" i="28" s="1"/>
  <c r="C66" i="28"/>
  <c r="U53" i="19"/>
  <c r="H75" i="2" l="1"/>
  <c r="H74" i="2"/>
  <c r="H73" i="2"/>
  <c r="H72" i="2"/>
  <c r="H71" i="2"/>
  <c r="H70" i="2"/>
  <c r="H69" i="2"/>
  <c r="H68" i="2"/>
  <c r="H67" i="2"/>
  <c r="H66" i="2"/>
  <c r="H65" i="2"/>
  <c r="H62" i="2"/>
  <c r="H61" i="2"/>
  <c r="H60" i="2"/>
  <c r="H59" i="2"/>
  <c r="H58" i="2"/>
  <c r="H57" i="2"/>
  <c r="H56" i="2"/>
  <c r="H55" i="2"/>
  <c r="H54" i="2"/>
  <c r="H53" i="2"/>
  <c r="E76" i="2" s="1"/>
  <c r="I76" i="2" l="1"/>
  <c r="C58" i="28"/>
  <c r="C57" i="28"/>
  <c r="B60" i="28"/>
  <c r="C60" i="28" s="1"/>
  <c r="V26" i="19" l="1"/>
  <c r="U26" i="19"/>
  <c r="T26" i="19"/>
  <c r="S33" i="19"/>
  <c r="T32" i="19"/>
  <c r="V32" i="19"/>
  <c r="V30" i="19"/>
  <c r="T30" i="19"/>
  <c r="T53" i="19"/>
  <c r="S53" i="19"/>
  <c r="C71" i="28" s="1"/>
  <c r="C51" i="28" l="1"/>
  <c r="E77" i="28"/>
  <c r="B59" i="28"/>
  <c r="C59" i="28" s="1"/>
  <c r="C56" i="28"/>
  <c r="C55" i="28"/>
  <c r="C54" i="28"/>
  <c r="B9" i="28"/>
  <c r="B8" i="28"/>
  <c r="B7" i="28"/>
  <c r="B6" i="28"/>
  <c r="IR14" i="28" s="1"/>
  <c r="B4" i="28"/>
  <c r="B47" i="28" s="1"/>
  <c r="B3" i="28"/>
  <c r="IR49" i="28" l="1"/>
  <c r="IR50" i="28" s="1"/>
  <c r="IR40" i="28"/>
  <c r="IR41" i="28" s="1"/>
  <c r="IR53" i="28"/>
  <c r="B5" i="28"/>
  <c r="IV13" i="28" s="1"/>
  <c r="B46" i="28"/>
  <c r="B48" i="28" s="1"/>
  <c r="B3" i="20"/>
  <c r="B26" i="28" l="1"/>
  <c r="H93" i="13" l="1"/>
  <c r="F93" i="13"/>
  <c r="D93" i="13"/>
  <c r="B93" i="13"/>
  <c r="H64" i="1" l="1"/>
  <c r="F64" i="1"/>
  <c r="D64" i="1"/>
  <c r="B64" i="1"/>
  <c r="H63" i="1"/>
  <c r="F63" i="1"/>
  <c r="D63" i="1"/>
  <c r="B63" i="1"/>
  <c r="H62" i="1"/>
  <c r="F62" i="1"/>
  <c r="D62" i="1"/>
  <c r="B62" i="1"/>
  <c r="H60" i="1"/>
  <c r="F60" i="1"/>
  <c r="D60" i="1"/>
  <c r="B60" i="1"/>
  <c r="H59" i="1"/>
  <c r="F59" i="1"/>
  <c r="D59" i="1"/>
  <c r="B59" i="1"/>
  <c r="H58" i="1"/>
  <c r="F58" i="1"/>
  <c r="D58" i="1"/>
  <c r="B58" i="1"/>
  <c r="H56" i="1"/>
  <c r="F56" i="1"/>
  <c r="D56" i="1"/>
  <c r="B56" i="1"/>
  <c r="H55" i="1"/>
  <c r="F55" i="1"/>
  <c r="D55" i="1"/>
  <c r="B55" i="1"/>
  <c r="H53" i="1"/>
  <c r="F53" i="1"/>
  <c r="D53" i="1"/>
  <c r="H52" i="1"/>
  <c r="F52" i="1"/>
  <c r="D52" i="1"/>
  <c r="H51" i="1"/>
  <c r="F51" i="1"/>
  <c r="D51" i="1"/>
  <c r="H49" i="1"/>
  <c r="F49" i="1"/>
  <c r="D49" i="1"/>
  <c r="H46" i="1"/>
  <c r="F46" i="1"/>
  <c r="D46" i="1"/>
  <c r="H45" i="1"/>
  <c r="F45" i="1"/>
  <c r="D45" i="1"/>
  <c r="H43" i="1"/>
  <c r="F43" i="1"/>
  <c r="D43" i="1"/>
  <c r="H42" i="1"/>
  <c r="F42" i="1"/>
  <c r="D42" i="1"/>
  <c r="H40" i="1"/>
  <c r="F40" i="1"/>
  <c r="D40" i="1"/>
  <c r="H39" i="1"/>
  <c r="F39" i="1"/>
  <c r="D39" i="1"/>
  <c r="H37" i="1"/>
  <c r="F37" i="1"/>
  <c r="D37" i="1"/>
  <c r="H35" i="1"/>
  <c r="F35" i="1"/>
  <c r="D35" i="1"/>
  <c r="H34" i="1"/>
  <c r="F34" i="1"/>
  <c r="D34" i="1"/>
  <c r="H28" i="1"/>
  <c r="F28" i="1"/>
  <c r="D28" i="1"/>
  <c r="H27" i="1"/>
  <c r="F27" i="1"/>
  <c r="D27" i="1"/>
  <c r="H24" i="1"/>
  <c r="F24" i="1"/>
  <c r="D24" i="1"/>
  <c r="H22" i="1"/>
  <c r="F22" i="1"/>
  <c r="D22" i="1"/>
  <c r="H21" i="1"/>
  <c r="F21" i="1"/>
  <c r="D21" i="1"/>
  <c r="H20" i="1"/>
  <c r="F20" i="1"/>
  <c r="D20" i="1"/>
  <c r="H19" i="1"/>
  <c r="F19" i="1"/>
  <c r="D19" i="1"/>
  <c r="H18" i="1"/>
  <c r="F18" i="1"/>
  <c r="D18" i="1"/>
  <c r="H17" i="1"/>
  <c r="F17" i="1"/>
  <c r="D17" i="1"/>
  <c r="H15" i="1"/>
  <c r="F15" i="1"/>
  <c r="D15" i="1"/>
  <c r="H14" i="1"/>
  <c r="F14" i="1"/>
  <c r="D14" i="1"/>
  <c r="H12" i="1"/>
  <c r="F12" i="1"/>
  <c r="D12" i="1"/>
  <c r="H11" i="1"/>
  <c r="F11" i="1"/>
  <c r="D11" i="1"/>
  <c r="H10" i="1"/>
  <c r="F10" i="1"/>
  <c r="D10" i="1"/>
  <c r="H7" i="1"/>
  <c r="F7" i="1"/>
  <c r="D7" i="1"/>
  <c r="H6" i="1"/>
  <c r="F6" i="1"/>
  <c r="D6" i="1"/>
  <c r="H5" i="1"/>
  <c r="I30" i="1" s="1"/>
  <c r="F5" i="1"/>
  <c r="D5" i="1"/>
  <c r="B53" i="1"/>
  <c r="C53" i="1" s="1"/>
  <c r="B52" i="1"/>
  <c r="C52" i="1" s="1"/>
  <c r="B51" i="1"/>
  <c r="C51" i="1" s="1"/>
  <c r="B49" i="1"/>
  <c r="B46" i="1"/>
  <c r="C46" i="1" s="1"/>
  <c r="B45" i="1"/>
  <c r="C45" i="1" s="1"/>
  <c r="B43" i="1"/>
  <c r="C43" i="1" s="1"/>
  <c r="B42" i="1"/>
  <c r="B40" i="1"/>
  <c r="C40" i="1" s="1"/>
  <c r="B39" i="1"/>
  <c r="C39" i="1" s="1"/>
  <c r="B37" i="1"/>
  <c r="C37" i="1" s="1"/>
  <c r="B35" i="1"/>
  <c r="B34" i="1"/>
  <c r="C34" i="1" s="1"/>
  <c r="B28" i="1"/>
  <c r="C28" i="1" s="1"/>
  <c r="B27" i="1"/>
  <c r="C27" i="1" s="1"/>
  <c r="B24" i="1"/>
  <c r="C24" i="1" s="1"/>
  <c r="B22" i="1"/>
  <c r="C22" i="1" s="1"/>
  <c r="B21" i="1"/>
  <c r="C21" i="1" s="1"/>
  <c r="B20" i="1"/>
  <c r="C20" i="1" s="1"/>
  <c r="B19" i="1"/>
  <c r="C19" i="1" s="1"/>
  <c r="B18" i="1"/>
  <c r="C18" i="1" s="1"/>
  <c r="B17" i="1"/>
  <c r="C17" i="1" s="1"/>
  <c r="B15" i="1"/>
  <c r="C15" i="1" s="1"/>
  <c r="B14" i="1"/>
  <c r="C14" i="1" s="1"/>
  <c r="B12" i="1"/>
  <c r="C12" i="1" s="1"/>
  <c r="B11" i="1"/>
  <c r="C11" i="1" s="1"/>
  <c r="B10" i="1"/>
  <c r="C10" i="1" s="1"/>
  <c r="B7" i="1"/>
  <c r="C6" i="1"/>
  <c r="G49" i="1" l="1"/>
  <c r="E46" i="1"/>
  <c r="E53" i="1"/>
  <c r="E55" i="1"/>
  <c r="E58" i="1"/>
  <c r="E59" i="1"/>
  <c r="E60" i="1"/>
  <c r="E62" i="1"/>
  <c r="E63" i="1"/>
  <c r="G10" i="1"/>
  <c r="G15" i="1"/>
  <c r="E39" i="1"/>
  <c r="G40" i="1"/>
  <c r="E45" i="1"/>
  <c r="G46" i="1"/>
  <c r="E52" i="1"/>
  <c r="G53" i="1"/>
  <c r="G55" i="1"/>
  <c r="G58" i="1"/>
  <c r="G59" i="1"/>
  <c r="E64" i="1"/>
  <c r="E7" i="1"/>
  <c r="E14" i="1"/>
  <c r="E19" i="1"/>
  <c r="G20" i="1"/>
  <c r="E24" i="1"/>
  <c r="G27" i="1"/>
  <c r="E35" i="1"/>
  <c r="G37" i="1"/>
  <c r="E42" i="1"/>
  <c r="G43" i="1"/>
  <c r="E49" i="1"/>
  <c r="G51" i="1"/>
  <c r="C55" i="1"/>
  <c r="C58" i="1"/>
  <c r="C59" i="1"/>
  <c r="C60" i="1"/>
  <c r="C62" i="1"/>
  <c r="C63" i="1"/>
  <c r="C64" i="1"/>
  <c r="E6" i="1"/>
  <c r="G7" i="1"/>
  <c r="E12" i="1"/>
  <c r="G14" i="1"/>
  <c r="E18" i="1"/>
  <c r="G19" i="1"/>
  <c r="E22" i="1"/>
  <c r="G24" i="1"/>
  <c r="E34" i="1"/>
  <c r="G35" i="1"/>
  <c r="E40" i="1"/>
  <c r="G42" i="1"/>
  <c r="G60" i="1"/>
  <c r="G62" i="1"/>
  <c r="G63" i="1"/>
  <c r="G64" i="1"/>
  <c r="G6" i="1"/>
  <c r="G12" i="1"/>
  <c r="G18" i="1"/>
  <c r="G22" i="1"/>
  <c r="G34" i="1"/>
  <c r="I21" i="1"/>
  <c r="B71" i="1"/>
  <c r="B70" i="1"/>
  <c r="C56" i="1"/>
  <c r="I10" i="1"/>
  <c r="I27" i="1"/>
  <c r="C42" i="1"/>
  <c r="D81" i="1"/>
  <c r="E30" i="1"/>
  <c r="E5" i="1"/>
  <c r="B81" i="1"/>
  <c r="C5" i="1"/>
  <c r="I14" i="1"/>
  <c r="E17" i="1"/>
  <c r="I19" i="1"/>
  <c r="E21" i="1"/>
  <c r="I24" i="1"/>
  <c r="E28" i="1"/>
  <c r="F70" i="1"/>
  <c r="F71" i="1"/>
  <c r="G56" i="1"/>
  <c r="I11" i="1"/>
  <c r="I17" i="1"/>
  <c r="I28" i="1"/>
  <c r="I15" i="1"/>
  <c r="I20" i="1"/>
  <c r="D71" i="1"/>
  <c r="E56" i="1"/>
  <c r="D70" i="1"/>
  <c r="C7" i="1"/>
  <c r="C35" i="1"/>
  <c r="C49" i="1"/>
  <c r="E11" i="1"/>
  <c r="G5" i="1"/>
  <c r="G30" i="1"/>
  <c r="E10" i="1"/>
  <c r="G11" i="1"/>
  <c r="I12" i="1"/>
  <c r="E15" i="1"/>
  <c r="G17" i="1"/>
  <c r="I18" i="1"/>
  <c r="E20" i="1"/>
  <c r="G21" i="1"/>
  <c r="I22" i="1"/>
  <c r="E27" i="1"/>
  <c r="G28" i="1"/>
  <c r="E37" i="1"/>
  <c r="G39" i="1"/>
  <c r="E43" i="1"/>
  <c r="G45" i="1"/>
  <c r="E51" i="1"/>
  <c r="G52" i="1"/>
  <c r="H70" i="1"/>
  <c r="H71" i="1"/>
  <c r="F93" i="1"/>
  <c r="H93" i="1"/>
  <c r="B93" i="1"/>
  <c r="D93" i="1"/>
  <c r="B6" i="14" l="1"/>
  <c r="B5" i="14"/>
  <c r="B4" i="14"/>
  <c r="B3" i="14"/>
  <c r="B2" i="14"/>
  <c r="B10" i="14" l="1"/>
  <c r="B12" i="14" s="1"/>
  <c r="C58" i="20"/>
  <c r="C57" i="20"/>
  <c r="C56" i="20"/>
  <c r="C55" i="20"/>
  <c r="C54" i="20"/>
  <c r="C53" i="20"/>
  <c r="C50" i="20"/>
  <c r="B7" i="14"/>
  <c r="B9" i="20"/>
  <c r="B7" i="20"/>
  <c r="B6" i="20"/>
  <c r="IR14" i="20" s="1"/>
  <c r="B8" i="20"/>
  <c r="IR43" i="20" s="1"/>
  <c r="B8" i="3"/>
  <c r="B7" i="3"/>
  <c r="AO10" i="3" s="1"/>
  <c r="D18" i="3" s="1"/>
  <c r="Z52" i="3" s="1"/>
  <c r="B6" i="3"/>
  <c r="B3" i="2" s="1"/>
  <c r="B5" i="3"/>
  <c r="B4" i="20"/>
  <c r="B45" i="20" s="1"/>
  <c r="B18" i="18"/>
  <c r="E79" i="20"/>
  <c r="F66" i="20"/>
  <c r="E66" i="20"/>
  <c r="D66" i="20"/>
  <c r="C66" i="20"/>
  <c r="F64" i="20"/>
  <c r="E64" i="20"/>
  <c r="D64" i="20"/>
  <c r="C64" i="20"/>
  <c r="V35" i="19"/>
  <c r="V55" i="19" s="1"/>
  <c r="U35" i="19"/>
  <c r="U55" i="19" s="1"/>
  <c r="T35" i="19"/>
  <c r="T55" i="19" s="1"/>
  <c r="S35" i="19"/>
  <c r="R35" i="19"/>
  <c r="V27" i="19"/>
  <c r="U27" i="19"/>
  <c r="T27" i="19"/>
  <c r="S27" i="19"/>
  <c r="S34" i="19" s="1"/>
  <c r="R27" i="19"/>
  <c r="JC26" i="19"/>
  <c r="JC25" i="19"/>
  <c r="IZ25" i="19"/>
  <c r="V25" i="19"/>
  <c r="U25" i="19"/>
  <c r="T25" i="19"/>
  <c r="C67" i="28"/>
  <c r="R25" i="19"/>
  <c r="R32" i="19" s="1"/>
  <c r="JE24" i="19"/>
  <c r="JE27" i="19" s="1"/>
  <c r="JE30" i="19" s="1"/>
  <c r="JC24" i="19"/>
  <c r="IZ24" i="19"/>
  <c r="IZ23" i="19"/>
  <c r="V23" i="19"/>
  <c r="V52" i="19" s="1"/>
  <c r="F70" i="28" s="1"/>
  <c r="U23" i="19"/>
  <c r="T23" i="19"/>
  <c r="T52" i="19" s="1"/>
  <c r="R23" i="19"/>
  <c r="R52" i="19" s="1"/>
  <c r="F17" i="19"/>
  <c r="F18" i="19" s="1"/>
  <c r="E17" i="19"/>
  <c r="E18" i="19" s="1"/>
  <c r="D17" i="19"/>
  <c r="D18" i="19" s="1"/>
  <c r="C17" i="19"/>
  <c r="C18" i="19" s="1"/>
  <c r="B17" i="19"/>
  <c r="B18" i="19" s="1"/>
  <c r="P18" i="18"/>
  <c r="O18" i="18"/>
  <c r="N18" i="18"/>
  <c r="M18" i="18"/>
  <c r="L18" i="18"/>
  <c r="K18" i="18"/>
  <c r="J18" i="18"/>
  <c r="I18" i="18"/>
  <c r="H18" i="18"/>
  <c r="G18" i="18"/>
  <c r="F18" i="18"/>
  <c r="E18" i="18"/>
  <c r="E19" i="18" s="1"/>
  <c r="E20" i="18" s="1"/>
  <c r="D18" i="18"/>
  <c r="C18" i="18"/>
  <c r="O4" i="14"/>
  <c r="C44" i="3"/>
  <c r="C43" i="3"/>
  <c r="C42" i="3"/>
  <c r="C41" i="3"/>
  <c r="C40" i="3"/>
  <c r="D13" i="2"/>
  <c r="F13" i="2" s="1"/>
  <c r="D14" i="2"/>
  <c r="F14" i="2" s="1"/>
  <c r="D15" i="2"/>
  <c r="F15" i="2" s="1"/>
  <c r="D16" i="2"/>
  <c r="F16" i="2" s="1"/>
  <c r="D17" i="2"/>
  <c r="F17" i="2" s="1"/>
  <c r="D18" i="2"/>
  <c r="F18" i="2" s="1"/>
  <c r="D19" i="2"/>
  <c r="F19" i="2" s="1"/>
  <c r="D20" i="2"/>
  <c r="F20" i="2" s="1"/>
  <c r="D21" i="2"/>
  <c r="F21" i="2" s="1"/>
  <c r="D22" i="2"/>
  <c r="F22" i="2" s="1"/>
  <c r="D23" i="2"/>
  <c r="F23" i="2" s="1"/>
  <c r="D24" i="2"/>
  <c r="F24" i="2" s="1"/>
  <c r="D25" i="2"/>
  <c r="F25" i="2" s="1"/>
  <c r="D26" i="2"/>
  <c r="F26" i="2" s="1"/>
  <c r="H98" i="1"/>
  <c r="F98" i="1"/>
  <c r="F91" i="1"/>
  <c r="H104" i="1"/>
  <c r="F89" i="1"/>
  <c r="H89" i="1"/>
  <c r="H88" i="1"/>
  <c r="D94" i="1"/>
  <c r="D88" i="1"/>
  <c r="C28" i="2"/>
  <c r="D91" i="1"/>
  <c r="D90" i="1"/>
  <c r="B6" i="2"/>
  <c r="B92" i="1"/>
  <c r="Z6" i="3"/>
  <c r="Z8" i="3" s="1"/>
  <c r="B58" i="3" s="1"/>
  <c r="AC6" i="3"/>
  <c r="B5" i="2"/>
  <c r="B94" i="1"/>
  <c r="H104" i="13"/>
  <c r="F104" i="13"/>
  <c r="D104" i="13"/>
  <c r="B104" i="13"/>
  <c r="H98" i="13"/>
  <c r="F98" i="13"/>
  <c r="D98" i="13"/>
  <c r="B98" i="13"/>
  <c r="H94" i="13"/>
  <c r="F94" i="13"/>
  <c r="D94" i="13"/>
  <c r="B94" i="13"/>
  <c r="H92" i="13"/>
  <c r="F92" i="13"/>
  <c r="D92" i="13"/>
  <c r="B92" i="13"/>
  <c r="H91" i="13"/>
  <c r="F91" i="13"/>
  <c r="D91" i="13"/>
  <c r="B91" i="13"/>
  <c r="H90" i="13"/>
  <c r="F90" i="13"/>
  <c r="D90" i="13"/>
  <c r="B90" i="13"/>
  <c r="H89" i="13"/>
  <c r="F89" i="13"/>
  <c r="D89" i="13"/>
  <c r="B89" i="13"/>
  <c r="H88" i="13"/>
  <c r="F88" i="13"/>
  <c r="D88" i="13"/>
  <c r="B88" i="13"/>
  <c r="H82" i="13"/>
  <c r="F82" i="13"/>
  <c r="H81" i="13"/>
  <c r="F81" i="13"/>
  <c r="B61" i="13"/>
  <c r="C61" i="13" s="1"/>
  <c r="H97" i="13"/>
  <c r="B57" i="13"/>
  <c r="B50" i="13"/>
  <c r="C50" i="13" s="1"/>
  <c r="B44" i="13"/>
  <c r="C44" i="13" s="1"/>
  <c r="B41" i="13"/>
  <c r="C41" i="13" s="1"/>
  <c r="B38" i="13"/>
  <c r="C38" i="13" s="1"/>
  <c r="B36" i="13"/>
  <c r="H8" i="13"/>
  <c r="H13" i="13" s="1"/>
  <c r="H16" i="13" s="1"/>
  <c r="H23" i="13" s="1"/>
  <c r="H25" i="13" s="1"/>
  <c r="H26" i="13" s="1"/>
  <c r="H29" i="13" s="1"/>
  <c r="F8" i="13"/>
  <c r="F13" i="13" s="1"/>
  <c r="D8" i="13"/>
  <c r="D13" i="13" s="1"/>
  <c r="B8" i="13"/>
  <c r="D27" i="2"/>
  <c r="F27" i="2" s="1"/>
  <c r="F40" i="2"/>
  <c r="B32" i="3"/>
  <c r="AC37" i="3"/>
  <c r="D9" i="2"/>
  <c r="F9" i="2" s="1"/>
  <c r="D10" i="2"/>
  <c r="F10" i="2" s="1"/>
  <c r="D11" i="2"/>
  <c r="F11" i="2" s="1"/>
  <c r="D12" i="2"/>
  <c r="F12" i="2"/>
  <c r="F37" i="2"/>
  <c r="B10" i="29" s="1"/>
  <c r="B21" i="29" s="1"/>
  <c r="F41" i="2"/>
  <c r="F47" i="2"/>
  <c r="G76" i="2"/>
  <c r="F81" i="1"/>
  <c r="H81" i="1"/>
  <c r="F82" i="1"/>
  <c r="H82" i="1"/>
  <c r="H94" i="1"/>
  <c r="H99" i="13"/>
  <c r="IT39" i="20" l="1"/>
  <c r="B16" i="14" s="1"/>
  <c r="U52" i="19"/>
  <c r="U31" i="19"/>
  <c r="U32" i="19" s="1"/>
  <c r="U30" i="19"/>
  <c r="F16" i="13"/>
  <c r="G13" i="13"/>
  <c r="D16" i="13"/>
  <c r="E13" i="13"/>
  <c r="D78" i="13"/>
  <c r="C8" i="13"/>
  <c r="B74" i="13"/>
  <c r="C36" i="13"/>
  <c r="B69" i="13"/>
  <c r="C57" i="13"/>
  <c r="G8" i="13"/>
  <c r="E8" i="13"/>
  <c r="H19" i="18"/>
  <c r="H20" i="18" s="1"/>
  <c r="B23" i="18" s="1"/>
  <c r="B14" i="29" s="1"/>
  <c r="B19" i="18"/>
  <c r="B20" i="18" s="1"/>
  <c r="N19" i="18"/>
  <c r="N20" i="18" s="1"/>
  <c r="K19" i="18"/>
  <c r="K20" i="18" s="1"/>
  <c r="B16" i="29"/>
  <c r="B19" i="19"/>
  <c r="S23" i="19"/>
  <c r="S31" i="19" s="1"/>
  <c r="S32" i="19" s="1"/>
  <c r="AO11" i="3"/>
  <c r="Z25" i="3" s="1"/>
  <c r="U37" i="19"/>
  <c r="U38" i="19" s="1"/>
  <c r="U36" i="19"/>
  <c r="V37" i="19"/>
  <c r="V38" i="19" s="1"/>
  <c r="V36" i="19"/>
  <c r="T36" i="19"/>
  <c r="T37" i="19"/>
  <c r="T38" i="19" s="1"/>
  <c r="B71" i="28"/>
  <c r="R30" i="19"/>
  <c r="B65" i="28"/>
  <c r="B70" i="28"/>
  <c r="D65" i="20"/>
  <c r="E65" i="20"/>
  <c r="D74" i="20"/>
  <c r="D63" i="20"/>
  <c r="B64" i="20"/>
  <c r="B66" i="28"/>
  <c r="B65" i="20"/>
  <c r="B67" i="28"/>
  <c r="F65" i="20"/>
  <c r="D67" i="20"/>
  <c r="C65" i="20"/>
  <c r="F74" i="20"/>
  <c r="F43" i="2"/>
  <c r="Z13" i="3"/>
  <c r="Z12" i="3"/>
  <c r="IR47" i="20"/>
  <c r="IR48" i="20" s="1"/>
  <c r="IR38" i="20"/>
  <c r="IR44" i="20" s="1"/>
  <c r="F97" i="13"/>
  <c r="H100" i="13"/>
  <c r="H101" i="13" s="1"/>
  <c r="AC11" i="3"/>
  <c r="B100" i="13"/>
  <c r="B99" i="13"/>
  <c r="C5" i="2"/>
  <c r="D5" i="2" s="1"/>
  <c r="F5" i="2" s="1"/>
  <c r="B97" i="13"/>
  <c r="B48" i="13"/>
  <c r="C48" i="13" s="1"/>
  <c r="B54" i="13"/>
  <c r="B47" i="13"/>
  <c r="C47" i="13" s="1"/>
  <c r="AC10" i="3"/>
  <c r="AC13" i="3" s="1"/>
  <c r="D100" i="13"/>
  <c r="F100" i="13"/>
  <c r="AC2" i="3"/>
  <c r="Z2" i="3"/>
  <c r="Z4" i="3" s="1"/>
  <c r="Z46" i="3" s="1"/>
  <c r="B72" i="3" s="1"/>
  <c r="H50" i="1"/>
  <c r="F32" i="2"/>
  <c r="Z10" i="3"/>
  <c r="B63" i="3" s="1"/>
  <c r="D97" i="13"/>
  <c r="F88" i="1"/>
  <c r="F63" i="20"/>
  <c r="F50" i="1"/>
  <c r="AC3" i="3"/>
  <c r="B57" i="1"/>
  <c r="E63" i="20"/>
  <c r="AO29" i="3"/>
  <c r="R34" i="19"/>
  <c r="B74" i="20" s="1"/>
  <c r="F67" i="20"/>
  <c r="B73" i="20"/>
  <c r="Z27" i="3"/>
  <c r="F41" i="1"/>
  <c r="B88" i="1"/>
  <c r="Z3" i="3"/>
  <c r="B90" i="1"/>
  <c r="H91" i="1"/>
  <c r="H41" i="1"/>
  <c r="F57" i="1"/>
  <c r="B28" i="2"/>
  <c r="Z9" i="3" s="1"/>
  <c r="B59" i="3" s="1"/>
  <c r="B61" i="1"/>
  <c r="F8" i="1"/>
  <c r="D50" i="1"/>
  <c r="C6" i="2"/>
  <c r="D6" i="2" s="1"/>
  <c r="F6" i="2" s="1"/>
  <c r="B8" i="2"/>
  <c r="B104" i="1"/>
  <c r="F94" i="1"/>
  <c r="H92" i="1"/>
  <c r="B8" i="1"/>
  <c r="B67" i="20"/>
  <c r="B66" i="20"/>
  <c r="B89" i="1"/>
  <c r="AC7" i="3"/>
  <c r="AC8" i="3" s="1"/>
  <c r="C8" i="2"/>
  <c r="F104" i="1"/>
  <c r="F90" i="1"/>
  <c r="B36" i="1"/>
  <c r="B38" i="1"/>
  <c r="B50" i="1"/>
  <c r="C50" i="1" s="1"/>
  <c r="D57" i="1"/>
  <c r="F38" i="1"/>
  <c r="B44" i="20"/>
  <c r="B46" i="20" s="1"/>
  <c r="B5" i="20"/>
  <c r="D38" i="1"/>
  <c r="Z51" i="3"/>
  <c r="D16" i="3"/>
  <c r="AC30" i="3"/>
  <c r="B30" i="3"/>
  <c r="B31" i="3" s="1"/>
  <c r="AO12" i="3" s="1"/>
  <c r="B49" i="20"/>
  <c r="C49" i="20" s="1"/>
  <c r="B20" i="14"/>
  <c r="F92" i="1"/>
  <c r="E67" i="20"/>
  <c r="E74" i="20"/>
  <c r="B98" i="1"/>
  <c r="F61" i="1"/>
  <c r="B91" i="1"/>
  <c r="B7" i="2"/>
  <c r="D89" i="1"/>
  <c r="D8" i="1"/>
  <c r="B41" i="1"/>
  <c r="D36" i="1"/>
  <c r="D41" i="1"/>
  <c r="D61" i="1"/>
  <c r="B13" i="13"/>
  <c r="F99" i="13"/>
  <c r="D99" i="13"/>
  <c r="C7" i="2"/>
  <c r="B44" i="1"/>
  <c r="B63" i="20"/>
  <c r="H8" i="1"/>
  <c r="H13" i="1" s="1"/>
  <c r="D98" i="1"/>
  <c r="H36" i="1"/>
  <c r="H74" i="1" s="1"/>
  <c r="H38" i="1"/>
  <c r="D92" i="1"/>
  <c r="D104" i="1"/>
  <c r="Z7" i="3"/>
  <c r="D44" i="1"/>
  <c r="F36" i="1"/>
  <c r="F44" i="1"/>
  <c r="H44" i="1"/>
  <c r="H57" i="1"/>
  <c r="H69" i="1" s="1"/>
  <c r="H61" i="1"/>
  <c r="H99" i="1" s="1"/>
  <c r="C74" i="20"/>
  <c r="C67" i="20"/>
  <c r="H90" i="1"/>
  <c r="IR53" i="20"/>
  <c r="E41" i="1" l="1"/>
  <c r="E61" i="1"/>
  <c r="F101" i="13"/>
  <c r="E44" i="1"/>
  <c r="C61" i="1"/>
  <c r="G41" i="1"/>
  <c r="C41" i="1"/>
  <c r="G50" i="1"/>
  <c r="E8" i="1"/>
  <c r="F74" i="1"/>
  <c r="G36" i="1"/>
  <c r="H78" i="1"/>
  <c r="I13" i="1"/>
  <c r="C38" i="1"/>
  <c r="F13" i="1"/>
  <c r="F16" i="1" s="1"/>
  <c r="G8" i="1"/>
  <c r="C57" i="1"/>
  <c r="B69" i="1"/>
  <c r="G38" i="1"/>
  <c r="C36" i="1"/>
  <c r="B74" i="1"/>
  <c r="D74" i="1"/>
  <c r="E36" i="1"/>
  <c r="C44" i="1"/>
  <c r="D69" i="1"/>
  <c r="E57" i="1"/>
  <c r="E38" i="1"/>
  <c r="G44" i="1"/>
  <c r="G61" i="1"/>
  <c r="E50" i="1"/>
  <c r="F69" i="1"/>
  <c r="G57" i="1"/>
  <c r="B13" i="1"/>
  <c r="C8" i="1"/>
  <c r="F23" i="13"/>
  <c r="G16" i="13"/>
  <c r="H78" i="13"/>
  <c r="I13" i="13"/>
  <c r="I23" i="13"/>
  <c r="B65" i="13"/>
  <c r="C65" i="13" s="1"/>
  <c r="C54" i="13"/>
  <c r="B78" i="13"/>
  <c r="C13" i="13"/>
  <c r="D23" i="13"/>
  <c r="D77" i="13"/>
  <c r="D76" i="13"/>
  <c r="E16" i="13"/>
  <c r="D75" i="13"/>
  <c r="F75" i="13"/>
  <c r="F77" i="13"/>
  <c r="F76" i="13"/>
  <c r="F78" i="13"/>
  <c r="B73" i="13"/>
  <c r="B72" i="13"/>
  <c r="B101" i="13"/>
  <c r="B22" i="18"/>
  <c r="B21" i="28" s="1"/>
  <c r="IV14" i="28" s="1"/>
  <c r="IV15" i="28" s="1"/>
  <c r="AO38" i="3"/>
  <c r="AO36" i="3" s="1"/>
  <c r="B76" i="3" s="1"/>
  <c r="AP24" i="3"/>
  <c r="AO24" i="3"/>
  <c r="B18" i="14"/>
  <c r="B21" i="20"/>
  <c r="IV14" i="20" s="1"/>
  <c r="IV19" i="20" s="1"/>
  <c r="IR39" i="20"/>
  <c r="IS38" i="20"/>
  <c r="IS39" i="20" s="1"/>
  <c r="C63" i="20"/>
  <c r="S30" i="19"/>
  <c r="C70" i="20" s="1"/>
  <c r="S52" i="19"/>
  <c r="S55" i="19" s="1"/>
  <c r="C65" i="28"/>
  <c r="R55" i="19"/>
  <c r="B71" i="20"/>
  <c r="R40" i="19"/>
  <c r="B37" i="3"/>
  <c r="D70" i="20"/>
  <c r="E70" i="20"/>
  <c r="F70" i="20"/>
  <c r="B16" i="28"/>
  <c r="Z26" i="3"/>
  <c r="AO33" i="3"/>
  <c r="AC34" i="3"/>
  <c r="B16" i="20"/>
  <c r="AC12" i="3"/>
  <c r="B39" i="3"/>
  <c r="C39" i="3" s="1"/>
  <c r="D101" i="13"/>
  <c r="B54" i="1"/>
  <c r="AC32" i="3"/>
  <c r="F54" i="1"/>
  <c r="Z47" i="3"/>
  <c r="B56" i="3"/>
  <c r="B54" i="3"/>
  <c r="AC4" i="3"/>
  <c r="AC24" i="3" s="1"/>
  <c r="D54" i="1"/>
  <c r="E22" i="3"/>
  <c r="B36" i="3" s="1"/>
  <c r="Z15" i="3"/>
  <c r="B45" i="3" s="1"/>
  <c r="C45" i="3" s="1"/>
  <c r="AO32" i="3"/>
  <c r="F97" i="1"/>
  <c r="D97" i="1"/>
  <c r="D28" i="2"/>
  <c r="F28" i="2" s="1"/>
  <c r="Z24" i="3"/>
  <c r="D8" i="2"/>
  <c r="F8" i="2" s="1"/>
  <c r="B72" i="20"/>
  <c r="H48" i="1"/>
  <c r="D48" i="1"/>
  <c r="D13" i="1"/>
  <c r="IV5" i="20"/>
  <c r="IV13" i="20"/>
  <c r="F100" i="1"/>
  <c r="D100" i="1"/>
  <c r="H16" i="1"/>
  <c r="B70" i="20"/>
  <c r="R36" i="19"/>
  <c r="B16" i="13"/>
  <c r="C16" i="13" s="1"/>
  <c r="D47" i="1"/>
  <c r="B47" i="1"/>
  <c r="D7" i="2"/>
  <c r="F7" i="2" s="1"/>
  <c r="AC36" i="3"/>
  <c r="H54" i="1"/>
  <c r="H97" i="1"/>
  <c r="F48" i="1"/>
  <c r="B100" i="1"/>
  <c r="F99" i="1"/>
  <c r="D99" i="1"/>
  <c r="B97" i="1"/>
  <c r="B48" i="1"/>
  <c r="H100" i="1"/>
  <c r="H47" i="1"/>
  <c r="R37" i="19"/>
  <c r="B99" i="1"/>
  <c r="B35" i="3"/>
  <c r="C35" i="3" s="1"/>
  <c r="F47" i="1"/>
  <c r="G47" i="1" s="1"/>
  <c r="B49" i="28" l="1"/>
  <c r="G48" i="1"/>
  <c r="C47" i="1"/>
  <c r="E48" i="1"/>
  <c r="F73" i="1"/>
  <c r="F72" i="1"/>
  <c r="G54" i="1"/>
  <c r="C48" i="1"/>
  <c r="H72" i="1"/>
  <c r="H73" i="1"/>
  <c r="E47" i="1"/>
  <c r="H76" i="1"/>
  <c r="H75" i="1"/>
  <c r="H77" i="1"/>
  <c r="I16" i="1"/>
  <c r="C54" i="1"/>
  <c r="B73" i="1"/>
  <c r="B72" i="1"/>
  <c r="F78" i="1"/>
  <c r="G13" i="1"/>
  <c r="F77" i="1"/>
  <c r="F75" i="1"/>
  <c r="F76" i="1"/>
  <c r="G16" i="1"/>
  <c r="D78" i="1"/>
  <c r="E13" i="1"/>
  <c r="D73" i="1"/>
  <c r="D72" i="1"/>
  <c r="E54" i="1"/>
  <c r="C13" i="1"/>
  <c r="B78" i="1"/>
  <c r="B55" i="3"/>
  <c r="B57" i="3"/>
  <c r="B60" i="3" s="1"/>
  <c r="B16" i="1"/>
  <c r="B23" i="1" s="1"/>
  <c r="C23" i="1" s="1"/>
  <c r="F25" i="13"/>
  <c r="F86" i="13" s="1"/>
  <c r="F96" i="13" s="1"/>
  <c r="F102" i="13" s="1"/>
  <c r="F106" i="13" s="1"/>
  <c r="G23" i="13"/>
  <c r="I16" i="13"/>
  <c r="H75" i="13"/>
  <c r="H77" i="13"/>
  <c r="H76" i="13"/>
  <c r="D25" i="13"/>
  <c r="E23" i="13"/>
  <c r="B76" i="13"/>
  <c r="B75" i="13"/>
  <c r="IV16" i="20"/>
  <c r="IV17" i="20"/>
  <c r="B47" i="20"/>
  <c r="IV15" i="20"/>
  <c r="IT18" i="20" s="1"/>
  <c r="B15" i="14"/>
  <c r="B14" i="14"/>
  <c r="B26" i="20"/>
  <c r="B12" i="29"/>
  <c r="B20" i="29" s="1"/>
  <c r="A26" i="29"/>
  <c r="C29" i="29" s="1"/>
  <c r="C70" i="28"/>
  <c r="R44" i="19"/>
  <c r="R58" i="19"/>
  <c r="R59" i="19"/>
  <c r="R60" i="19"/>
  <c r="R61" i="19"/>
  <c r="R45" i="19"/>
  <c r="IV19" i="28"/>
  <c r="IV16" i="28"/>
  <c r="S36" i="19"/>
  <c r="S37" i="19"/>
  <c r="S38" i="19" s="1"/>
  <c r="R42" i="19" s="1"/>
  <c r="S40" i="19"/>
  <c r="R43" i="19" s="1"/>
  <c r="B50" i="28"/>
  <c r="C50" i="28" s="1"/>
  <c r="B17" i="28"/>
  <c r="AO35" i="3"/>
  <c r="B75" i="3" s="1"/>
  <c r="B17" i="20"/>
  <c r="IR40" i="20" s="1"/>
  <c r="IR41" i="20" s="1"/>
  <c r="B20" i="20"/>
  <c r="B48" i="20"/>
  <c r="C48" i="20" s="1"/>
  <c r="H23" i="1"/>
  <c r="I23" i="1" s="1"/>
  <c r="B23" i="13"/>
  <c r="C23" i="13" s="1"/>
  <c r="F23" i="1"/>
  <c r="G23" i="1" s="1"/>
  <c r="AC19" i="3"/>
  <c r="B65" i="1"/>
  <c r="D65" i="1"/>
  <c r="F65" i="1"/>
  <c r="D101" i="1"/>
  <c r="F101" i="1"/>
  <c r="B101" i="1"/>
  <c r="Z38" i="3"/>
  <c r="Z28" i="3"/>
  <c r="R38" i="19"/>
  <c r="H65" i="1"/>
  <c r="H66" i="1" s="1"/>
  <c r="D16" i="1"/>
  <c r="H101" i="1"/>
  <c r="IT19" i="28" l="1"/>
  <c r="B20" i="28" s="1"/>
  <c r="B22" i="28" s="1"/>
  <c r="B23" i="28" s="1"/>
  <c r="B28" i="28" s="1"/>
  <c r="C28" i="28" s="1"/>
  <c r="F79" i="13"/>
  <c r="D82" i="13"/>
  <c r="C65" i="1"/>
  <c r="D66" i="1"/>
  <c r="E65" i="1"/>
  <c r="D75" i="1"/>
  <c r="D77" i="1"/>
  <c r="D76" i="1"/>
  <c r="E16" i="1"/>
  <c r="F66" i="1"/>
  <c r="G65" i="1"/>
  <c r="B75" i="1"/>
  <c r="B76" i="1"/>
  <c r="C16" i="1"/>
  <c r="F26" i="13"/>
  <c r="G25" i="13"/>
  <c r="H79" i="13"/>
  <c r="I25" i="13"/>
  <c r="D26" i="13"/>
  <c r="D79" i="13"/>
  <c r="E25" i="13"/>
  <c r="R41" i="19"/>
  <c r="IR42" i="28"/>
  <c r="IR43" i="28" s="1"/>
  <c r="Z36" i="3"/>
  <c r="B22" i="20"/>
  <c r="B23" i="20" s="1"/>
  <c r="B30" i="20" s="1"/>
  <c r="B4" i="2"/>
  <c r="D23" i="1"/>
  <c r="B66" i="1"/>
  <c r="Z35" i="3"/>
  <c r="Z48" i="3"/>
  <c r="Z50" i="3" s="1"/>
  <c r="Z45" i="3"/>
  <c r="Z33" i="3" s="1"/>
  <c r="H86" i="13"/>
  <c r="H96" i="13" s="1"/>
  <c r="H102" i="13" s="1"/>
  <c r="H106" i="13" s="1"/>
  <c r="B25" i="1"/>
  <c r="B25" i="13"/>
  <c r="H25" i="1"/>
  <c r="F25" i="1"/>
  <c r="B30" i="28" l="1"/>
  <c r="C30" i="28" s="1"/>
  <c r="B40" i="28" s="1"/>
  <c r="B29" i="28"/>
  <c r="H79" i="1"/>
  <c r="I25" i="1"/>
  <c r="C4" i="2"/>
  <c r="AC33" i="3" s="1"/>
  <c r="E23" i="1"/>
  <c r="F79" i="1"/>
  <c r="G25" i="1"/>
  <c r="B79" i="1"/>
  <c r="C25" i="1"/>
  <c r="F29" i="13"/>
  <c r="G29" i="13" s="1"/>
  <c r="G26" i="13"/>
  <c r="F80" i="13"/>
  <c r="H80" i="13"/>
  <c r="I26" i="13"/>
  <c r="B79" i="13"/>
  <c r="C25" i="13"/>
  <c r="D80" i="13"/>
  <c r="E26" i="13"/>
  <c r="B82" i="13"/>
  <c r="B38" i="20"/>
  <c r="C38" i="20" s="1"/>
  <c r="B22" i="29"/>
  <c r="B23" i="29"/>
  <c r="B37" i="28"/>
  <c r="B36" i="28"/>
  <c r="B24" i="21" s="1"/>
  <c r="B81" i="3"/>
  <c r="B80" i="3"/>
  <c r="C29" i="28"/>
  <c r="B79" i="3"/>
  <c r="B28" i="20"/>
  <c r="B29" i="20"/>
  <c r="B71" i="3"/>
  <c r="H26" i="1"/>
  <c r="H86" i="1"/>
  <c r="H96" i="1" s="1"/>
  <c r="H102" i="1" s="1"/>
  <c r="H106" i="1" s="1"/>
  <c r="B86" i="1"/>
  <c r="B96" i="1" s="1"/>
  <c r="B102" i="1" s="1"/>
  <c r="B106" i="1" s="1"/>
  <c r="B26" i="1"/>
  <c r="I29" i="13"/>
  <c r="F86" i="1"/>
  <c r="F96" i="1" s="1"/>
  <c r="F102" i="1" s="1"/>
  <c r="F106" i="1" s="1"/>
  <c r="F26" i="1"/>
  <c r="D86" i="13"/>
  <c r="D96" i="13" s="1"/>
  <c r="D102" i="13" s="1"/>
  <c r="D106" i="13" s="1"/>
  <c r="B86" i="13"/>
  <c r="B96" i="13" s="1"/>
  <c r="B102" i="13" s="1"/>
  <c r="B106" i="13" s="1"/>
  <c r="B26" i="13"/>
  <c r="D25" i="1"/>
  <c r="H80" i="1" l="1"/>
  <c r="I26" i="1"/>
  <c r="D79" i="1"/>
  <c r="D82" i="1"/>
  <c r="E25" i="1"/>
  <c r="F80" i="1"/>
  <c r="G26" i="1"/>
  <c r="B82" i="1"/>
  <c r="C26" i="1"/>
  <c r="B80" i="1"/>
  <c r="B80" i="13"/>
  <c r="C26" i="13"/>
  <c r="B29" i="29"/>
  <c r="B30" i="29" s="1"/>
  <c r="B36" i="20"/>
  <c r="C36" i="20" s="1"/>
  <c r="B35" i="20"/>
  <c r="B34" i="20"/>
  <c r="B21" i="21" s="1"/>
  <c r="B39" i="28"/>
  <c r="C39" i="28" s="1"/>
  <c r="B38" i="28"/>
  <c r="C38" i="28" s="1"/>
  <c r="E38" i="20"/>
  <c r="D4" i="2"/>
  <c r="F4" i="2" s="1"/>
  <c r="F29" i="2" s="1"/>
  <c r="F30" i="2" s="1"/>
  <c r="D26" i="1"/>
  <c r="D86" i="1"/>
  <c r="D96" i="1" s="1"/>
  <c r="D102" i="1" s="1"/>
  <c r="D106" i="1" s="1"/>
  <c r="F29" i="1"/>
  <c r="G29" i="1" s="1"/>
  <c r="H29" i="1"/>
  <c r="I29" i="1" s="1"/>
  <c r="Z16" i="3"/>
  <c r="B29" i="13"/>
  <c r="C29" i="13" s="1"/>
  <c r="D29" i="13"/>
  <c r="E29" i="13" s="1"/>
  <c r="B29" i="1"/>
  <c r="C29" i="1" s="1"/>
  <c r="AC35" i="3"/>
  <c r="AC29" i="3" s="1"/>
  <c r="AC31" i="3" s="1"/>
  <c r="D80" i="1" l="1"/>
  <c r="E26" i="1"/>
  <c r="AO22" i="3"/>
  <c r="B61" i="3" s="1"/>
  <c r="B62" i="3" s="1"/>
  <c r="AP22" i="3"/>
  <c r="AP26" i="3" s="1"/>
  <c r="AP30" i="3" s="1"/>
  <c r="Z31" i="3" s="1"/>
  <c r="B22" i="14"/>
  <c r="B23" i="14"/>
  <c r="B42" i="29"/>
  <c r="B43" i="29"/>
  <c r="B33" i="29"/>
  <c r="B34" i="29" s="1"/>
  <c r="B25" i="21"/>
  <c r="E38" i="28"/>
  <c r="E39" i="28"/>
  <c r="E36" i="20"/>
  <c r="C37" i="20"/>
  <c r="E37" i="20"/>
  <c r="B46" i="3"/>
  <c r="C46" i="3" s="1"/>
  <c r="F44" i="2"/>
  <c r="F49" i="2" s="1"/>
  <c r="F34" i="2"/>
  <c r="F38" i="2" s="1"/>
  <c r="D29" i="1"/>
  <c r="E29" i="1" s="1"/>
  <c r="B77" i="27" l="1"/>
  <c r="B77" i="1"/>
  <c r="B77" i="25"/>
  <c r="B77" i="26"/>
  <c r="AO26" i="3"/>
  <c r="AO30" i="3" s="1"/>
  <c r="Z30" i="3" s="1"/>
  <c r="B77" i="13"/>
  <c r="B68" i="3"/>
  <c r="B21" i="3"/>
  <c r="D21" i="3" s="1"/>
  <c r="B26" i="14"/>
  <c r="B31" i="14" s="1"/>
  <c r="B29" i="14"/>
  <c r="B25" i="14"/>
  <c r="B30" i="14" s="1"/>
  <c r="B11" i="3"/>
  <c r="B13" i="21" s="1"/>
  <c r="B17" i="21" l="1"/>
  <c r="B44" i="14"/>
  <c r="A41" i="14"/>
  <c r="B12" i="3"/>
  <c r="B14" i="21" s="1"/>
  <c r="B67" i="3"/>
  <c r="B20" i="3"/>
  <c r="B15" i="21" s="1"/>
  <c r="E21" i="3"/>
  <c r="B29" i="3" l="1"/>
  <c r="B33" i="3" s="1"/>
  <c r="B38" i="3" s="1"/>
  <c r="C38" i="3" s="1"/>
  <c r="E20" i="3"/>
  <c r="D20" i="3"/>
  <c r="B34" i="3" l="1"/>
  <c r="C34" i="3" s="1"/>
  <c r="C29" i="3"/>
  <c r="C36" i="3"/>
  <c r="C31" i="14"/>
  <c r="C44" i="14" l="1"/>
  <c r="B45" i="14"/>
  <c r="B61" i="14" s="1"/>
  <c r="C29" i="14"/>
  <c r="C30" i="14"/>
  <c r="B18" i="21"/>
  <c r="B62" i="14" l="1"/>
  <c r="B48" i="14"/>
  <c r="B49" i="14" s="1"/>
  <c r="B22" i="21"/>
  <c r="C40" i="28" l="1"/>
  <c r="E40" i="28" l="1"/>
  <c r="K102" i="33"/>
  <c r="C9" i="13"/>
  <c r="J226" i="33"/>
  <c r="J102" i="33"/>
  <c r="B32" i="13" l="1"/>
  <c r="I102" i="33"/>
  <c r="G5" i="33"/>
  <c r="C4" i="13"/>
  <c r="AB2" i="3"/>
  <c r="B32" i="1"/>
  <c r="AB10" i="3"/>
  <c r="K226" i="33"/>
  <c r="D3" i="13"/>
  <c r="AB6" i="3"/>
  <c r="Y8" i="3"/>
  <c r="C9" i="1"/>
  <c r="Y6" i="3"/>
  <c r="I226" i="33"/>
  <c r="Y2" i="3"/>
  <c r="Y4" i="3" s="1"/>
  <c r="G5" i="37" l="1"/>
  <c r="G5" i="35"/>
  <c r="G5" i="36"/>
  <c r="G5" i="34"/>
  <c r="H226" i="33"/>
  <c r="F3" i="13"/>
  <c r="H102" i="33"/>
  <c r="C33" i="13"/>
  <c r="C33" i="1" s="1"/>
  <c r="C4" i="1"/>
  <c r="E4" i="13"/>
  <c r="D32" i="13"/>
  <c r="D3" i="1"/>
  <c r="C2" i="2" s="1"/>
  <c r="E9" i="13"/>
  <c r="H5" i="36" l="1"/>
  <c r="F3" i="27" s="1"/>
  <c r="G226" i="36"/>
  <c r="G102" i="36"/>
  <c r="H3" i="27"/>
  <c r="H5" i="35"/>
  <c r="H3" i="26"/>
  <c r="G102" i="35"/>
  <c r="G226" i="35"/>
  <c r="G102" i="34"/>
  <c r="H3" i="25"/>
  <c r="G226" i="34"/>
  <c r="G223" i="37"/>
  <c r="H5" i="37"/>
  <c r="G99" i="37"/>
  <c r="G9" i="13"/>
  <c r="F3" i="1"/>
  <c r="G4" i="13"/>
  <c r="F32" i="13"/>
  <c r="H3" i="13"/>
  <c r="G226" i="33"/>
  <c r="G102" i="33"/>
  <c r="AB3" i="3"/>
  <c r="E9" i="1"/>
  <c r="AB11" i="3"/>
  <c r="Y7" i="3"/>
  <c r="D32" i="1"/>
  <c r="AB7" i="3"/>
  <c r="Y3" i="3"/>
  <c r="E33" i="13"/>
  <c r="E33" i="1" s="1"/>
  <c r="E4" i="1"/>
  <c r="H32" i="25" l="1"/>
  <c r="I9" i="25"/>
  <c r="H32" i="26"/>
  <c r="I9" i="26"/>
  <c r="I9" i="27"/>
  <c r="H32" i="27"/>
  <c r="E3" i="38"/>
  <c r="H99" i="37"/>
  <c r="I5" i="37"/>
  <c r="H223" i="37"/>
  <c r="I5" i="35"/>
  <c r="F3" i="26"/>
  <c r="H226" i="35"/>
  <c r="H102" i="35"/>
  <c r="I5" i="36"/>
  <c r="H102" i="36"/>
  <c r="H226" i="36"/>
  <c r="G33" i="13"/>
  <c r="G33" i="1" s="1"/>
  <c r="G4" i="1"/>
  <c r="G9" i="1"/>
  <c r="F32" i="1"/>
  <c r="H32" i="13"/>
  <c r="H3" i="1"/>
  <c r="I9" i="13"/>
  <c r="G4" i="26" l="1"/>
  <c r="G33" i="26" s="1"/>
  <c r="G9" i="26"/>
  <c r="F32" i="26"/>
  <c r="J5" i="36"/>
  <c r="D3" i="27"/>
  <c r="I102" i="36"/>
  <c r="I226" i="36"/>
  <c r="J5" i="35"/>
  <c r="D3" i="26"/>
  <c r="I102" i="35"/>
  <c r="I226" i="35"/>
  <c r="G9" i="27"/>
  <c r="F32" i="27"/>
  <c r="G4" i="27"/>
  <c r="G33" i="27" s="1"/>
  <c r="F3" i="38"/>
  <c r="I223" i="37"/>
  <c r="J5" i="37"/>
  <c r="I99" i="37"/>
  <c r="I9" i="1"/>
  <c r="H32" i="1"/>
  <c r="K5" i="35" l="1"/>
  <c r="B3" i="26"/>
  <c r="J102" i="35"/>
  <c r="J226" i="35"/>
  <c r="K5" i="36"/>
  <c r="B3" i="27"/>
  <c r="J102" i="36"/>
  <c r="J226" i="36"/>
  <c r="G3" i="38"/>
  <c r="K5" i="37"/>
  <c r="J223" i="37"/>
  <c r="J99" i="37"/>
  <c r="D32" i="26"/>
  <c r="E9" i="26"/>
  <c r="E4" i="26"/>
  <c r="E33" i="26" s="1"/>
  <c r="D32" i="27"/>
  <c r="E4" i="27"/>
  <c r="E33" i="27" s="1"/>
  <c r="E9" i="27"/>
  <c r="H3" i="38" l="1"/>
  <c r="K99" i="37"/>
  <c r="K223" i="37"/>
  <c r="C9" i="27"/>
  <c r="B32" i="27"/>
  <c r="C4" i="27"/>
  <c r="C33" i="27" s="1"/>
  <c r="C4" i="26"/>
  <c r="C33" i="26" s="1"/>
  <c r="C9" i="26"/>
  <c r="B32" i="26"/>
  <c r="K102" i="36"/>
  <c r="K226" i="36"/>
  <c r="K102" i="35"/>
  <c r="K226" i="35"/>
  <c r="E21" i="39"/>
  <c r="E20" i="39"/>
  <c r="E22" i="39"/>
  <c r="D24" i="39"/>
  <c r="E24" i="39" s="1"/>
  <c r="E25" i="3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Mahesh Shetty</author>
  </authors>
  <commentList>
    <comment ref="I3" authorId="0" shapeId="0" xr:uid="{8CD87C33-B5DC-48CB-BA0D-43496DFCD9B6}">
      <text>
        <r>
          <rPr>
            <b/>
            <sz val="9"/>
            <color indexed="81"/>
            <rFont val="Tahoma"/>
            <family val="2"/>
          </rPr>
          <t>Exclusions includes:</t>
        </r>
        <r>
          <rPr>
            <sz val="9"/>
            <color indexed="81"/>
            <rFont val="Tahoma"/>
            <family val="2"/>
          </rPr>
          <t xml:space="preserve"> OUTWARD-RETURN, INWARD-RETURN, LOAN-CREDIT, EMI-RETURN, INTER-FIRM, REVERSED, TRANSACTION-MISSING, INVESTMENT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Saurabh Agrawal     /RSPPG/IBANK/BKC</author>
  </authors>
  <commentList>
    <comment ref="B5" authorId="0" shapeId="0" xr:uid="{00000000-0006-0000-0800-000001000000}">
      <text>
        <r>
          <rPr>
            <b/>
            <sz val="9"/>
            <color indexed="81"/>
            <rFont val="Tahoma"/>
            <family val="2"/>
          </rPr>
          <t xml:space="preserve">Profile </t>
        </r>
      </text>
    </comment>
    <comment ref="B6" authorId="0" shapeId="0" xr:uid="{00000000-0006-0000-0800-000002000000}">
      <text>
        <r>
          <rPr>
            <b/>
            <sz val="9"/>
            <color indexed="81"/>
            <rFont val="Tahoma"/>
            <family val="2"/>
          </rPr>
          <t>Product</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Saurabh Agrawal     /RSPPG/IBANK/BKC</author>
    <author>215736</author>
  </authors>
  <commentList>
    <comment ref="B6" authorId="0" shapeId="0" xr:uid="{00000000-0006-0000-0E00-000001000000}">
      <text>
        <r>
          <rPr>
            <b/>
            <sz val="9"/>
            <color indexed="81"/>
            <rFont val="Tahoma"/>
            <family val="2"/>
          </rPr>
          <t xml:space="preserve">Profile </t>
        </r>
      </text>
    </comment>
    <comment ref="B7" authorId="0" shapeId="0" xr:uid="{00000000-0006-0000-0E00-000002000000}">
      <text>
        <r>
          <rPr>
            <b/>
            <sz val="9"/>
            <color indexed="81"/>
            <rFont val="Tahoma"/>
            <family val="2"/>
          </rPr>
          <t>Product</t>
        </r>
        <r>
          <rPr>
            <sz val="9"/>
            <color indexed="81"/>
            <rFont val="Tahoma"/>
            <family val="2"/>
          </rPr>
          <t xml:space="preserve">
</t>
        </r>
      </text>
    </comment>
    <comment ref="B9" authorId="0" shapeId="0" xr:uid="{00000000-0006-0000-0E00-000003000000}">
      <text>
        <r>
          <rPr>
            <sz val="9"/>
            <color indexed="81"/>
            <rFont val="Tahoma"/>
            <family val="2"/>
          </rPr>
          <t xml:space="preserve">Type of trader
</t>
        </r>
      </text>
    </comment>
    <comment ref="B29" authorId="1" shapeId="0" xr:uid="{00000000-0006-0000-0E00-000004000000}">
      <text>
        <r>
          <rPr>
            <b/>
            <sz val="8"/>
            <color indexed="81"/>
            <rFont val="Tahoma"/>
            <family val="2"/>
          </rPr>
          <t>215736:</t>
        </r>
        <r>
          <rPr>
            <sz val="8"/>
            <color indexed="81"/>
            <rFont val="Tahoma"/>
            <family val="2"/>
          </rPr>
          <t xml:space="preserve">
</t>
        </r>
      </text>
    </comment>
  </commentList>
</comments>
</file>

<file path=xl/sharedStrings.xml><?xml version="1.0" encoding="utf-8"?>
<sst xmlns="http://schemas.openxmlformats.org/spreadsheetml/2006/main" count="3134" uniqueCount="1025">
  <si>
    <t>Profit &amp; Loss Account</t>
  </si>
  <si>
    <t>% Growth</t>
  </si>
  <si>
    <t>Sales</t>
  </si>
  <si>
    <t>Other Income (incidental to Business/Business income)</t>
  </si>
  <si>
    <t>Other Income (Non Business income)</t>
  </si>
  <si>
    <t>Total Income</t>
  </si>
  <si>
    <t>Raw Material Cost</t>
  </si>
  <si>
    <t>Manufacturing expenses</t>
  </si>
  <si>
    <t>Wages &amp; employee cost</t>
  </si>
  <si>
    <t>Gross Profit</t>
  </si>
  <si>
    <t>Administrative Expenses</t>
  </si>
  <si>
    <t>Selling &amp; Distribution Expenses</t>
  </si>
  <si>
    <t>PBDIT</t>
  </si>
  <si>
    <t>Depreciation</t>
  </si>
  <si>
    <t>Non cash expenses written off</t>
  </si>
  <si>
    <t>Profit Before Tax</t>
  </si>
  <si>
    <t>Tax as per ITR</t>
  </si>
  <si>
    <t>PAT</t>
  </si>
  <si>
    <t>Cash Profits</t>
  </si>
  <si>
    <t>Salary to Partner/Director</t>
  </si>
  <si>
    <t>Interest Expenses paid to partners/director</t>
  </si>
  <si>
    <t>Actual Cash Profit</t>
  </si>
  <si>
    <t>.</t>
  </si>
  <si>
    <t xml:space="preserve">Balance Sheet </t>
  </si>
  <si>
    <t xml:space="preserve">Proprietorship Capital </t>
  </si>
  <si>
    <t>Reserves &amp; Surplus(excluding revaluation reserve)</t>
  </si>
  <si>
    <t>Total Networth</t>
  </si>
  <si>
    <t>Revaluation Reserve</t>
  </si>
  <si>
    <t>Adjusted Networth</t>
  </si>
  <si>
    <t xml:space="preserve">Long Term Loans from Banks/FI </t>
  </si>
  <si>
    <t>Working Capital Limits from Banks/FI's</t>
  </si>
  <si>
    <t>Total Borrowings from banks/FI/NBFC's</t>
  </si>
  <si>
    <t>Unsecured loans  (others)</t>
  </si>
  <si>
    <t>Unsecured loans from partners/shareholders</t>
  </si>
  <si>
    <t>Current Liabilities &amp; Provisions</t>
  </si>
  <si>
    <t>Provision for taxation</t>
  </si>
  <si>
    <t>Other Liabilities</t>
  </si>
  <si>
    <t>Total Liabilities to outsiders</t>
  </si>
  <si>
    <t>Balance Sheet Total</t>
  </si>
  <si>
    <t>Fixed Assets less depreciation</t>
  </si>
  <si>
    <t>Investments</t>
  </si>
  <si>
    <t>Liquid/Marketable Investments</t>
  </si>
  <si>
    <t>Group Co. Investments</t>
  </si>
  <si>
    <t>Unquoted/Dead Investments</t>
  </si>
  <si>
    <t>Current Assets:</t>
  </si>
  <si>
    <t>Deferred Tax Asset</t>
  </si>
  <si>
    <t>Inventories</t>
  </si>
  <si>
    <t>Receivables / Debtors</t>
  </si>
  <si>
    <t xml:space="preserve"> Debtors &gt; 6 months</t>
  </si>
  <si>
    <t xml:space="preserve"> Debtors &lt; 6 months</t>
  </si>
  <si>
    <t>Cash and Bank</t>
  </si>
  <si>
    <t>Loans &amp; Advances</t>
  </si>
  <si>
    <t>Loans &amp; Advances given to directors/partners etc</t>
  </si>
  <si>
    <t>Loans and Advances given to others</t>
  </si>
  <si>
    <t>Misc Expenses (DRE+Preop+Preliminary+Acc P&amp;L)</t>
  </si>
  <si>
    <t xml:space="preserve">Ratios    </t>
  </si>
  <si>
    <t xml:space="preserve">Average Collection Period    </t>
  </si>
  <si>
    <t xml:space="preserve">Average Days in Inventory    </t>
  </si>
  <si>
    <t xml:space="preserve">Inventory to Cost of Goods Sold    </t>
  </si>
  <si>
    <t xml:space="preserve">Current Ratio    </t>
  </si>
  <si>
    <t xml:space="preserve">Liquidity Ratio    </t>
  </si>
  <si>
    <t xml:space="preserve">Debt Equity Ratio    </t>
  </si>
  <si>
    <t xml:space="preserve">Interest Coverage Ratio    </t>
  </si>
  <si>
    <t xml:space="preserve">DSCR    </t>
  </si>
  <si>
    <t xml:space="preserve">DSCR after the proposed Loan    </t>
  </si>
  <si>
    <t xml:space="preserve">Gross Profit Margin Ratio    </t>
  </si>
  <si>
    <t xml:space="preserve">Net Profit Margin Ratio    </t>
  </si>
  <si>
    <t xml:space="preserve">Cash Profit Ratio    </t>
  </si>
  <si>
    <t xml:space="preserve">Growth in Sales    </t>
  </si>
  <si>
    <t xml:space="preserve">Growth in Net Profits    </t>
  </si>
  <si>
    <t xml:space="preserve">Cash Flow Statement    </t>
  </si>
  <si>
    <t xml:space="preserve">Net Profit After Tax    </t>
  </si>
  <si>
    <t xml:space="preserve">Add :    </t>
  </si>
  <si>
    <t xml:space="preserve">Depreciation    </t>
  </si>
  <si>
    <t xml:space="preserve">Misc expenses written off/non cash expenses    </t>
  </si>
  <si>
    <t xml:space="preserve">Salary paid to promoter/partners    </t>
  </si>
  <si>
    <t xml:space="preserve">Interest paid to promoters    </t>
  </si>
  <si>
    <t xml:space="preserve">Provision for tax    </t>
  </si>
  <si>
    <t xml:space="preserve">Interest    </t>
  </si>
  <si>
    <t xml:space="preserve">Less : Other income (non business income)    </t>
  </si>
  <si>
    <t xml:space="preserve">Operating cash profit/(Loss ) before working capital changes    </t>
  </si>
  <si>
    <t xml:space="preserve">Trade and other receivables    </t>
  </si>
  <si>
    <t xml:space="preserve">Inventories    </t>
  </si>
  <si>
    <t xml:space="preserve">Loans &amp; Advances    </t>
  </si>
  <si>
    <t xml:space="preserve">other current liabilities    </t>
  </si>
  <si>
    <t xml:space="preserve">Total    </t>
  </si>
  <si>
    <t xml:space="preserve">Cash Generated from operations    </t>
  </si>
  <si>
    <t xml:space="preserve">Less taxes paid    </t>
  </si>
  <si>
    <t xml:space="preserve">Net Cash from Operations    </t>
  </si>
  <si>
    <t>Eligibility(Rs. In lacs)</t>
  </si>
  <si>
    <t xml:space="preserve">Average </t>
  </si>
  <si>
    <t>Eligibility</t>
  </si>
  <si>
    <t xml:space="preserve">Eligible Income </t>
  </si>
  <si>
    <t xml:space="preserve">Total          </t>
  </si>
  <si>
    <t xml:space="preserve">Appraised Monthly Income          </t>
  </si>
  <si>
    <t xml:space="preserve">Appraised Obligations          </t>
  </si>
  <si>
    <t xml:space="preserve">Max FOIR(for a combined LTV and FOIR of 130)          </t>
  </si>
  <si>
    <t xml:space="preserve">Max EMI          </t>
  </si>
  <si>
    <t xml:space="preserve">Tenor (Months)          </t>
  </si>
  <si>
    <t xml:space="preserve">Rate Of Interest          </t>
  </si>
  <si>
    <t xml:space="preserve">EMI Factor          </t>
  </si>
  <si>
    <t xml:space="preserve">RECOMMENDATION          </t>
  </si>
  <si>
    <t xml:space="preserve">ROI          </t>
  </si>
  <si>
    <t>Loan Amt(Rs. In lacs)</t>
  </si>
  <si>
    <t xml:space="preserve">EMI          </t>
  </si>
  <si>
    <t xml:space="preserve">Actual FOIR          </t>
  </si>
  <si>
    <t xml:space="preserve">Max LTV as per policy          </t>
  </si>
  <si>
    <t xml:space="preserve">Property Value          </t>
  </si>
  <si>
    <t xml:space="preserve">FOIR + LTV          </t>
  </si>
  <si>
    <t>Bank/Financial Institution</t>
  </si>
  <si>
    <t>Purpose</t>
  </si>
  <si>
    <t>Amount</t>
  </si>
  <si>
    <t>Tenor</t>
  </si>
  <si>
    <t>EMI</t>
  </si>
  <si>
    <t xml:space="preserve">O/s </t>
  </si>
  <si>
    <t>PBT</t>
  </si>
  <si>
    <t>Director Remuneration/Partners Salary</t>
  </si>
  <si>
    <t>Rent income</t>
  </si>
  <si>
    <t>Other income</t>
  </si>
  <si>
    <t>Agricultural Income</t>
  </si>
  <si>
    <t>Interets on FD/Dividends</t>
  </si>
  <si>
    <t>Tax</t>
  </si>
  <si>
    <t>Interest on loans</t>
  </si>
  <si>
    <t>Interest on CC/OD</t>
  </si>
  <si>
    <t>GTP Method</t>
  </si>
  <si>
    <t>Average</t>
  </si>
  <si>
    <t>Average Tax</t>
  </si>
  <si>
    <t>Exisiting Obligations</t>
  </si>
  <si>
    <t>Loan Amount</t>
  </si>
  <si>
    <t>Manufacturing</t>
  </si>
  <si>
    <t>Traders</t>
  </si>
  <si>
    <t>Services</t>
  </si>
  <si>
    <t>Profile</t>
  </si>
  <si>
    <t>Turnover Drop more than 10</t>
  </si>
  <si>
    <t>Profit Drop more than 10</t>
  </si>
  <si>
    <t>Net Profit Margin</t>
  </si>
  <si>
    <t>Petrol Pumps</t>
  </si>
  <si>
    <t>Carriage &amp; Freight Agents</t>
  </si>
  <si>
    <t>Food and beverage Trader</t>
  </si>
  <si>
    <t>Consumer Durable Trader</t>
  </si>
  <si>
    <t>Trader in Iron &amp;b Steel Products</t>
  </si>
  <si>
    <t>Cement Traders</t>
  </si>
  <si>
    <t>Other than specified</t>
  </si>
  <si>
    <t>LA as per GTP</t>
  </si>
  <si>
    <t>Normal Eligibility(Rs. In lacs)</t>
  </si>
  <si>
    <t>Profit (1% or 2% of Avg Turnover)</t>
  </si>
  <si>
    <t>Max LA</t>
  </si>
  <si>
    <t>LA as per LTV</t>
  </si>
  <si>
    <t>To be Filled</t>
  </si>
  <si>
    <t>Output</t>
  </si>
  <si>
    <t>Depreciation to be considered</t>
  </si>
  <si>
    <t>Average Depreciation</t>
  </si>
  <si>
    <t>2/3 of Depreciation</t>
  </si>
  <si>
    <t>Interest on Term Loan from Banks</t>
  </si>
  <si>
    <t>Interest on Term Loan from Relatives</t>
  </si>
  <si>
    <t>LAP Residential</t>
  </si>
  <si>
    <t>LAP Commercial</t>
  </si>
  <si>
    <t>Home Loan</t>
  </si>
  <si>
    <t>Applicable LTV for HL</t>
  </si>
  <si>
    <t>EMI Per LAC (Cap at 15 yrs)</t>
  </si>
  <si>
    <t>LA as per GTP - HL</t>
  </si>
  <si>
    <t>General Instructions:</t>
  </si>
  <si>
    <t>Property Value(MV/COP) to be considered as per OG.</t>
  </si>
  <si>
    <t>LA as per Keyin data</t>
  </si>
  <si>
    <t>LA as per Turnover - RAAC</t>
  </si>
  <si>
    <t>NRP non self occupied</t>
  </si>
  <si>
    <t>NRP self occupied</t>
  </si>
  <si>
    <t>Yes</t>
  </si>
  <si>
    <t>No</t>
  </si>
  <si>
    <t>Decline in turnover &gt; 10%</t>
  </si>
  <si>
    <t>Decline in Profit &gt; 10%</t>
  </si>
  <si>
    <t>Min Turnover 60 Lac</t>
  </si>
  <si>
    <t>Gross Profit as per GTP</t>
  </si>
  <si>
    <t>LA as per RAAC</t>
  </si>
  <si>
    <t>Loan amount applied (in lacs)</t>
  </si>
  <si>
    <t>Product Type</t>
  </si>
  <si>
    <t>Type of Trader (for NPM)</t>
  </si>
  <si>
    <t>Eligibilty at RAAC - GTP</t>
  </si>
  <si>
    <t>LA for LA turnover NFA</t>
  </si>
  <si>
    <t>Debt- Equity Ratio</t>
  </si>
  <si>
    <t>LA as per 50% of turnover</t>
  </si>
  <si>
    <t>LA to Turnover%</t>
  </si>
  <si>
    <t>Basis NFAs inputs</t>
  </si>
  <si>
    <t>Topup - LAP Commercial</t>
  </si>
  <si>
    <t>Topup - NRP self occupied</t>
  </si>
  <si>
    <t>Topup - NRP non self occupied</t>
  </si>
  <si>
    <t>Topup - LAP Residential</t>
  </si>
  <si>
    <t>POS(in Lacs)</t>
  </si>
  <si>
    <t>Whether NFA to be taken</t>
  </si>
  <si>
    <t>Applicable LTV</t>
  </si>
  <si>
    <t>Eligibility as per Normal Policy</t>
  </si>
  <si>
    <t>Total</t>
  </si>
  <si>
    <t>Average Daily Balance across all accounts</t>
  </si>
  <si>
    <t>Do you want to prepare CAM &amp; proceed with the other checks in banking product</t>
  </si>
  <si>
    <t>Recommendations</t>
  </si>
  <si>
    <t>Tenure</t>
  </si>
  <si>
    <t>ROI</t>
  </si>
  <si>
    <t>Does the customer have landline in office</t>
  </si>
  <si>
    <r>
      <t>Is business premise owned or rented more than 5 years</t>
    </r>
    <r>
      <rPr>
        <sz val="11"/>
        <color indexed="56"/>
        <rFont val="Zurich BT"/>
        <family val="2"/>
      </rPr>
      <t xml:space="preserve">… </t>
    </r>
  </si>
  <si>
    <t>FI Visit at office done</t>
  </si>
  <si>
    <t>Is the customer in the same business for at least 5 years</t>
  </si>
  <si>
    <t>Product</t>
  </si>
  <si>
    <t>LTV</t>
  </si>
  <si>
    <t>Loan Amount (in Rs. Lakhs)</t>
  </si>
  <si>
    <t>Credit summation for year across all accounts</t>
  </si>
  <si>
    <t>Turnover through Bank Statement %</t>
  </si>
  <si>
    <t>Topup - Home Loan -  Seasoning 12 M</t>
  </si>
  <si>
    <t>Topup - Home Loan -  Seasoning 24 M</t>
  </si>
  <si>
    <t>Topup - Home Loan -  Seasoning 18 M</t>
  </si>
  <si>
    <t>Only white cells need to be entered, grey cells have formulas and are not to be touched</t>
  </si>
  <si>
    <t xml:space="preserve">All Grey cells are auto populated from ratio sheet </t>
  </si>
  <si>
    <t>Only Green cells need to be entered</t>
  </si>
  <si>
    <t>In case the credit manager wants to evaluate the case with NFAs he needs to select cell B14 as "Yes"</t>
  </si>
  <si>
    <t>ADB</t>
  </si>
  <si>
    <t>Max Loan Amount under GTP (Including all NFAs)</t>
  </si>
  <si>
    <t>Recommended amount (to be entered by credit manager)</t>
  </si>
  <si>
    <t>NFAs under normal eligibility method (to be filled if the case is recommended under normal eligibility method)</t>
  </si>
  <si>
    <t>Enter/select values</t>
  </si>
  <si>
    <t>Parameters</t>
  </si>
  <si>
    <t>Any Additional income (editable)</t>
  </si>
  <si>
    <t>Account 1</t>
  </si>
  <si>
    <t>Account 2</t>
  </si>
  <si>
    <t>Account 3</t>
  </si>
  <si>
    <t>Account 4</t>
  </si>
  <si>
    <t>Account 5</t>
  </si>
  <si>
    <t>Months</t>
  </si>
  <si>
    <t>Loan Amount as per LTV -HL</t>
  </si>
  <si>
    <t>Eligibility calculation</t>
  </si>
  <si>
    <t>Eligibility as LTV</t>
  </si>
  <si>
    <t>Eligibility as per RAAC LTV</t>
  </si>
  <si>
    <t>RAAC Eligibility</t>
  </si>
  <si>
    <t>Eligibility with NFA - L1</t>
  </si>
  <si>
    <t>Eligibility as per ADB / EMI ratio</t>
  </si>
  <si>
    <t>Declared Gross Profit (as per ratio sheet - combined)</t>
  </si>
  <si>
    <t>Turnover (as per ratio sheet - combined)</t>
  </si>
  <si>
    <t>Imputed Profit</t>
  </si>
  <si>
    <t xml:space="preserve">Gross Profit considered </t>
  </si>
  <si>
    <t>OD / CC Interest (as per ratio sheet - combined)</t>
  </si>
  <si>
    <t>Tax (as per ratio sheet - combined)</t>
  </si>
  <si>
    <t>ADB EMI ratio</t>
  </si>
  <si>
    <t>LA as per LTV - Keyin</t>
  </si>
  <si>
    <t>ADB Amount</t>
  </si>
  <si>
    <t>Principal Outstanding</t>
  </si>
  <si>
    <t>Pre-Closure Charges</t>
  </si>
  <si>
    <t>Loan Amount as per LTV</t>
  </si>
  <si>
    <t>Loan Amount as per ADB</t>
  </si>
  <si>
    <t>Loan amount as per location CAP</t>
  </si>
  <si>
    <t>No of EMIS paid</t>
  </si>
  <si>
    <t>Original Tenure</t>
  </si>
  <si>
    <t>EMI per Lac</t>
  </si>
  <si>
    <t>Number of Accounts considered</t>
  </si>
  <si>
    <t>Main account</t>
  </si>
  <si>
    <t>Other account</t>
  </si>
  <si>
    <t>Conditions</t>
  </si>
  <si>
    <t>Number of Credits</t>
  </si>
  <si>
    <t>One</t>
  </si>
  <si>
    <t>Count of Zero</t>
  </si>
  <si>
    <t>Less than 3</t>
  </si>
  <si>
    <t>Sum of Credits</t>
  </si>
  <si>
    <t>Number of Months Credits less than 3</t>
  </si>
  <si>
    <t>Two</t>
  </si>
  <si>
    <t>Number of Months with nil credits</t>
  </si>
  <si>
    <t>Three</t>
  </si>
  <si>
    <t>Number of Months Credits less than 3 (last 3 months)</t>
  </si>
  <si>
    <t>Number of Months with nil credits (last 3 months)</t>
  </si>
  <si>
    <t>Action</t>
  </si>
  <si>
    <r>
      <t>Eligibility (</t>
    </r>
    <r>
      <rPr>
        <b/>
        <sz val="11"/>
        <color indexed="9"/>
        <rFont val="Rupee Foradian"/>
        <family val="2"/>
      </rPr>
      <t>`</t>
    </r>
    <r>
      <rPr>
        <b/>
        <sz val="11"/>
        <color indexed="9"/>
        <rFont val="Zurich BT"/>
        <family val="2"/>
      </rPr>
      <t xml:space="preserve"> in lacs) - RAAC</t>
    </r>
  </si>
  <si>
    <r>
      <t>Eligibility (</t>
    </r>
    <r>
      <rPr>
        <b/>
        <sz val="11"/>
        <color indexed="9"/>
        <rFont val="Rupee Foradian"/>
        <family val="2"/>
      </rPr>
      <t>`</t>
    </r>
    <r>
      <rPr>
        <b/>
        <sz val="11"/>
        <color indexed="9"/>
        <rFont val="Zurich BT"/>
        <family val="2"/>
      </rPr>
      <t xml:space="preserve"> in lacs) - ZCH</t>
    </r>
  </si>
  <si>
    <r>
      <t>Eligibility (</t>
    </r>
    <r>
      <rPr>
        <b/>
        <sz val="11"/>
        <color indexed="9"/>
        <rFont val="Rupee Foradian"/>
        <family val="2"/>
      </rPr>
      <t>`</t>
    </r>
    <r>
      <rPr>
        <b/>
        <sz val="11"/>
        <color indexed="9"/>
        <rFont val="Zurich BT"/>
        <family val="2"/>
      </rPr>
      <t xml:space="preserve"> in lacs) - L1</t>
    </r>
  </si>
  <si>
    <t>* Please enter in Green cells only. Grey cells are formula based</t>
  </si>
  <si>
    <r>
      <t xml:space="preserve">All Amounts are in </t>
    </r>
    <r>
      <rPr>
        <b/>
        <sz val="11"/>
        <color indexed="9"/>
        <rFont val="Rupee Foradian"/>
        <family val="2"/>
      </rPr>
      <t>`</t>
    </r>
  </si>
  <si>
    <t>CS - 1 for each month</t>
  </si>
  <si>
    <t>Tenor - Months</t>
  </si>
  <si>
    <t>ADB -  3 for each mont</t>
  </si>
  <si>
    <t>RCH approval 3 cr amount any location</t>
  </si>
  <si>
    <t>Range Value</t>
  </si>
  <si>
    <t>EMI per lac</t>
  </si>
  <si>
    <t>A</t>
  </si>
  <si>
    <t>Location</t>
  </si>
  <si>
    <t>Others</t>
  </si>
  <si>
    <t>Property Value</t>
  </si>
  <si>
    <t>O/s POS</t>
  </si>
  <si>
    <t>B</t>
  </si>
  <si>
    <t>Eligibility Calculation</t>
  </si>
  <si>
    <t>Location Amount</t>
  </si>
  <si>
    <t>Credit summation method</t>
  </si>
  <si>
    <t>P</t>
  </si>
  <si>
    <t>Credit summation  (CS)</t>
  </si>
  <si>
    <t>Q</t>
  </si>
  <si>
    <t>Max Loan Amt as per CS (CS/2)</t>
  </si>
  <si>
    <t>RR</t>
  </si>
  <si>
    <t>ADB method</t>
  </si>
  <si>
    <t>Applicable ADB/EMI Factor</t>
  </si>
  <si>
    <r>
      <t>Average daily balance (</t>
    </r>
    <r>
      <rPr>
        <b/>
        <sz val="11"/>
        <color indexed="9"/>
        <rFont val="Rupee Foradian"/>
        <family val="2"/>
      </rPr>
      <t>`</t>
    </r>
    <r>
      <rPr>
        <b/>
        <sz val="11"/>
        <color indexed="9"/>
        <rFont val="ru"/>
      </rPr>
      <t>)</t>
    </r>
  </si>
  <si>
    <t>Delhi</t>
  </si>
  <si>
    <r>
      <t>Proposed EMI based on ADB/Factor (</t>
    </r>
    <r>
      <rPr>
        <b/>
        <sz val="11"/>
        <color indexed="9"/>
        <rFont val="Rupee Foradian"/>
        <family val="2"/>
      </rPr>
      <t>`</t>
    </r>
    <r>
      <rPr>
        <b/>
        <sz val="11"/>
        <color indexed="9"/>
        <rFont val="Zurich BT"/>
        <family val="2"/>
      </rPr>
      <t>)</t>
    </r>
  </si>
  <si>
    <t>Noida</t>
  </si>
  <si>
    <t>Gurgaon</t>
  </si>
  <si>
    <t>Mumbai</t>
  </si>
  <si>
    <t>Thane</t>
  </si>
  <si>
    <t>Max Loan Amount as per LTV</t>
  </si>
  <si>
    <t>Navi Mumbai</t>
  </si>
  <si>
    <t>Kochi</t>
  </si>
  <si>
    <t>Lower of Loan Amount as per ADB,LTV &amp; CS</t>
  </si>
  <si>
    <t>Bangalore</t>
  </si>
  <si>
    <t>Chennai</t>
  </si>
  <si>
    <r>
      <t>Eligibility (</t>
    </r>
    <r>
      <rPr>
        <b/>
        <sz val="11"/>
        <color indexed="9"/>
        <rFont val="Rupee Foradian"/>
        <family val="2"/>
      </rPr>
      <t>`</t>
    </r>
    <r>
      <rPr>
        <b/>
        <sz val="11"/>
        <color indexed="9"/>
        <rFont val="Zurich BT"/>
        <family val="2"/>
      </rPr>
      <t xml:space="preserve"> in lacs)</t>
    </r>
  </si>
  <si>
    <t>Location Limit Breached</t>
  </si>
  <si>
    <t>Credit Summation to LA</t>
  </si>
  <si>
    <t>Jaipur</t>
  </si>
  <si>
    <t>Ahmedabad</t>
  </si>
  <si>
    <t>Chandigarh</t>
  </si>
  <si>
    <t>Kolkatta</t>
  </si>
  <si>
    <t>Pune</t>
  </si>
  <si>
    <r>
      <t>Eligibility (</t>
    </r>
    <r>
      <rPr>
        <b/>
        <sz val="11"/>
        <color indexed="9"/>
        <rFont val="Rupee Foradian"/>
        <family val="2"/>
      </rPr>
      <t>`</t>
    </r>
    <r>
      <rPr>
        <b/>
        <sz val="11"/>
        <color indexed="9"/>
        <rFont val="Zurich BT"/>
        <family val="2"/>
      </rPr>
      <t xml:space="preserve"> in lacs) - Head CPG</t>
    </r>
  </si>
  <si>
    <t>Hyderabad</t>
  </si>
  <si>
    <t>Rajkot</t>
  </si>
  <si>
    <t>Final LTV as per product</t>
  </si>
  <si>
    <t>Surat</t>
  </si>
  <si>
    <t>Max as per LTV</t>
  </si>
  <si>
    <t>Vadodara</t>
  </si>
  <si>
    <t>max as per CS</t>
  </si>
  <si>
    <t>ADB/EMI Ratio</t>
  </si>
  <si>
    <t>CS to Loan amount ratio</t>
  </si>
  <si>
    <t xml:space="preserve">No of years in same business </t>
  </si>
  <si>
    <t>Is the property taken a special usage property</t>
  </si>
  <si>
    <t>If this is inherited property, how many years back was the property inherited</t>
  </si>
  <si>
    <t>FI Visit done</t>
  </si>
  <si>
    <t>Caution Profile</t>
  </si>
  <si>
    <t>Loan amount as per Express BT Method</t>
  </si>
  <si>
    <t>EMI amount at 150</t>
  </si>
  <si>
    <t>EMI amount at 200</t>
  </si>
  <si>
    <t>Loan Amount as per ADB EMI ration</t>
  </si>
  <si>
    <t>Loan Amount as per ADB EMI ration - L1</t>
  </si>
  <si>
    <t>Eligibilty at Banking</t>
  </si>
  <si>
    <t>Eligibilty at GTP - NFA - Max</t>
  </si>
  <si>
    <t>Eligibilty at Banking - NFA - Max</t>
  </si>
  <si>
    <t>Eligibilty at Express BT - NFA - Max</t>
  </si>
  <si>
    <t>Go to GTP Sheet</t>
  </si>
  <si>
    <t>Go to Express BT Sheet</t>
  </si>
  <si>
    <t>Go to Banking Sheet</t>
  </si>
  <si>
    <t>Max LTV at Head - CPG</t>
  </si>
  <si>
    <t>Max loan as per LTV at Head - CPG</t>
  </si>
  <si>
    <t>Loan amount - RAAC</t>
  </si>
  <si>
    <t>Loan amount - NFA - Location Amount - L1</t>
  </si>
  <si>
    <t>Inputs for GTP &amp; Banking Product</t>
  </si>
  <si>
    <t>LIC HFL</t>
  </si>
  <si>
    <t>HDFC Ltd</t>
  </si>
  <si>
    <t>Bajaj Finserve</t>
  </si>
  <si>
    <t>DHFL</t>
  </si>
  <si>
    <t>Reliance</t>
  </si>
  <si>
    <t>Indiabulls</t>
  </si>
  <si>
    <t>Bank/NBFC</t>
  </si>
  <si>
    <t>Whether a BT</t>
  </si>
  <si>
    <t>Original Loan Amount(in Lacs)</t>
  </si>
  <si>
    <t>Topup Amount in case of HL</t>
  </si>
  <si>
    <t>Seasoning of Base Loan</t>
  </si>
  <si>
    <t>ok</t>
  </si>
  <si>
    <t>Cannot be done</t>
  </si>
  <si>
    <t>Topup - xpress BT Amount</t>
  </si>
  <si>
    <t>Current EMI</t>
  </si>
  <si>
    <t>Original Tenure - months</t>
  </si>
  <si>
    <t>HL</t>
  </si>
  <si>
    <t>Is there any unsecured,LAP,Gold Loan, Car Loan refinance loan taken in last 12 months</t>
  </si>
  <si>
    <t>Credit Summation</t>
  </si>
  <si>
    <t>Account to Be considred</t>
  </si>
  <si>
    <t>Interest on unsecured loans from others</t>
  </si>
  <si>
    <t>One time Income (exceptional)</t>
  </si>
  <si>
    <t>One time Expense (exceptional)</t>
  </si>
  <si>
    <t>LA upto 50% of turnover</t>
  </si>
  <si>
    <t>Tax on Director remenuration/salary to partners</t>
  </si>
  <si>
    <t>Tax on interest paid to partners</t>
  </si>
  <si>
    <t>Norms</t>
  </si>
  <si>
    <t>Do you want to prepare CAM &amp; proceed with the other checks in GTP</t>
  </si>
  <si>
    <t>Topup Amount (Only in case of Non HL)</t>
  </si>
  <si>
    <r>
      <t>Loan Amount (in</t>
    </r>
    <r>
      <rPr>
        <b/>
        <sz val="11"/>
        <color theme="2" tint="-0.249977111117893"/>
        <rFont val="Zurich BT"/>
        <family val="2"/>
      </rPr>
      <t xml:space="preserve"> </t>
    </r>
    <r>
      <rPr>
        <b/>
        <sz val="11"/>
        <color theme="2" tint="-0.249977111117893"/>
        <rFont val="Rupee Foradian"/>
        <family val="2"/>
      </rPr>
      <t>`</t>
    </r>
    <r>
      <rPr>
        <b/>
        <sz val="11"/>
        <color theme="2" tint="-0.249977111117893"/>
        <rFont val="Zurich BT"/>
        <family val="2"/>
      </rPr>
      <t xml:space="preserve"> Lacs)</t>
    </r>
  </si>
  <si>
    <t>Topup post final loan</t>
  </si>
  <si>
    <t xml:space="preserve">Ratio Sheet (Ratio Sheet 1, Ratio Sheet 2, Ratio Sheet 3, Ratio Sheet 4)- </t>
  </si>
  <si>
    <t>Ratio sheet to be made as per existing practice basis which the eligibility calculation will be done under different product variants</t>
  </si>
  <si>
    <t>Interest in the ratio sheets has been split in Interest on Term Loan from Banks, Interest on Term Loan from Relatives, Interest on unsecured loans from others, Interest on CC/OD. The same to be filled accordingly</t>
  </si>
  <si>
    <t>This is consolidation of Ratio Sheet 1, 2, 3 &amp; 4. You do not need to enter anything here as the data will be pulled from the linked sheets: Ratio Sheet 1, Ratio Sheet 2, Ratio Sheet 3, Ratio Sheet 4</t>
  </si>
  <si>
    <t>Green cells need to be entered. Specific provision is made for Rent income, Agricultural Income, Interets on FD/Dividends, Other income, One time Income (exceptional), One time Expense (exceptional), Tax on Director remenuration/salary to partners, Tax on interest paid to partners</t>
  </si>
  <si>
    <t xml:space="preserve">Eligibility in Eligibility sheet can be calculated as per our OG. Parameters like FOIR, Tenor, ROI, Property value and recommended loan amount cells can be used for normal eligibility calculation as per standard OG. </t>
  </si>
  <si>
    <r>
      <t xml:space="preserve">The values of </t>
    </r>
    <r>
      <rPr>
        <b/>
        <sz val="11"/>
        <rFont val="Zurich BT"/>
        <family val="2"/>
      </rPr>
      <t xml:space="preserve">ROI, Tenure, Property value and exisiting obligations will flow from this sheet to other sheets </t>
    </r>
    <r>
      <rPr>
        <sz val="11"/>
        <rFont val="Zurich BT"/>
        <family val="2"/>
      </rPr>
      <t>for eligibility calculation under Banking, GTP &amp; Express BT</t>
    </r>
  </si>
  <si>
    <t>Variant Inputs &amp; Comparison</t>
  </si>
  <si>
    <t>Cell B3 to B9 are input cells for GTP and Banking Product</t>
  </si>
  <si>
    <t>Eligibility as per Eligibility Sheet (LTV+FOIR method)</t>
  </si>
  <si>
    <t>Please put the recommended amount and also the right answers to the mandatory checks</t>
  </si>
  <si>
    <t xml:space="preserve">The calculator provides the loan amount based on the values of bank balances and credits entered. However other terms and conditions as per OG need to be checked and complied with. </t>
  </si>
  <si>
    <t>Daily Balance</t>
  </si>
  <si>
    <t>Only green cells need to be entered.</t>
  </si>
  <si>
    <t>Column B-C-D, E-F-G, H-I-J, K-L-M, N-O-P refer to account 1, 2, 3, 4 &amp; 5 respectively. Account 1 will be treated as main operating current account</t>
  </si>
  <si>
    <t>Account 1 will be treated as main operating current account</t>
  </si>
  <si>
    <t>Column B, C, D, E &amp; F refer to entry cells for credit summation for Account 1, Account 2, Account 3, Account 4 &amp; Account 5 respectively.</t>
  </si>
  <si>
    <t>Cell B20 and B21 show the Max loan amount possible (including all NFAs) and eligibility as per NFA inputs respectively.</t>
  </si>
  <si>
    <t>Cell B22 is the final amount that the credit manager wishes to recommend.</t>
  </si>
  <si>
    <t>If the credit manager wants to go ahead and recommend the case, he/she needs to select B26 as "Yes". On selection as "yes" the recommendation sheet opens where the loan amount, EMI, ROI and all NFAs are displayed.</t>
  </si>
  <si>
    <t>Banking Sheet</t>
  </si>
  <si>
    <t>Only Green need to be entered. Grey cells are locked.</t>
  </si>
  <si>
    <t>Express BT Sheet</t>
  </si>
  <si>
    <t>Cell B10 shows Topup Loan Eligibility for Non HL</t>
  </si>
  <si>
    <t>Topup Amount</t>
  </si>
  <si>
    <t>LAP</t>
  </si>
  <si>
    <t>MNC Bank</t>
  </si>
  <si>
    <t>Public Sector Bank</t>
  </si>
  <si>
    <t>Private Sector Bank</t>
  </si>
  <si>
    <t>Saraswat Co-op Bank</t>
  </si>
  <si>
    <t>Shamrao Vithal Co-op Bank</t>
  </si>
  <si>
    <t>In the normal eligibility sheet, if the tenure for the loan crosses respective product norms, there will be a pop-up mentioning "Tenure in normal eligibility sheet is greater than 240/180 for HL and LAP respectively in "</t>
  </si>
  <si>
    <t>Other parameters like audited financials, Banker reference, CIBIL check, Personal discussion, Ownership/occupation of office premises, Restricted profiles, References etc to be as per OG. Further, Normal eligibility check should be as per OG.</t>
  </si>
  <si>
    <t>All the directors whose remunerations have been considered for eligibility should join as co-applicant</t>
  </si>
  <si>
    <t>Ratio Sheet Combined</t>
  </si>
  <si>
    <t>Total Loan amount</t>
  </si>
  <si>
    <t>Combined LTV</t>
  </si>
  <si>
    <t>LTV on incremental exposure</t>
  </si>
  <si>
    <t>If Topup, Click here to enter</t>
  </si>
  <si>
    <t>Click to return to eligibilty sheet</t>
  </si>
  <si>
    <t>Average Daily Balance across all accounts for BT</t>
  </si>
  <si>
    <t>Ghaziabad</t>
  </si>
  <si>
    <t>Faridabad</t>
  </si>
  <si>
    <t>Kalyan</t>
  </si>
  <si>
    <t>Panvel</t>
  </si>
  <si>
    <t>PNB HFL</t>
  </si>
  <si>
    <t>Aditya Birla</t>
  </si>
  <si>
    <t>Tata capital</t>
  </si>
  <si>
    <t>L &amp; T HFL</t>
  </si>
  <si>
    <t>Savings Account</t>
  </si>
  <si>
    <t>Current Account</t>
  </si>
  <si>
    <t>Final LTV as per product-L1</t>
  </si>
  <si>
    <t>Max as per LTV-L1</t>
  </si>
  <si>
    <t>Final amount as per RAAC</t>
  </si>
  <si>
    <t>Final amount as per L1</t>
  </si>
  <si>
    <t>Lower of Loan Amount as per ADB,LTV &amp; CS - L1</t>
  </si>
  <si>
    <t>EMI Per LAC (Cap at 15 yrs) - GTP</t>
  </si>
  <si>
    <t>Loan Amount as per Normal Eligibility at 130% FOIR</t>
  </si>
  <si>
    <t>Loan Amount including Topup</t>
  </si>
  <si>
    <t>Loan Amount - with L1 NFA - Max Amount</t>
  </si>
  <si>
    <t>P - 2</t>
  </si>
  <si>
    <t>Q -1.5</t>
  </si>
  <si>
    <t>Empower HL &amp; NRP</t>
  </si>
  <si>
    <t>No of inward cheque returns on account of insufficient funds in last 12 months</t>
  </si>
  <si>
    <t>Number of credits in the Current Account &amp; number of transactions in Savings account</t>
  </si>
  <si>
    <t>Number of Months Credits less than 3/Less than 1(other account)</t>
  </si>
  <si>
    <t>Allowed - Sum</t>
  </si>
  <si>
    <t>Not Allowed - Sum</t>
  </si>
  <si>
    <t>Max FOIR</t>
  </si>
  <si>
    <t>In case of NRP- Property Self occupied</t>
  </si>
  <si>
    <t>Loans Availed in Last 12 Month</t>
  </si>
  <si>
    <t>Loans Availed prior to 12 Month</t>
  </si>
  <si>
    <t>Seasoning</t>
  </si>
  <si>
    <t>Obligation Considered</t>
  </si>
  <si>
    <t>Not Allowed</t>
  </si>
  <si>
    <t>Final Output</t>
  </si>
  <si>
    <r>
      <t>Eligibility (</t>
    </r>
    <r>
      <rPr>
        <b/>
        <sz val="11"/>
        <color indexed="9"/>
        <rFont val="Rupee Foradian"/>
        <family val="2"/>
      </rPr>
      <t>`</t>
    </r>
    <r>
      <rPr>
        <b/>
        <sz val="11"/>
        <color indexed="9"/>
        <rFont val="Zurich BT"/>
        <family val="2"/>
      </rPr>
      <t xml:space="preserve"> in lacs) - ZCM</t>
    </r>
  </si>
  <si>
    <t>Authorisation under Banking</t>
  </si>
  <si>
    <r>
      <t xml:space="preserve">Loan Amount (in </t>
    </r>
    <r>
      <rPr>
        <b/>
        <sz val="11"/>
        <color theme="0"/>
        <rFont val="Rupee Foradian"/>
        <family val="2"/>
      </rPr>
      <t>`</t>
    </r>
    <r>
      <rPr>
        <b/>
        <sz val="11"/>
        <color theme="0"/>
        <rFont val="Zurich BT"/>
        <family val="2"/>
      </rPr>
      <t xml:space="preserve"> Lacs)</t>
    </r>
  </si>
  <si>
    <t>Is the customer having resi-cum-office with separate office setup.</t>
  </si>
  <si>
    <t>Loan amount more than location limit</t>
  </si>
  <si>
    <t>LTV more than GTP norms - approval at Head Secured Credit</t>
  </si>
  <si>
    <t>Eligibility as per NFA on LTV (L1, only for LAP/NRP)</t>
  </si>
  <si>
    <t>Eligibilty at Empower</t>
  </si>
  <si>
    <t>Eligibilty at Empower - NFA - Max</t>
  </si>
  <si>
    <t>Applicable LTV for GTP at L1</t>
  </si>
  <si>
    <t>Applicable LTV for GTP</t>
  </si>
  <si>
    <t>LA as per LTV - L1 - LTV</t>
  </si>
  <si>
    <t>No of inward cheque returns on account of insufficient funds in last 12 months(but not in last 3 months)</t>
  </si>
  <si>
    <t>Go to Empower Sheet</t>
  </si>
  <si>
    <t>Number of Bounces in last 6 Months</t>
  </si>
  <si>
    <r>
      <t>Eligibility (</t>
    </r>
    <r>
      <rPr>
        <b/>
        <sz val="11"/>
        <color indexed="9"/>
        <rFont val="Rupee Foradian"/>
        <family val="2"/>
      </rPr>
      <t>`</t>
    </r>
    <r>
      <rPr>
        <b/>
        <sz val="11"/>
        <color indexed="9"/>
        <rFont val="Zurich BT"/>
        <family val="2"/>
      </rPr>
      <t xml:space="preserve"> in lacs) - Head Secured Credit onwards</t>
    </r>
  </si>
  <si>
    <t>NFA of LTV</t>
  </si>
  <si>
    <t>NFA of Loan Amount</t>
  </si>
  <si>
    <t>Is the GAP between ITRs 6 months or more</t>
  </si>
  <si>
    <t>Banker &amp; Customer Reference-Done</t>
  </si>
  <si>
    <t>LA as per Max LTV - Head Secured Credit</t>
  </si>
  <si>
    <t>Eligibility as per NFA on LTV (Head Secured Credit, only for LAP/NRP)</t>
  </si>
  <si>
    <t>Loan amount - NFA - Head Secured Credit and above</t>
  </si>
  <si>
    <t>Loan amount - NFA - Head Secured Credit - Max Amount</t>
  </si>
  <si>
    <t>Lower of Loan Amount as per ADB,LTV &amp; CS - Head Secured Credit</t>
  </si>
  <si>
    <t>Eligibility (` in lacs) - Head Secured Credit</t>
  </si>
  <si>
    <t>Approval at Head Secured Credit - one month has nil credits</t>
  </si>
  <si>
    <t>&lt;730</t>
  </si>
  <si>
    <t>730-760</t>
  </si>
  <si>
    <t>&gt;760</t>
  </si>
  <si>
    <t>NA</t>
  </si>
  <si>
    <t>BT</t>
  </si>
  <si>
    <t>Topup</t>
  </si>
  <si>
    <r>
      <t xml:space="preserve">Maximum Loan Amount (in </t>
    </r>
    <r>
      <rPr>
        <b/>
        <sz val="11"/>
        <color theme="0"/>
        <rFont val="Rupee Foradian"/>
        <family val="2"/>
      </rPr>
      <t>`</t>
    </r>
    <r>
      <rPr>
        <b/>
        <sz val="11"/>
        <color theme="0"/>
        <rFont val="Zurich BT"/>
        <family val="2"/>
      </rPr>
      <t xml:space="preserve"> Lacs)</t>
    </r>
  </si>
  <si>
    <t>Loan Amount Proposed</t>
  </si>
  <si>
    <t>ROI for Topup</t>
  </si>
  <si>
    <t>Tenure for Topup</t>
  </si>
  <si>
    <t>Seasoning of Main Loan - Only for topup</t>
  </si>
  <si>
    <t>Was the Loan ever 30+</t>
  </si>
  <si>
    <t>Does the Borrower have OD/CC</t>
  </si>
  <si>
    <t>Whether the Property being funded is fully constructed?</t>
  </si>
  <si>
    <t>Eligibility Sheet</t>
  </si>
  <si>
    <t>Additional editable rows have been provided from Row 17 to Row 27. This is for entering income of other applicants whose ratio sheet is not a part of the proposal. 
Directors who's remuneration is not considered should be put with a negative value in these cells</t>
  </si>
  <si>
    <t>If the proposal is for a top-up loan, the POS details need to be put for combined exposure. You need to click on the hyperlink provided in cell A31. This will take you to Variant Inputs &amp; Comparison sheet where you need to enter the POS  in the cell provided (B7)</t>
  </si>
  <si>
    <t>Details of loans taken more than 12 months before need to be put in Rows 53 to 62</t>
  </si>
  <si>
    <t>Details of loans taken in last 12 months need to be put in Rows 65 to Row 75</t>
  </si>
  <si>
    <t>NFAs to be taken under normal eligibility need to be mentioned in Rows 78 to 87</t>
  </si>
  <si>
    <t xml:space="preserve">These cells are for entering the balances as on 1st, 11th and 21st of the month (3 dates as prescribed by policy from time to time). </t>
  </si>
  <si>
    <t>Month1 to Month 12 as mentioned in cells A4 to A15 refer to the oldest and latest month from the date of application. Say if the application is made in the month of Sept'18, then the Month 1 will be Sept'17 (oldest) and Month 12 will be Aug'18 (latest)</t>
  </si>
  <si>
    <t>In cell B2 you need to enter the number of accounts considered</t>
  </si>
  <si>
    <t>You need to enter the sum of credits into the bank account for a particular month in cells B5 to B16  for Account 1, C5 to C16 for account 2 and so forth</t>
  </si>
  <si>
    <t>Month1 to Month 12 as mentioned in cells A5 to A16 refer to the oldest and latest month from the date of application. Say if the application is made in the month of Sept'18, then the Month 1 will be Sept'17 (oldest) and Month 12 will be Aug'18 (latest)</t>
  </si>
  <si>
    <t xml:space="preserve">Columns I-M are for entering the number of business credits in the account in a particular month. Column I refers to the main operating current account and rest are for other accounts. For a SEP profile for loans upto 50 lacs column I can be used for entering savings account details also. Cell J4, K4, L4, M4 have dropdown to select between current account and savings account. </t>
  </si>
  <si>
    <t>If transactions are within group companies then group transaction should be eliminated for credit summation calculation</t>
  </si>
  <si>
    <t>POS needs to be entered in B8 in case the product type is Top-up</t>
  </si>
  <si>
    <t>If cell B9 is selected as "Yes", cells F3 to F11 will be visible.</t>
  </si>
  <si>
    <t>Cell F3 to F11 are input cells for Express BT Product. All details with reference to the BT loan have to be entered in cells C3 to C9. The tenure and ROI for the proposed top-up need to be entered in cells F10 and F11</t>
  </si>
  <si>
    <t>Cell B13 gives the eligibility as per LTV+FOIR method. This is as per the inputs entered for  FOIR, Tenor, ROI, Property value in the eligibility sheet</t>
  </si>
  <si>
    <t>Cells B14 &amp; B15 give the eligibility as per GTP at RAAC and with NFA upto Head Secured Credit</t>
  </si>
  <si>
    <t>Hyperlink in cell C14 can be clicked to go to the GTP sheet for final recommendation under GTP</t>
  </si>
  <si>
    <t>Cells B17 &amp; B18 give the eligibility as per Express BT at RAAC and with NFA upto Head Secured Credit</t>
  </si>
  <si>
    <t>Hyperlink in cell C17 can be clicked to go to the Express BT sheet for final recommendation under Express BT</t>
  </si>
  <si>
    <t>Cells B21 &amp; B22 give the eligibility as per Banking at RAAC and with NFA upto Head Secured Credit</t>
  </si>
  <si>
    <t>Hyperlink in cell C21 can be clicked to go to the Banking sheet for final recommendation under Banking Product</t>
  </si>
  <si>
    <t>Cells B24 &amp; B25 give the eligibility as per Empower Loans at RAAC and with NFA upto Head Secured Credit</t>
  </si>
  <si>
    <t>Hyperlink in cell C24 can be clicked to go to the Empower sheet for final recommendation under Empower Loans</t>
  </si>
  <si>
    <t>GTP Sheet</t>
  </si>
  <si>
    <t>Cell B11 &amp; B12 show the eligibility as per LTV + FOIR method and as per GTP RAAC</t>
  </si>
  <si>
    <t>The NFAs on Debt Equity, Loan amount a % of Turnover and LTV need to be entered in cells B15, B16 &amp; B18 respectively</t>
  </si>
  <si>
    <t xml:space="preserve">Cell B34, B35, B36, B37 show Eligibility at RAAC, ZCH NFA, L1 NFA,Head Secured Credit respectively
</t>
  </si>
  <si>
    <t>If Cell B34, B35, B36, B37 is black, it indicates that the customer is not eligible at that level i.e. at  RAAC, ZCH, L1, Head Secured Credit respectively</t>
  </si>
  <si>
    <t>Cell C34, C35, C36, C37 Indicate if the location limit is breached as per policy</t>
  </si>
  <si>
    <t>Cell E34, E35, E36, E37  show credit summation to loan amount ratio</t>
  </si>
  <si>
    <t>If you want to proceed with the case under banking product - select B40 as "Yes". The Recommendation cells will be displayed with the Mandatory checks (Row B49 to Row 60)</t>
  </si>
  <si>
    <t>Empower sheet is same as banking sheet except for some of the cell references</t>
  </si>
  <si>
    <t>Cell B12 shows Max total loan amount for HL</t>
  </si>
  <si>
    <t>Cells B23, B24 &amp; B25 show eligibility at RAAC, L1, Head Head Secured Credit for non HL</t>
  </si>
  <si>
    <t>Cell B30 &amp; B31 show eligibility at RAAC for Loan amount and Top up amount in HL</t>
  </si>
  <si>
    <t>Cell B32 &amp; B33 show eligibility at L1 and Head Secured Credit for HL</t>
  </si>
  <si>
    <t>Eligibilty at Express BT - Max</t>
  </si>
  <si>
    <t>Non Residential Premises</t>
  </si>
  <si>
    <t>Topup - Non Residential Premises</t>
  </si>
  <si>
    <t>FOIR</t>
  </si>
  <si>
    <t>LA as per 130%of normal Eligibity</t>
  </si>
  <si>
    <t>LA as per 150%of normal Eligibity</t>
  </si>
  <si>
    <t>Eligibility as per FOIR</t>
  </si>
  <si>
    <t>Eligibility as per Loan amount to Turnover</t>
  </si>
  <si>
    <t>Eligibility at 65% FOIR (RAAC)</t>
  </si>
  <si>
    <t>Eligibility at 75% FOIR (L1)</t>
  </si>
  <si>
    <t>Appraised Income as per GTP Method</t>
  </si>
  <si>
    <t>Appraised Income as per Net Profit Method*2</t>
  </si>
  <si>
    <t>Final Appraised income</t>
  </si>
  <si>
    <t>Existing Obligation considered below</t>
  </si>
  <si>
    <t>5th</t>
  </si>
  <si>
    <t>15th</t>
  </si>
  <si>
    <t>25th</t>
  </si>
  <si>
    <t>Quarter Minimum 9 credits</t>
  </si>
  <si>
    <t>Net off enties</t>
  </si>
  <si>
    <t>Type of Account</t>
  </si>
  <si>
    <t>Limit Amount</t>
  </si>
  <si>
    <t>Differece</t>
  </si>
  <si>
    <t>Banking of OD/CC account to be put only for GTP/ Express BT. For Banking Product, revised sheet shall be sent</t>
  </si>
  <si>
    <t>OD/CC</t>
  </si>
  <si>
    <t>HDB</t>
  </si>
  <si>
    <t>Capital first Ltd</t>
  </si>
  <si>
    <t>Cholamandalam</t>
  </si>
  <si>
    <t>IIFL</t>
  </si>
  <si>
    <t>Repco Finance</t>
  </si>
  <si>
    <t>Tata Capital</t>
  </si>
  <si>
    <t>Rate drop cannot be more than 2%</t>
  </si>
  <si>
    <t>Sundaram BNP Paribas HFL</t>
  </si>
  <si>
    <t>Loan Amount as per Normal Eligibility at 150% FOIR</t>
  </si>
  <si>
    <t>NFA of Loan Amount - Location Cap</t>
  </si>
  <si>
    <t>Loan Amount as per LTV - L1</t>
  </si>
  <si>
    <t>Loan Amount as per LTV - Head Secured Credit and above</t>
  </si>
  <si>
    <t>No of years in same business</t>
  </si>
  <si>
    <t>Number of Bounces in last 18 Months</t>
  </si>
  <si>
    <t>Is there any unsecured,LAP,Gold Loan, Car Loan refinance, Cash out loan  taken in last 12 months</t>
  </si>
  <si>
    <t>Loan amount as per LTV / FOIR  - L1</t>
  </si>
  <si>
    <t>Loan amount as per LTV / FOIR  - Head Secured</t>
  </si>
  <si>
    <t>Inputs for Express BT/POS BT</t>
  </si>
  <si>
    <t>Final LTV as per product - Express BT</t>
  </si>
  <si>
    <t>Max as per LTV - Express BT</t>
  </si>
  <si>
    <t>L1</t>
  </si>
  <si>
    <t>Secured Credit</t>
  </si>
  <si>
    <t>Sum</t>
  </si>
  <si>
    <t>Number of Months</t>
  </si>
  <si>
    <t>Allowed</t>
  </si>
  <si>
    <t>Not Applicable</t>
  </si>
  <si>
    <t>Regular Debits Transaction</t>
  </si>
  <si>
    <t>Payment-Track</t>
  </si>
  <si>
    <t>Sl.No</t>
  </si>
  <si>
    <t>Favouring</t>
  </si>
  <si>
    <t>Classification</t>
  </si>
  <si>
    <t>Bank Name</t>
  </si>
  <si>
    <t>Last 12 Months</t>
  </si>
  <si>
    <t>Remarks (Bounces)</t>
  </si>
  <si>
    <t>Count</t>
  </si>
  <si>
    <t>Date</t>
  </si>
  <si>
    <t>Charges Debit</t>
  </si>
  <si>
    <t>Charges-Track</t>
  </si>
  <si>
    <t>Charges type</t>
  </si>
  <si>
    <t>Last 6 Months</t>
  </si>
  <si>
    <t>Charges</t>
  </si>
  <si>
    <t xml:space="preserve">Inward-Bounce </t>
  </si>
  <si>
    <t>EMI-Bounce</t>
  </si>
  <si>
    <t>Outward-Bounce</t>
  </si>
  <si>
    <t>Minium Balance Charges</t>
  </si>
  <si>
    <t>Penal Interest</t>
  </si>
  <si>
    <t>Bulk Debits</t>
  </si>
  <si>
    <t>Business Credits</t>
  </si>
  <si>
    <t>Bulk Credits</t>
  </si>
  <si>
    <t>Received from</t>
  </si>
  <si>
    <t>Namaste Credit Financial Statement</t>
  </si>
  <si>
    <t>Name:</t>
  </si>
  <si>
    <t>Amount in</t>
  </si>
  <si>
    <t>Actuals</t>
  </si>
  <si>
    <t>Profit and Loss</t>
  </si>
  <si>
    <t>Particulars</t>
  </si>
  <si>
    <t>Source type:</t>
  </si>
  <si>
    <t>Auditor</t>
  </si>
  <si>
    <t>Auditor's Opinion</t>
  </si>
  <si>
    <t>Revenue from Operations:</t>
  </si>
  <si>
    <t>Revenue</t>
  </si>
  <si>
    <t>Domestic Turnover:</t>
  </si>
  <si>
    <t>Sale of Goods Manufactured</t>
  </si>
  <si>
    <t>Sale of Goods Traded</t>
  </si>
  <si>
    <t>Sale or Supply of Services</t>
  </si>
  <si>
    <t>Export Turnover:</t>
  </si>
  <si>
    <t>Sale or Supply of Spares</t>
  </si>
  <si>
    <t>Other Operating Revenue</t>
  </si>
  <si>
    <t>Sales Return</t>
  </si>
  <si>
    <t>Total Revenue</t>
  </si>
  <si>
    <t>Expenses:</t>
  </si>
  <si>
    <t>COGS</t>
  </si>
  <si>
    <t>Raw Materials</t>
  </si>
  <si>
    <t>Opening Stock</t>
  </si>
  <si>
    <t>Purchases</t>
  </si>
  <si>
    <t>Closing Stock</t>
  </si>
  <si>
    <t>Work In Progress / Finished Goods:</t>
  </si>
  <si>
    <t>Spares:</t>
  </si>
  <si>
    <t>Manufacturing Expenses / Other Direct Expenses</t>
  </si>
  <si>
    <t>Wages and Salary to Direct Employees</t>
  </si>
  <si>
    <t>Power &amp; Fuel</t>
  </si>
  <si>
    <t>Rent</t>
  </si>
  <si>
    <t>Other</t>
  </si>
  <si>
    <t>Gross profit</t>
  </si>
  <si>
    <t>Adminsitrative Expenses</t>
  </si>
  <si>
    <t>Salary &amp; Employee Benefits</t>
  </si>
  <si>
    <t>Selling and Distribution Expense</t>
  </si>
  <si>
    <t>Payment to Management:</t>
  </si>
  <si>
    <t>Salary to Directors / Partners</t>
  </si>
  <si>
    <t>Interest to Directors / Partners</t>
  </si>
  <si>
    <t>Other Expenses:</t>
  </si>
  <si>
    <t>Bank Charges</t>
  </si>
  <si>
    <t>EBITDA</t>
  </si>
  <si>
    <t>Depreciation &amp; Amortisation</t>
  </si>
  <si>
    <t>Bad Debts</t>
  </si>
  <si>
    <t>Provision for Bad Debts</t>
  </si>
  <si>
    <t>Bad Debts W/O</t>
  </si>
  <si>
    <t>Other Non-Cash Expenses</t>
  </si>
  <si>
    <t>Non-Cash Expenses Incurred</t>
  </si>
  <si>
    <t>Non-Cash Expenses W/o</t>
  </si>
  <si>
    <t>Preliminary / Pre-operative expenses</t>
  </si>
  <si>
    <t>EBIT</t>
  </si>
  <si>
    <t>Interest Expense:</t>
  </si>
  <si>
    <t>Interest on Loans from Banks</t>
  </si>
  <si>
    <t>Interest on Loans from Relatives</t>
  </si>
  <si>
    <t>Interest on Loans from Others</t>
  </si>
  <si>
    <t>Other Interest Charges</t>
  </si>
  <si>
    <t>Other Non-Operating Revenue:</t>
  </si>
  <si>
    <t>Interest Income</t>
  </si>
  <si>
    <t>Dividend Received</t>
  </si>
  <si>
    <t>Profit / Loss from Sale of Assets</t>
  </si>
  <si>
    <t>Profit / Loss from Sale of Investments</t>
  </si>
  <si>
    <t>Forex Income</t>
  </si>
  <si>
    <t>Other Income of Director / Partner / Propreitor</t>
  </si>
  <si>
    <t>Profit/(Loss) before exceptional items and Tax</t>
  </si>
  <si>
    <t>Exceptional Items Gains/(Losses)</t>
  </si>
  <si>
    <t>Provision For Tax</t>
  </si>
  <si>
    <t>Income Tax</t>
  </si>
  <si>
    <t>Deferred Tax (Assets) / Liability</t>
  </si>
  <si>
    <t>Tax Rate</t>
  </si>
  <si>
    <t>ITR Filed On</t>
  </si>
  <si>
    <t>Difference in Months</t>
  </si>
  <si>
    <t>Minority Interest (+/-)</t>
  </si>
  <si>
    <t>Net PAT</t>
  </si>
  <si>
    <t>Dividend/Withdrawal</t>
  </si>
  <si>
    <t>Dividend on Equity / Preference Shares</t>
  </si>
  <si>
    <t>Patner's Withdrawal / Interest</t>
  </si>
  <si>
    <t>Retained Profit</t>
  </si>
  <si>
    <t>Cash Profit</t>
  </si>
  <si>
    <t>Balance Sheet</t>
  </si>
  <si>
    <t>Equity and Liabilities</t>
  </si>
  <si>
    <t>Equity:</t>
  </si>
  <si>
    <t>Share Capital</t>
  </si>
  <si>
    <t>Equity Capital Fund</t>
  </si>
  <si>
    <t>Partner's/Propreitor's Capital Account</t>
  </si>
  <si>
    <t>Preference Share &gt;12 Years</t>
  </si>
  <si>
    <t>Quasi Capital</t>
  </si>
  <si>
    <t>Minority Interest</t>
  </si>
  <si>
    <t>Reserves &amp; Surplus</t>
  </si>
  <si>
    <t>Reserves: P&amp;L + General</t>
  </si>
  <si>
    <t>Share Premium</t>
  </si>
  <si>
    <t>Capital subsidy</t>
  </si>
  <si>
    <t>Intangibles / Goodwill</t>
  </si>
  <si>
    <t>Net Worth</t>
  </si>
  <si>
    <t>Adjusted Net Worth</t>
  </si>
  <si>
    <t>Adjusted Net worth</t>
  </si>
  <si>
    <t>Liabilities:</t>
  </si>
  <si>
    <t>Non-Current Liabilities:</t>
  </si>
  <si>
    <t>Long Term Borrowings:</t>
  </si>
  <si>
    <t>Bank Debts - Secured</t>
  </si>
  <si>
    <t>Bank Debts - Unsecured</t>
  </si>
  <si>
    <t>Loan from Group Companies</t>
  </si>
  <si>
    <t>Loans from Promoters</t>
  </si>
  <si>
    <t>Loans from Relatives</t>
  </si>
  <si>
    <t>Loans from Others</t>
  </si>
  <si>
    <t>Preference Share &lt;12 Years</t>
  </si>
  <si>
    <t>Deferred Tax Liabilities (net)</t>
  </si>
  <si>
    <t>Long Term Provisions</t>
  </si>
  <si>
    <t>Employee Benefits</t>
  </si>
  <si>
    <t>Trade Payables(Long Term)</t>
  </si>
  <si>
    <t>Related Parties</t>
  </si>
  <si>
    <t>Other Non Current Liabilities</t>
  </si>
  <si>
    <t>Total Non-Current Liabilities:</t>
  </si>
  <si>
    <t>Current Liabilities:</t>
  </si>
  <si>
    <t>Short Term Borrowings:</t>
  </si>
  <si>
    <t>CC / Overdraft</t>
  </si>
  <si>
    <t>Other Short Term Loans from Banks</t>
  </si>
  <si>
    <t>Current Maturities of Long Term Borrowings</t>
  </si>
  <si>
    <t>Trade Payables</t>
  </si>
  <si>
    <t>For Purchases/Expenses</t>
  </si>
  <si>
    <t>For Capex</t>
  </si>
  <si>
    <t>Short Term Provision</t>
  </si>
  <si>
    <t>Other Current Liabilities</t>
  </si>
  <si>
    <t>Princ default, Interest accrued &amp; due, Stat liability o/d</t>
  </si>
  <si>
    <t>Total Current Liabilities:</t>
  </si>
  <si>
    <t>Total Equity and Liabilities</t>
  </si>
  <si>
    <t>Assets</t>
  </si>
  <si>
    <t>Non-Current Assets:</t>
  </si>
  <si>
    <t>Fixed Assets:</t>
  </si>
  <si>
    <t>Tangible Assets</t>
  </si>
  <si>
    <t>Land and Building</t>
  </si>
  <si>
    <t>Machinery and Equipment</t>
  </si>
  <si>
    <t>Less: Accumulated Depreciation</t>
  </si>
  <si>
    <t>In-Tangible Assets</t>
  </si>
  <si>
    <t>Capital Work in Progress</t>
  </si>
  <si>
    <t>In-Tangible Assets under Development</t>
  </si>
  <si>
    <t>Non-Current Investments:</t>
  </si>
  <si>
    <t>Liquid / Marketable Investments</t>
  </si>
  <si>
    <t>Deposits with Banks</t>
  </si>
  <si>
    <t>Subsidiary and Associate Investments</t>
  </si>
  <si>
    <t>Unquoted / Dead Investments</t>
  </si>
  <si>
    <t>Long-Term Loans and Advances:</t>
  </si>
  <si>
    <t>Share Holders/Promoters</t>
  </si>
  <si>
    <t>Group Company</t>
  </si>
  <si>
    <t>Relatives</t>
  </si>
  <si>
    <t>Other Non-Current Assets</t>
  </si>
  <si>
    <t>Preliminary / Preoperative Expenses</t>
  </si>
  <si>
    <t>Other Intangible Assets</t>
  </si>
  <si>
    <t>Total Non-Current Assets</t>
  </si>
  <si>
    <t>Total Non-current Assets</t>
  </si>
  <si>
    <t>Current Investment</t>
  </si>
  <si>
    <t>With Lien</t>
  </si>
  <si>
    <t>Without Lien</t>
  </si>
  <si>
    <t>Inventory</t>
  </si>
  <si>
    <t>Raw Material  + Spares</t>
  </si>
  <si>
    <t>Work in process</t>
  </si>
  <si>
    <t>Finished Goods</t>
  </si>
  <si>
    <t>Obsolete and unmoving inventory</t>
  </si>
  <si>
    <t>Trade Receivables</t>
  </si>
  <si>
    <t xml:space="preserve"> &lt; 6 months</t>
  </si>
  <si>
    <t>&gt; 6 months</t>
  </si>
  <si>
    <t>Less: Provision for Bad Debts</t>
  </si>
  <si>
    <t>Cash &amp; Cash Equivalents</t>
  </si>
  <si>
    <t>Short-Term Loans and Advances:</t>
  </si>
  <si>
    <t>Other Current Assets</t>
  </si>
  <si>
    <t>Total Current Assets</t>
  </si>
  <si>
    <t>Total Assets</t>
  </si>
  <si>
    <t>Balance Sheet Check</t>
  </si>
  <si>
    <t>Ratio Analysis</t>
  </si>
  <si>
    <t>Growth</t>
  </si>
  <si>
    <t>Revenue Growth</t>
  </si>
  <si>
    <t>EBITDA Growth</t>
  </si>
  <si>
    <t>PAT Growth</t>
  </si>
  <si>
    <t>Profitability Management</t>
  </si>
  <si>
    <t>EBITDA Margin (excluding Other Revenue)</t>
  </si>
  <si>
    <t>PAT Margin (excluding Other Revenue)</t>
  </si>
  <si>
    <t>Cash Profit Ratio (excluding Other Revenue)</t>
  </si>
  <si>
    <t>Return on Capital Employed</t>
  </si>
  <si>
    <t>Return on Equity</t>
  </si>
  <si>
    <t>Return on Assets</t>
  </si>
  <si>
    <t>Liquidity Management</t>
  </si>
  <si>
    <t>Current Ratio (Including Limits)</t>
  </si>
  <si>
    <t xml:space="preserve">Net Working Capital </t>
  </si>
  <si>
    <t>Working Capital Turnover</t>
  </si>
  <si>
    <t>Quick Ratio</t>
  </si>
  <si>
    <t>Operating Ratios</t>
  </si>
  <si>
    <t>Inventory Turnover Ratio</t>
  </si>
  <si>
    <t>Inventory Days</t>
  </si>
  <si>
    <t>Accounts Receivable Turnover Ratio</t>
  </si>
  <si>
    <t>Accounts Receivable Days / DSO</t>
  </si>
  <si>
    <t>Accounts Payables Turnover Ratio</t>
  </si>
  <si>
    <t>Accounts Payables Days / DPO</t>
  </si>
  <si>
    <t>Working Capital Cycle</t>
  </si>
  <si>
    <t>Fixed Assets Turnover</t>
  </si>
  <si>
    <t>Total Assets Turnover</t>
  </si>
  <si>
    <t>Debt Management</t>
  </si>
  <si>
    <t>Interest Coverage Ratio (ISCR)</t>
  </si>
  <si>
    <t>Debt Service Coverage Ratio (DSCR)</t>
  </si>
  <si>
    <t>Liabilities to Net Worth</t>
  </si>
  <si>
    <t>Total Debt / Net Cash Accruals (TDNCA = Total debt (short and long term, including off-balance -sheet debt) / [PAT - Dividend + Depreciation])</t>
  </si>
  <si>
    <t>Debt to Equity Ratio</t>
  </si>
  <si>
    <t>Assets Coverage Ratio</t>
  </si>
  <si>
    <t>Statutory Liability</t>
  </si>
  <si>
    <t>Lakhs</t>
  </si>
  <si>
    <t>Cash Flow</t>
  </si>
  <si>
    <t>Cash Flow from Operating Activities:</t>
  </si>
  <si>
    <t>Adjustments for:</t>
  </si>
  <si>
    <t>Non-Cash Expenses</t>
  </si>
  <si>
    <t>Profit / (Loss) from Sale of Assets</t>
  </si>
  <si>
    <t>Profit / (Loss) from Sale of Investments</t>
  </si>
  <si>
    <t>Profit / (Loss) from Forex Income</t>
  </si>
  <si>
    <t>Operating Profit / (Loss) before Working Capital changes</t>
  </si>
  <si>
    <t>(Increase) / Decrease in Inventories</t>
  </si>
  <si>
    <t>(Increase) / Decrease in Trade Receivables</t>
  </si>
  <si>
    <t>(Incease) / Decrease in Loans &amp; Advances (Long term)</t>
  </si>
  <si>
    <t>(Incease) / Decrease in Loans &amp; Advances (Short term)</t>
  </si>
  <si>
    <t>(Increase) / Decrease in Other Non-Current Assets</t>
  </si>
  <si>
    <t>(Increase) / Decrease in Other Current Assets</t>
  </si>
  <si>
    <t>Increase / (Decrease) in Trade Payables</t>
  </si>
  <si>
    <t>Increase / (Decrease) in Provisions (Long term)</t>
  </si>
  <si>
    <t>Increase / (Decrease) in Provisions (Short term)</t>
  </si>
  <si>
    <t>Increase / (Decrease) in Other Non Current Liabilities</t>
  </si>
  <si>
    <t>Increase / (Decrease) in Other Current Liabilities</t>
  </si>
  <si>
    <t>Cash generated from / (used in) Operations</t>
  </si>
  <si>
    <t>Other Revenue</t>
  </si>
  <si>
    <t>Exceptional Items</t>
  </si>
  <si>
    <t>Income Tax Paid</t>
  </si>
  <si>
    <t>Defered Tax</t>
  </si>
  <si>
    <t>Net Cash Flow from / (used in) Operating Activities (A)</t>
  </si>
  <si>
    <t>Cash Flow from Investing Activities</t>
  </si>
  <si>
    <t>(Purchase) / Sale of Fixed Assets:</t>
  </si>
  <si>
    <t>(Purchase) / Sale of Tangible Assets</t>
  </si>
  <si>
    <t>(Increase) / Decrease in In-Tangible Assets</t>
  </si>
  <si>
    <t>Decrease / (Increase) in Capital Work in Progress</t>
  </si>
  <si>
    <t>(Increase) / Decrease in In-Tangible Assets under Development</t>
  </si>
  <si>
    <t>(Purchase) / Sale of Non Current Investments:</t>
  </si>
  <si>
    <t>(Purchase) / Sale of Current Investments:</t>
  </si>
  <si>
    <t>Net Cash Flow from /(used in) Investing Activities (B)</t>
  </si>
  <si>
    <t>Cash Flow from Financing Activities:</t>
  </si>
  <si>
    <t>Proceeds / (Repayment) of Long Term Borrowings:</t>
  </si>
  <si>
    <t>Proceeds / (Repayment) of Short Term Borrowings:</t>
  </si>
  <si>
    <t>OtherShort Term Loan from Banks</t>
  </si>
  <si>
    <t>Proceeds / (Repayment) of Current Maturities of Long Term Borrowings</t>
  </si>
  <si>
    <t>Loan from Others</t>
  </si>
  <si>
    <t>Increase / (Decrease) in Net Worth:</t>
  </si>
  <si>
    <t>Interest Paid</t>
  </si>
  <si>
    <t>Net Cash Flow from / (used in) Financing Activities (C)</t>
  </si>
  <si>
    <t>Net Increase / (Decrease) in Cash and Cash Equivalents (A+B+C)</t>
  </si>
  <si>
    <t>Cash and Cash Equivalents at the beginning of the year</t>
  </si>
  <si>
    <t>Cash and Cash Equivalents at the end of the year</t>
  </si>
  <si>
    <t>Cash Flow Check</t>
  </si>
  <si>
    <t>Business Profile</t>
  </si>
  <si>
    <t>NC Reference ID</t>
  </si>
  <si>
    <t>ICICI Reference ID</t>
  </si>
  <si>
    <t>Case Name</t>
  </si>
  <si>
    <t>Name as per PAN document</t>
  </si>
  <si>
    <t>Name as per NSDL database</t>
  </si>
  <si>
    <t>PAN</t>
  </si>
  <si>
    <t>Verified on</t>
  </si>
  <si>
    <t>GSTIN</t>
  </si>
  <si>
    <t>Status</t>
  </si>
  <si>
    <t>Date of Incorporation</t>
  </si>
  <si>
    <t>Vintage</t>
  </si>
  <si>
    <t>Constitution</t>
  </si>
  <si>
    <t>Nature of Business</t>
  </si>
  <si>
    <t>CIN</t>
  </si>
  <si>
    <t>Authorised Capital</t>
  </si>
  <si>
    <t>Paid up Capital</t>
  </si>
  <si>
    <t>Registered Address</t>
  </si>
  <si>
    <t>Equity Shareholders</t>
  </si>
  <si>
    <t>Name</t>
  </si>
  <si>
    <t>No. of Shares</t>
  </si>
  <si>
    <t>% of Holding</t>
  </si>
  <si>
    <t>Address</t>
  </si>
  <si>
    <t>Remarks</t>
  </si>
  <si>
    <t>Preference Shareholders</t>
  </si>
  <si>
    <t>Debentures Holders</t>
  </si>
  <si>
    <t>Source</t>
  </si>
  <si>
    <t>Credit Rating</t>
  </si>
  <si>
    <t>Agency</t>
  </si>
  <si>
    <t>Report Date:</t>
  </si>
  <si>
    <t>Credit Rating Long term:</t>
  </si>
  <si>
    <t>Credit Rating Short term:</t>
  </si>
  <si>
    <t>Rating Rationale</t>
  </si>
  <si>
    <t>As per documents uploaded by ICICI</t>
  </si>
  <si>
    <t>CA Membership</t>
  </si>
  <si>
    <t>Name as per document</t>
  </si>
  <si>
    <t>CA Membership No.</t>
  </si>
  <si>
    <t>Name as per ICAI database</t>
  </si>
  <si>
    <t>Individual Verification</t>
  </si>
  <si>
    <t>Firm / Company Name</t>
  </si>
  <si>
    <t>No. of Individuals</t>
  </si>
  <si>
    <t>Individual Name</t>
  </si>
  <si>
    <t>DIN</t>
  </si>
  <si>
    <t>DL</t>
  </si>
  <si>
    <t>Voter ID</t>
  </si>
  <si>
    <t>Document</t>
  </si>
  <si>
    <t>Not Available</t>
  </si>
  <si>
    <t>Name as per Document</t>
  </si>
  <si>
    <t>ID No.</t>
  </si>
  <si>
    <t>Name as per Database</t>
  </si>
  <si>
    <t>DOB / Age</t>
  </si>
  <si>
    <t>Issued Date</t>
  </si>
  <si>
    <t>Goods &amp; Service Tax</t>
  </si>
  <si>
    <t>GSTIN/UIN</t>
  </si>
  <si>
    <t>Legal Name of Business</t>
  </si>
  <si>
    <t>Constitution of Business</t>
  </si>
  <si>
    <t>Taxpayer Type</t>
  </si>
  <si>
    <t>GSTIN / UIN Status</t>
  </si>
  <si>
    <t>Sl. No</t>
  </si>
  <si>
    <t>Return Type</t>
  </si>
  <si>
    <t>Financial Year</t>
  </si>
  <si>
    <t>Tax Period</t>
  </si>
  <si>
    <t>Date of filing</t>
  </si>
  <si>
    <t>Company Profile</t>
  </si>
  <si>
    <t xml:space="preserve">CIN </t>
  </si>
  <si>
    <t>Company Name</t>
  </si>
  <si>
    <t>ROC Code</t>
  </si>
  <si>
    <t>Registration Number</t>
  </si>
  <si>
    <t>Company Category</t>
  </si>
  <si>
    <t>Company SubCategory</t>
  </si>
  <si>
    <t xml:space="preserve">Class of Company </t>
  </si>
  <si>
    <t>Authorised Capital (Rs)</t>
  </si>
  <si>
    <t>Paid up Capital (Rs)</t>
  </si>
  <si>
    <t>Number of Members(If Co. w/o Share Capital)</t>
  </si>
  <si>
    <t>Vintage:</t>
  </si>
  <si>
    <t xml:space="preserve">Registered Address </t>
  </si>
  <si>
    <t>Address other than R/o where all or any books of account and papers are maintained</t>
  </si>
  <si>
    <t>Email Id</t>
  </si>
  <si>
    <t>Whether Listed or not</t>
  </si>
  <si>
    <t>ACTIVE compliance</t>
  </si>
  <si>
    <t>Suspended at stock exchange</t>
  </si>
  <si>
    <t>Date of last AGM</t>
  </si>
  <si>
    <t>Date of Balance Sheet</t>
  </si>
  <si>
    <t>Company Status(for efiling)</t>
  </si>
  <si>
    <t>Loan Details</t>
  </si>
  <si>
    <t>Active Loans</t>
  </si>
  <si>
    <t>Closed Loans</t>
  </si>
  <si>
    <t>Charges Registered</t>
  </si>
  <si>
    <t>SRN</t>
  </si>
  <si>
    <t>Charge Id</t>
  </si>
  <si>
    <t>Charge Holder Name</t>
  </si>
  <si>
    <t>Date of Creation</t>
  </si>
  <si>
    <t>Date of Modification</t>
  </si>
  <si>
    <t>Date of Satisfaction</t>
  </si>
  <si>
    <t>Signatory / Director Details</t>
  </si>
  <si>
    <t>Position</t>
  </si>
  <si>
    <t>Registration Date</t>
  </si>
  <si>
    <t>DSC Registered</t>
  </si>
  <si>
    <t>Expiry Date</t>
  </si>
  <si>
    <t>Associated Companies</t>
  </si>
  <si>
    <t>Credit Information Report</t>
  </si>
  <si>
    <t>Applicant</t>
  </si>
  <si>
    <t>Co-Applicant 1</t>
  </si>
  <si>
    <t>Co-Applicant 2</t>
  </si>
  <si>
    <t>Co-Applicant 3</t>
  </si>
  <si>
    <t>Credit Information Company</t>
  </si>
  <si>
    <t>PAN No</t>
  </si>
  <si>
    <t>Credit Score</t>
  </si>
  <si>
    <t>Principal Outstanding (POS) as per Credit Report</t>
  </si>
  <si>
    <t>High Credit as per Credit Report</t>
  </si>
  <si>
    <t>POS to High Credit (%)</t>
  </si>
  <si>
    <t>Loan Debit</t>
  </si>
  <si>
    <t>Start on</t>
  </si>
  <si>
    <t>Tenor Left</t>
  </si>
  <si>
    <t>EMI Obligation</t>
  </si>
  <si>
    <t>Bank Name (EMI running)</t>
  </si>
  <si>
    <t>Remarks (Bounces/ DPD etc)</t>
  </si>
  <si>
    <t>EMI Paid</t>
  </si>
  <si>
    <t>EMI Amt Paid</t>
  </si>
  <si>
    <t>Avg Previous Day Balance</t>
  </si>
  <si>
    <t>Previous Day Balance</t>
  </si>
  <si>
    <t>Previous Bal</t>
  </si>
  <si>
    <t>Exclusions:</t>
  </si>
  <si>
    <t>Partnership / Profit Sharing</t>
  </si>
  <si>
    <t>Relation</t>
  </si>
  <si>
    <t>Ownership Pattern</t>
  </si>
  <si>
    <t>Legal Name</t>
  </si>
  <si>
    <t>GSTIN:</t>
  </si>
  <si>
    <t>Return Type:</t>
  </si>
  <si>
    <t>Month</t>
  </si>
  <si>
    <t xml:space="preserve">Total </t>
  </si>
  <si>
    <t>Taxable</t>
  </si>
  <si>
    <t>Zero Rated</t>
  </si>
  <si>
    <t>Nil Rated / Exempted</t>
  </si>
  <si>
    <t>Grand Total</t>
  </si>
  <si>
    <t>ITR-Verification</t>
  </si>
  <si>
    <t>Year</t>
  </si>
  <si>
    <t>Acknowledgement Number</t>
  </si>
  <si>
    <t>Verified On</t>
  </si>
  <si>
    <t>Case Name:</t>
  </si>
  <si>
    <t>Filed On</t>
  </si>
  <si>
    <t>Co-Applicant 4</t>
  </si>
  <si>
    <t>Co-Applicant 5</t>
  </si>
  <si>
    <t>DOB/DOI</t>
  </si>
  <si>
    <t>No of Loan Accounts</t>
  </si>
  <si>
    <t>No of Active Loans</t>
  </si>
  <si>
    <t>Wilful Defaulter\Suit Filed</t>
  </si>
  <si>
    <t>SMA\SUB\DBT\LSS accounts</t>
  </si>
  <si>
    <t>No of Enquiries - No of Loans Sanctioned in Last 30 Days</t>
  </si>
  <si>
    <t>No of Enquiries - No of Loans Sanctioned in Last 3 Months</t>
  </si>
  <si>
    <t>No of Enquiries - No of Loans Sanctioned in Last 6 Months</t>
  </si>
  <si>
    <t>No of Enquiries - No of Loans Sanctioned in Last 12 Months</t>
  </si>
  <si>
    <t>No of Enquiries - No of Loans Sanctioned in Last 24 Months</t>
  </si>
  <si>
    <t>Repayment-Track</t>
  </si>
  <si>
    <t>Loan Type - Ownership</t>
  </si>
  <si>
    <t>Financier/Source</t>
  </si>
  <si>
    <t>Loan Credit/ Sanction Amt</t>
  </si>
  <si>
    <t>Outstanding Bal</t>
  </si>
  <si>
    <t>EMI Bounce</t>
  </si>
  <si>
    <t>Trade Name</t>
  </si>
  <si>
    <t>Effective Date of registration</t>
  </si>
  <si>
    <t>Principal Place of Business</t>
  </si>
  <si>
    <t>Administrative Office</t>
  </si>
  <si>
    <t>Other Office</t>
  </si>
  <si>
    <t>Effective Date of Cancellation</t>
  </si>
  <si>
    <t>GST Returns</t>
  </si>
  <si>
    <t>GST Return Type:</t>
  </si>
  <si>
    <t>Outward Supplies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</si>
</sst>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5" formatCode="&quot;₹&quot;\ #,##0;&quot;₹&quot;\ \-#,##0"/>
    <numFmt numFmtId="8" formatCode="&quot;₹&quot;\ #,##0.00;[Red]&quot;₹&quot;\ \-#,##0.00"/>
    <numFmt numFmtId="43" formatCode="_ * #,##0.00_ ;_ * \-#,##0.00_ ;_ * &quot;-&quot;??_ ;_ @_ "/>
    <numFmt numFmtId="164" formatCode="#,##0.00\ ;&quot; (&quot;#,##0.00\);&quot; -&quot;#\ ;@\ "/>
    <numFmt numFmtId="165" formatCode="0.000000"/>
    <numFmt numFmtId="166" formatCode="0.0000"/>
    <numFmt numFmtId="167" formatCode="#,##0\ ;&quot; (&quot;#,##0\);&quot; -&quot;#\ ;@\ "/>
    <numFmt numFmtId="168" formatCode="#,##0.00\ ;&quot; (&quot;#,##0.00\);&quot; -&quot;#.00\ ;@\ "/>
    <numFmt numFmtId="169" formatCode="mmmm/yyyy"/>
    <numFmt numFmtId="170" formatCode="\ #,##0;\ \-#,##0;\-"/>
    <numFmt numFmtId="171" formatCode="0;;;@"/>
    <numFmt numFmtId="172" formatCode="General;General;\-"/>
    <numFmt numFmtId="173" formatCode="_(* #,##0_);_(* \(#,##0\);_(* \-??_);_(@_)"/>
    <numFmt numFmtId="174" formatCode="[$-409]mmmm/yy;@"/>
    <numFmt numFmtId="175" formatCode="&quot;In&quot;&quot; &quot;\ yyyy"/>
    <numFmt numFmtId="176" formatCode="_ * #,##0_ ;_ * \-#,##0_ ;_ * &quot;-&quot;??_ ;_ @_ "/>
    <numFmt numFmtId="177" formatCode="[$-14009]dd\.mm\.yyyy;@"/>
    <numFmt numFmtId="178" formatCode="&quot;₹&quot;\ #,##0;&quot;₹&quot;\ \-#,##0;\-"/>
    <numFmt numFmtId="179" formatCode="0%;\-0%;\-"/>
    <numFmt numFmtId="180" formatCode="_-* dd/mm/yyyy\ hh:mm;\-*dd/mm/yyyy\ hh:mm;\-"/>
    <numFmt numFmtId="181" formatCode="yyyy;yyyy;\-"/>
    <numFmt numFmtId="182" formatCode="dd/mmm/yyyy"/>
  </numFmts>
  <fonts count="106">
    <font>
      <sz val="11"/>
      <name val="Zurich BT"/>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0"/>
      <name val="Arial"/>
      <family val="2"/>
    </font>
    <font>
      <sz val="10"/>
      <color indexed="8"/>
      <name val="Arial"/>
      <family val="2"/>
    </font>
    <font>
      <sz val="9"/>
      <name val="Arial"/>
      <family val="2"/>
    </font>
    <font>
      <sz val="8"/>
      <name val="Arial"/>
      <family val="2"/>
    </font>
    <font>
      <b/>
      <sz val="11"/>
      <name val="Arial"/>
      <family val="2"/>
    </font>
    <font>
      <b/>
      <sz val="11"/>
      <name val="Zurich BT"/>
      <family val="2"/>
    </font>
    <font>
      <sz val="11"/>
      <name val="Zurich BT"/>
      <family val="2"/>
    </font>
    <font>
      <sz val="11"/>
      <color indexed="9"/>
      <name val="Zurich BT"/>
      <family val="2"/>
    </font>
    <font>
      <sz val="11"/>
      <name val="Zurich BT"/>
      <family val="2"/>
    </font>
    <font>
      <sz val="9"/>
      <color indexed="81"/>
      <name val="Tahoma"/>
      <family val="2"/>
    </font>
    <font>
      <b/>
      <sz val="9"/>
      <color indexed="81"/>
      <name val="Tahoma"/>
      <family val="2"/>
    </font>
    <font>
      <sz val="10"/>
      <name val="Zurich BT"/>
      <family val="2"/>
    </font>
    <font>
      <b/>
      <sz val="10"/>
      <color indexed="9"/>
      <name val="Zurich BT"/>
      <family val="2"/>
    </font>
    <font>
      <sz val="11"/>
      <color indexed="8"/>
      <name val="Zurich BT"/>
      <family val="2"/>
    </font>
    <font>
      <sz val="11"/>
      <color indexed="56"/>
      <name val="Zurich BT"/>
      <family val="2"/>
    </font>
    <font>
      <sz val="8"/>
      <color indexed="81"/>
      <name val="Tahoma"/>
      <family val="2"/>
    </font>
    <font>
      <b/>
      <sz val="8"/>
      <color indexed="81"/>
      <name val="Tahoma"/>
      <family val="2"/>
    </font>
    <font>
      <sz val="10"/>
      <color indexed="9"/>
      <name val="Zurich BT"/>
      <family val="2"/>
    </font>
    <font>
      <b/>
      <sz val="11"/>
      <color indexed="9"/>
      <name val="Rupee Foradian"/>
      <family val="2"/>
    </font>
    <font>
      <b/>
      <sz val="11"/>
      <color indexed="9"/>
      <name val="Zurich BT"/>
      <family val="2"/>
    </font>
    <font>
      <sz val="12"/>
      <name val="Zurich BT"/>
      <family val="2"/>
    </font>
    <font>
      <sz val="12"/>
      <color indexed="9"/>
      <name val="Zurich BT"/>
      <family val="2"/>
    </font>
    <font>
      <b/>
      <sz val="11"/>
      <color indexed="9"/>
      <name val="ru"/>
    </font>
    <font>
      <sz val="11"/>
      <color theme="0"/>
      <name val="Zurich BT"/>
      <family val="2"/>
    </font>
    <font>
      <sz val="11"/>
      <color rgb="FFFF0000"/>
      <name val="Zurich BT"/>
      <family val="2"/>
    </font>
    <font>
      <b/>
      <sz val="11"/>
      <color theme="0"/>
      <name val="Zurich BT"/>
      <family val="2"/>
    </font>
    <font>
      <sz val="11"/>
      <color theme="1"/>
      <name val="Zurich BT"/>
      <family val="2"/>
    </font>
    <font>
      <b/>
      <sz val="11"/>
      <color theme="1"/>
      <name val="Zurich BT"/>
      <family val="2"/>
    </font>
    <font>
      <sz val="12"/>
      <color theme="0"/>
      <name val="Zurich BT"/>
      <family val="2"/>
    </font>
    <font>
      <sz val="12"/>
      <color rgb="FFFF0000"/>
      <name val="Zurich BT"/>
      <family val="2"/>
    </font>
    <font>
      <u/>
      <sz val="11"/>
      <color theme="10"/>
      <name val="Zurich BT"/>
      <family val="2"/>
    </font>
    <font>
      <b/>
      <sz val="11"/>
      <color theme="2" tint="-0.249977111117893"/>
      <name val="Zurich BT"/>
      <family val="2"/>
    </font>
    <font>
      <b/>
      <sz val="11"/>
      <color theme="2" tint="-0.249977111117893"/>
      <name val="Rupee Foradian"/>
      <family val="2"/>
    </font>
    <font>
      <b/>
      <sz val="10"/>
      <name val="Zurich BT"/>
      <family val="2"/>
    </font>
    <font>
      <b/>
      <sz val="11"/>
      <color theme="0"/>
      <name val="Rupee Foradian"/>
      <family val="2"/>
    </font>
    <font>
      <b/>
      <sz val="18"/>
      <color theme="0"/>
      <name val="Zurich BT"/>
      <family val="2"/>
    </font>
    <font>
      <b/>
      <sz val="13"/>
      <color theme="0"/>
      <name val="Arial"/>
      <family val="2"/>
    </font>
    <font>
      <sz val="10"/>
      <color theme="0"/>
      <name val="Calibri"/>
      <family val="2"/>
      <scheme val="minor"/>
    </font>
    <font>
      <sz val="10"/>
      <color theme="1"/>
      <name val="Calibri"/>
      <family val="2"/>
      <scheme val="minor"/>
    </font>
    <font>
      <sz val="13"/>
      <color theme="0"/>
      <name val="Calibri"/>
      <family val="2"/>
      <scheme val="minor"/>
    </font>
    <font>
      <sz val="13"/>
      <color theme="1"/>
      <name val="Calibri"/>
      <family val="2"/>
      <scheme val="minor"/>
    </font>
    <font>
      <b/>
      <sz val="11"/>
      <color theme="1"/>
      <name val="Calibri"/>
      <family val="2"/>
      <scheme val="minor"/>
    </font>
    <font>
      <sz val="11"/>
      <color theme="1"/>
      <name val="Arial"/>
      <family val="2"/>
    </font>
    <font>
      <b/>
      <sz val="17"/>
      <color rgb="FFFFFFFF"/>
      <name val="Arial"/>
      <family val="2"/>
    </font>
    <font>
      <b/>
      <sz val="10"/>
      <color theme="1"/>
      <name val="Arial"/>
      <family val="2"/>
    </font>
    <font>
      <b/>
      <sz val="15"/>
      <color theme="0"/>
      <name val="Arial"/>
      <family val="2"/>
    </font>
    <font>
      <b/>
      <sz val="11"/>
      <color rgb="FFFFFFFF"/>
      <name val="Arial"/>
      <family val="2"/>
    </font>
    <font>
      <sz val="10"/>
      <color theme="1"/>
      <name val="Arial"/>
      <family val="2"/>
    </font>
    <font>
      <b/>
      <sz val="11"/>
      <color theme="1"/>
      <name val="Arial"/>
      <family val="2"/>
    </font>
    <font>
      <sz val="11"/>
      <name val="Calibri Light"/>
      <family val="1"/>
      <scheme val="major"/>
    </font>
    <font>
      <sz val="9"/>
      <color theme="1"/>
      <name val="Arial"/>
      <family val="2"/>
    </font>
    <font>
      <sz val="8"/>
      <color theme="1"/>
      <name val="Arial"/>
      <family val="2"/>
    </font>
    <font>
      <sz val="8"/>
      <name val="Aharoni"/>
    </font>
    <font>
      <b/>
      <sz val="8"/>
      <name val="Arial"/>
      <family val="2"/>
    </font>
    <font>
      <b/>
      <u/>
      <sz val="14"/>
      <color theme="1"/>
      <name val="Arial"/>
      <family val="2"/>
    </font>
    <font>
      <sz val="12"/>
      <color rgb="FF000000"/>
      <name val="Verdana"/>
      <family val="2"/>
    </font>
    <font>
      <b/>
      <sz val="9"/>
      <name val="Arial"/>
      <family val="2"/>
    </font>
    <font>
      <sz val="10"/>
      <color rgb="FF000000"/>
      <name val="Arial"/>
      <family val="2"/>
    </font>
    <font>
      <sz val="9"/>
      <color rgb="FF000000"/>
      <name val="Arial"/>
      <family val="2"/>
    </font>
    <font>
      <sz val="13"/>
      <color theme="1"/>
      <name val="Arial"/>
      <family val="2"/>
    </font>
    <font>
      <b/>
      <u/>
      <sz val="13"/>
      <color theme="1"/>
      <name val="Arial"/>
      <family val="2"/>
    </font>
    <font>
      <sz val="10"/>
      <color theme="0"/>
      <name val="Arial"/>
      <family val="2"/>
    </font>
    <font>
      <b/>
      <sz val="9"/>
      <color theme="1"/>
      <name val="Arial"/>
      <family val="2"/>
    </font>
    <font>
      <sz val="10"/>
      <name val="MS Sans Serif"/>
      <family val="2"/>
    </font>
    <font>
      <b/>
      <sz val="14"/>
      <color rgb="FFFFFFFF"/>
      <name val="Arial"/>
      <family val="2"/>
    </font>
    <font>
      <sz val="11"/>
      <color rgb="FF333333"/>
      <name val="Arial"/>
      <family val="2"/>
    </font>
    <font>
      <b/>
      <sz val="11"/>
      <color theme="0"/>
      <name val="Arial"/>
      <family val="2"/>
    </font>
    <font>
      <u/>
      <sz val="11"/>
      <color theme="10"/>
      <name val="Calibri"/>
      <family val="2"/>
      <scheme val="minor"/>
    </font>
    <font>
      <sz val="11"/>
      <color theme="0"/>
      <name val="Arial"/>
      <family val="2"/>
    </font>
    <font>
      <b/>
      <sz val="14"/>
      <color theme="0"/>
      <name val="Calibri"/>
      <family val="2"/>
      <scheme val="minor"/>
    </font>
    <font>
      <sz val="9"/>
      <color theme="1"/>
      <name val="Calibri"/>
      <family val="2"/>
      <scheme val="minor"/>
    </font>
    <font>
      <sz val="10"/>
      <name val="Calibri"/>
      <family val="2"/>
      <scheme val="minor"/>
    </font>
    <font>
      <b/>
      <sz val="13"/>
      <color theme="0"/>
      <name val="Calibri"/>
      <family val="2"/>
      <scheme val="minor"/>
    </font>
    <font>
      <b/>
      <sz val="10"/>
      <color theme="0"/>
      <name val="Calibri"/>
      <family val="2"/>
      <scheme val="minor"/>
    </font>
    <font>
      <b/>
      <sz val="10"/>
      <color theme="1"/>
      <name val="Calibri"/>
      <family val="2"/>
      <scheme val="minor"/>
    </font>
    <font>
      <b/>
      <sz val="12"/>
      <color indexed="8"/>
      <name val="Calibri"/>
      <family val="2"/>
      <scheme val="minor"/>
    </font>
    <font>
      <sz val="12"/>
      <name val="Calibri"/>
      <family val="2"/>
      <scheme val="minor"/>
    </font>
    <font>
      <b/>
      <sz val="12"/>
      <name val="Calibri"/>
      <family val="2"/>
      <scheme val="minor"/>
    </font>
    <font>
      <sz val="12"/>
      <color indexed="8"/>
      <name val="Calibri"/>
      <family val="2"/>
      <scheme val="minor"/>
    </font>
    <font>
      <b/>
      <sz val="10"/>
      <color indexed="8"/>
      <name val="Calibri"/>
      <family val="2"/>
      <scheme val="minor"/>
    </font>
    <font>
      <sz val="10"/>
      <color indexed="8"/>
      <name val="Calibri"/>
      <family val="2"/>
      <scheme val="minor"/>
    </font>
    <font>
      <b/>
      <sz val="10"/>
      <name val="Calibri"/>
      <family val="2"/>
      <scheme val="minor"/>
    </font>
    <font>
      <b/>
      <sz val="12"/>
      <color theme="1"/>
      <name val="Calibri"/>
      <family val="2"/>
      <scheme val="minor"/>
    </font>
  </fonts>
  <fills count="66">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indexed="9"/>
        <bgColor indexed="26"/>
      </patternFill>
    </fill>
    <fill>
      <patternFill patternType="solid">
        <fgColor indexed="22"/>
        <bgColor indexed="64"/>
      </patternFill>
    </fill>
    <fill>
      <patternFill patternType="solid">
        <fgColor indexed="9"/>
        <bgColor indexed="64"/>
      </patternFill>
    </fill>
    <fill>
      <patternFill patternType="solid">
        <fgColor indexed="16"/>
        <bgColor indexed="64"/>
      </patternFill>
    </fill>
    <fill>
      <patternFill patternType="solid">
        <fgColor indexed="13"/>
        <bgColor indexed="64"/>
      </patternFill>
    </fill>
    <fill>
      <patternFill patternType="solid">
        <fgColor indexed="51"/>
        <bgColor indexed="64"/>
      </patternFill>
    </fill>
    <fill>
      <patternFill patternType="solid">
        <fgColor indexed="47"/>
        <bgColor indexed="31"/>
      </patternFill>
    </fill>
    <fill>
      <patternFill patternType="solid">
        <fgColor theme="0" tint="-0.14999847407452621"/>
        <bgColor indexed="64"/>
      </patternFill>
    </fill>
    <fill>
      <patternFill patternType="solid">
        <fgColor theme="0" tint="-0.14999847407452621"/>
        <bgColor indexed="22"/>
      </patternFill>
    </fill>
    <fill>
      <patternFill patternType="solid">
        <fgColor theme="9" tint="0.39997558519241921"/>
        <bgColor indexed="64"/>
      </patternFill>
    </fill>
    <fill>
      <patternFill patternType="solid">
        <fgColor theme="0"/>
        <bgColor indexed="64"/>
      </patternFill>
    </fill>
    <fill>
      <patternFill patternType="solid">
        <fgColor rgb="FFFFFF00"/>
        <bgColor indexed="64"/>
      </patternFill>
    </fill>
    <fill>
      <patternFill patternType="solid">
        <fgColor theme="0"/>
        <bgColor indexed="31"/>
      </patternFill>
    </fill>
    <fill>
      <patternFill patternType="solid">
        <fgColor theme="9" tint="0.39997558519241921"/>
        <bgColor indexed="31"/>
      </patternFill>
    </fill>
    <fill>
      <patternFill patternType="solid">
        <fgColor theme="0" tint="-0.34998626667073579"/>
        <bgColor indexed="64"/>
      </patternFill>
    </fill>
    <fill>
      <patternFill patternType="solid">
        <fgColor theme="0" tint="-0.34998626667073579"/>
        <bgColor indexed="31"/>
      </patternFill>
    </fill>
    <fill>
      <patternFill patternType="solid">
        <fgColor theme="0" tint="-0.249977111117893"/>
        <bgColor indexed="31"/>
      </patternFill>
    </fill>
    <fill>
      <patternFill patternType="solid">
        <fgColor rgb="FF800000"/>
        <bgColor indexed="64"/>
      </patternFill>
    </fill>
    <fill>
      <patternFill patternType="solid">
        <fgColor theme="9" tint="0.39997558519241921"/>
        <bgColor indexed="29"/>
      </patternFill>
    </fill>
    <fill>
      <patternFill patternType="solid">
        <fgColor theme="1"/>
        <bgColor indexed="64"/>
      </patternFill>
    </fill>
    <fill>
      <patternFill patternType="solid">
        <fgColor theme="0" tint="-0.14999847407452621"/>
        <bgColor indexed="29"/>
      </patternFill>
    </fill>
    <fill>
      <patternFill patternType="solid">
        <fgColor theme="0" tint="-0.14999847407452621"/>
        <bgColor indexed="31"/>
      </patternFill>
    </fill>
    <fill>
      <patternFill patternType="solid">
        <fgColor theme="7" tint="0.79998168889431442"/>
        <bgColor indexed="64"/>
      </patternFill>
    </fill>
    <fill>
      <patternFill patternType="solid">
        <fgColor theme="0" tint="-0.249977111117893"/>
        <bgColor indexed="64"/>
      </patternFill>
    </fill>
    <fill>
      <patternFill patternType="solid">
        <fgColor theme="4" tint="-0.499984740745262"/>
        <bgColor indexed="64"/>
      </patternFill>
    </fill>
    <fill>
      <patternFill patternType="solid">
        <fgColor rgb="FFC00000"/>
        <bgColor indexed="64"/>
      </patternFill>
    </fill>
    <fill>
      <patternFill patternType="solid">
        <fgColor theme="9" tint="0.39994506668294322"/>
        <bgColor indexed="64"/>
      </patternFill>
    </fill>
    <fill>
      <patternFill patternType="solid">
        <fgColor rgb="FFB4C6E7"/>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theme="0"/>
        <bgColor indexed="26"/>
      </patternFill>
    </fill>
    <fill>
      <patternFill patternType="solid">
        <fgColor theme="4" tint="0.39997558519241921"/>
        <bgColor indexed="64"/>
      </patternFill>
    </fill>
    <fill>
      <patternFill patternType="solid">
        <fgColor theme="4" tint="0.59999389629810485"/>
        <bgColor indexed="64"/>
      </patternFill>
    </fill>
    <fill>
      <patternFill patternType="solid">
        <fgColor rgb="FFFFFFFF"/>
        <bgColor rgb="FFFFFFCC"/>
      </patternFill>
    </fill>
    <fill>
      <patternFill patternType="solid">
        <fgColor theme="0" tint="-4.9989318521683403E-2"/>
        <bgColor indexed="64"/>
      </patternFill>
    </fill>
    <fill>
      <patternFill patternType="solid">
        <fgColor theme="0" tint="-4.9989318521683403E-2"/>
        <bgColor indexed="31"/>
      </patternFill>
    </fill>
    <fill>
      <patternFill patternType="solid">
        <fgColor rgb="FFFFFF00"/>
        <bgColor indexed="34"/>
      </patternFill>
    </fill>
    <fill>
      <patternFill patternType="solid">
        <fgColor theme="0" tint="-0.14999847407452621"/>
        <bgColor indexed="23"/>
      </patternFill>
    </fill>
    <fill>
      <patternFill patternType="solid">
        <fgColor theme="0" tint="-0.249977111117893"/>
        <bgColor indexed="23"/>
      </patternFill>
    </fill>
    <fill>
      <patternFill patternType="solid">
        <fgColor rgb="FF326496"/>
        <bgColor indexed="64"/>
      </patternFill>
    </fill>
    <fill>
      <patternFill patternType="solid">
        <fgColor rgb="FFEDF1F9"/>
        <bgColor indexed="64"/>
      </patternFill>
    </fill>
  </fills>
  <borders count="182">
    <border>
      <left/>
      <right/>
      <top/>
      <bottom/>
      <diagonal/>
    </border>
    <border>
      <left style="medium">
        <color indexed="23"/>
      </left>
      <right style="medium">
        <color indexed="23"/>
      </right>
      <top style="medium">
        <color indexed="23"/>
      </top>
      <bottom style="medium">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thick">
        <color indexed="30"/>
      </bottom>
      <diagonal/>
    </border>
    <border>
      <left/>
      <right/>
      <top/>
      <bottom style="double">
        <color indexed="52"/>
      </bottom>
      <diagonal/>
    </border>
    <border>
      <left style="medium">
        <color indexed="22"/>
      </left>
      <right style="medium">
        <color indexed="22"/>
      </right>
      <top style="medium">
        <color indexed="22"/>
      </top>
      <bottom style="medium">
        <color indexed="22"/>
      </bottom>
      <diagonal/>
    </border>
    <border>
      <left style="medium">
        <color indexed="63"/>
      </left>
      <right style="medium">
        <color indexed="63"/>
      </right>
      <top style="medium">
        <color indexed="63"/>
      </top>
      <bottom style="medium">
        <color indexed="63"/>
      </bottom>
      <diagonal/>
    </border>
    <border>
      <left/>
      <right/>
      <top style="medium">
        <color indexed="62"/>
      </top>
      <bottom style="double">
        <color indexed="62"/>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8"/>
      </left>
      <right style="thin">
        <color indexed="8"/>
      </right>
      <top style="thin">
        <color indexed="8"/>
      </top>
      <bottom/>
      <diagonal/>
    </border>
    <border>
      <left/>
      <right style="thin">
        <color indexed="8"/>
      </right>
      <top style="thin">
        <color indexed="8"/>
      </top>
      <bottom style="thin">
        <color indexed="8"/>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8"/>
      </top>
      <bottom style="thin">
        <color indexed="8"/>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bottom/>
      <diagonal/>
    </border>
    <border>
      <left style="medium">
        <color indexed="64"/>
      </left>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thin">
        <color indexed="64"/>
      </bottom>
      <diagonal/>
    </border>
    <border>
      <left style="thin">
        <color indexed="64"/>
      </left>
      <right/>
      <top/>
      <bottom style="thin">
        <color indexed="64"/>
      </bottom>
      <diagonal/>
    </border>
    <border>
      <left style="medium">
        <color indexed="64"/>
      </left>
      <right/>
      <top style="thin">
        <color indexed="64"/>
      </top>
      <bottom style="thin">
        <color indexed="64"/>
      </bottom>
      <diagonal/>
    </border>
    <border>
      <left/>
      <right/>
      <top/>
      <bottom style="thin">
        <color indexed="8"/>
      </bottom>
      <diagonal/>
    </border>
    <border>
      <left style="thin">
        <color indexed="64"/>
      </left>
      <right/>
      <top/>
      <bottom style="thin">
        <color indexed="8"/>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theme="1"/>
      </bottom>
      <diagonal/>
    </border>
    <border>
      <left/>
      <right style="medium">
        <color indexed="64"/>
      </right>
      <top style="medium">
        <color indexed="64"/>
      </top>
      <bottom style="medium">
        <color theme="1"/>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style="thin">
        <color indexed="64"/>
      </bottom>
      <diagonal/>
    </border>
    <border>
      <left style="medium">
        <color indexed="64"/>
      </left>
      <right style="medium">
        <color indexed="64"/>
      </right>
      <top/>
      <bottom style="thin">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bottom/>
      <diagonal/>
    </border>
    <border>
      <left/>
      <right style="medium">
        <color indexed="64"/>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medium">
        <color indexed="64"/>
      </left>
      <right style="thin">
        <color theme="0"/>
      </right>
      <top style="medium">
        <color indexed="64"/>
      </top>
      <bottom style="medium">
        <color indexed="64"/>
      </bottom>
      <diagonal/>
    </border>
    <border>
      <left style="thin">
        <color theme="0"/>
      </left>
      <right style="thin">
        <color theme="0"/>
      </right>
      <top style="medium">
        <color indexed="64"/>
      </top>
      <bottom style="medium">
        <color indexed="64"/>
      </bottom>
      <diagonal/>
    </border>
    <border>
      <left style="thin">
        <color theme="0"/>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theme="0"/>
      </right>
      <top style="thin">
        <color indexed="64"/>
      </top>
      <bottom style="thin">
        <color indexed="64"/>
      </bottom>
      <diagonal/>
    </border>
    <border>
      <left style="thin">
        <color theme="0"/>
      </left>
      <right style="thin">
        <color theme="0"/>
      </right>
      <top style="thin">
        <color indexed="64"/>
      </top>
      <bottom style="thin">
        <color indexed="64"/>
      </bottom>
      <diagonal/>
    </border>
    <border>
      <left style="thin">
        <color theme="0"/>
      </left>
      <right style="medium">
        <color indexed="64"/>
      </right>
      <top style="thin">
        <color indexed="64"/>
      </top>
      <bottom style="thin">
        <color indexed="64"/>
      </bottom>
      <diagonal/>
    </border>
    <border>
      <left style="medium">
        <color indexed="64"/>
      </left>
      <right style="thin">
        <color theme="0"/>
      </right>
      <top/>
      <bottom style="medium">
        <color indexed="64"/>
      </bottom>
      <diagonal/>
    </border>
    <border>
      <left style="thin">
        <color theme="0"/>
      </left>
      <right style="thin">
        <color theme="0"/>
      </right>
      <top/>
      <bottom style="medium">
        <color indexed="64"/>
      </bottom>
      <diagonal/>
    </border>
    <border>
      <left style="thin">
        <color theme="0"/>
      </left>
      <right style="thin">
        <color indexed="64"/>
      </right>
      <top/>
      <bottom style="medium">
        <color indexed="64"/>
      </bottom>
      <diagonal/>
    </border>
    <border>
      <left/>
      <right style="thin">
        <color theme="0"/>
      </right>
      <top/>
      <bottom style="medium">
        <color indexed="64"/>
      </bottom>
      <diagonal/>
    </border>
    <border>
      <left style="thin">
        <color theme="0"/>
      </left>
      <right style="medium">
        <color indexed="64"/>
      </right>
      <top/>
      <bottom style="medium">
        <color indexed="64"/>
      </bottom>
      <diagonal/>
    </border>
    <border>
      <left/>
      <right style="thin">
        <color theme="2" tint="-9.9948118533890809E-2"/>
      </right>
      <top/>
      <bottom/>
      <diagonal/>
    </border>
    <border>
      <left/>
      <right style="thin">
        <color theme="2" tint="-9.9948118533890809E-2"/>
      </right>
      <top style="thin">
        <color auto="1"/>
      </top>
      <bottom/>
      <diagonal/>
    </border>
    <border>
      <left/>
      <right style="thin">
        <color theme="2" tint="-9.9948118533890809E-2"/>
      </right>
      <top/>
      <bottom style="medium">
        <color auto="1"/>
      </bottom>
      <diagonal/>
    </border>
    <border>
      <left style="medium">
        <color indexed="64"/>
      </left>
      <right style="medium">
        <color theme="0"/>
      </right>
      <top style="medium">
        <color indexed="64"/>
      </top>
      <bottom style="medium">
        <color indexed="64"/>
      </bottom>
      <diagonal/>
    </border>
    <border>
      <left style="medium">
        <color theme="0"/>
      </left>
      <right style="medium">
        <color theme="0"/>
      </right>
      <top style="medium">
        <color indexed="64"/>
      </top>
      <bottom style="medium">
        <color indexed="64"/>
      </bottom>
      <diagonal/>
    </border>
    <border>
      <left style="medium">
        <color theme="0"/>
      </left>
      <right style="medium">
        <color indexed="64"/>
      </right>
      <top style="medium">
        <color indexed="64"/>
      </top>
      <bottom style="medium">
        <color indexed="64"/>
      </bottom>
      <diagonal/>
    </border>
    <border>
      <left style="medium">
        <color indexed="64"/>
      </left>
      <right style="medium">
        <color theme="0"/>
      </right>
      <top style="medium">
        <color indexed="64"/>
      </top>
      <bottom/>
      <diagonal/>
    </border>
    <border>
      <left style="medium">
        <color theme="0"/>
      </left>
      <right style="medium">
        <color theme="0"/>
      </right>
      <top style="medium">
        <color indexed="64"/>
      </top>
      <bottom/>
      <diagonal/>
    </border>
    <border>
      <left style="medium">
        <color theme="0"/>
      </left>
      <right style="medium">
        <color indexed="64"/>
      </right>
      <top style="medium">
        <color indexed="64"/>
      </top>
      <bottom/>
      <diagonal/>
    </border>
    <border>
      <left style="medium">
        <color indexed="64"/>
      </left>
      <right/>
      <top style="medium">
        <color indexed="64"/>
      </top>
      <bottom style="medium">
        <color theme="1"/>
      </bottom>
      <diagonal/>
    </border>
    <border>
      <left style="medium">
        <color indexed="64"/>
      </left>
      <right/>
      <top style="medium">
        <color theme="1"/>
      </top>
      <bottom style="medium">
        <color theme="1"/>
      </bottom>
      <diagonal/>
    </border>
    <border>
      <left/>
      <right/>
      <top style="medium">
        <color theme="1"/>
      </top>
      <bottom style="medium">
        <color theme="1"/>
      </bottom>
      <diagonal/>
    </border>
    <border>
      <left/>
      <right style="thin">
        <color theme="2" tint="-9.9978637043366805E-2"/>
      </right>
      <top style="medium">
        <color theme="1"/>
      </top>
      <bottom style="medium">
        <color theme="1"/>
      </bottom>
      <diagonal/>
    </border>
    <border>
      <left/>
      <right style="medium">
        <color indexed="64"/>
      </right>
      <top style="medium">
        <color theme="1"/>
      </top>
      <bottom style="medium">
        <color theme="1"/>
      </bottom>
      <diagonal/>
    </border>
    <border>
      <left style="medium">
        <color indexed="64"/>
      </left>
      <right/>
      <top style="medium">
        <color theme="1"/>
      </top>
      <bottom/>
      <diagonal/>
    </border>
    <border>
      <left/>
      <right/>
      <top style="medium">
        <color theme="1"/>
      </top>
      <bottom/>
      <diagonal/>
    </border>
    <border>
      <left/>
      <right style="medium">
        <color indexed="64"/>
      </right>
      <top style="medium">
        <color theme="1"/>
      </top>
      <bottom/>
      <diagonal/>
    </border>
    <border>
      <left/>
      <right style="medium">
        <color theme="0"/>
      </right>
      <top style="medium">
        <color indexed="64"/>
      </top>
      <bottom style="medium">
        <color indexed="64"/>
      </bottom>
      <diagonal/>
    </border>
    <border>
      <left style="thin">
        <color theme="2" tint="-9.9978637043366805E-2"/>
      </left>
      <right/>
      <top style="thin">
        <color theme="2" tint="-9.9978637043366805E-2"/>
      </top>
      <bottom style="thin">
        <color theme="2" tint="-9.9978637043366805E-2"/>
      </bottom>
      <diagonal/>
    </border>
    <border>
      <left/>
      <right/>
      <top style="thin">
        <color theme="2" tint="-9.9978637043366805E-2"/>
      </top>
      <bottom style="thin">
        <color theme="2" tint="-9.9978637043366805E-2"/>
      </bottom>
      <diagonal/>
    </border>
    <border>
      <left/>
      <right style="thin">
        <color theme="2" tint="-9.9978637043366805E-2"/>
      </right>
      <top style="thin">
        <color theme="2" tint="-9.9978637043366805E-2"/>
      </top>
      <bottom style="thin">
        <color theme="2" tint="-9.9978637043366805E-2"/>
      </bottom>
      <diagonal/>
    </border>
    <border>
      <left style="medium">
        <color indexed="64"/>
      </left>
      <right/>
      <top style="medium">
        <color theme="1"/>
      </top>
      <bottom style="thin">
        <color theme="2" tint="-9.9948118533890809E-2"/>
      </bottom>
      <diagonal/>
    </border>
    <border>
      <left/>
      <right/>
      <top style="medium">
        <color theme="1"/>
      </top>
      <bottom style="thin">
        <color theme="2" tint="-9.9948118533890809E-2"/>
      </bottom>
      <diagonal/>
    </border>
    <border>
      <left/>
      <right style="medium">
        <color indexed="64"/>
      </right>
      <top style="medium">
        <color theme="1"/>
      </top>
      <bottom style="thin">
        <color theme="2" tint="-9.9948118533890809E-2"/>
      </bottom>
      <diagonal/>
    </border>
    <border>
      <left/>
      <right style="thin">
        <color theme="2" tint="-9.9978637043366805E-2"/>
      </right>
      <top/>
      <bottom/>
      <diagonal/>
    </border>
    <border>
      <left/>
      <right style="thin">
        <color theme="2" tint="-9.9978637043366805E-2"/>
      </right>
      <top/>
      <bottom style="medium">
        <color indexed="64"/>
      </bottom>
      <diagonal/>
    </border>
    <border>
      <left style="thin">
        <color indexed="8"/>
      </left>
      <right style="thin">
        <color indexed="8"/>
      </right>
      <top/>
      <bottom style="thin">
        <color indexed="8"/>
      </bottom>
      <diagonal/>
    </border>
    <border>
      <left style="thin">
        <color indexed="64"/>
      </left>
      <right style="thin">
        <color indexed="8"/>
      </right>
      <top style="thin">
        <color indexed="64"/>
      </top>
      <bottom style="thin">
        <color indexed="8"/>
      </bottom>
      <diagonal/>
    </border>
    <border>
      <left style="thin">
        <color indexed="8"/>
      </left>
      <right style="thin">
        <color indexed="8"/>
      </right>
      <top style="thin">
        <color indexed="64"/>
      </top>
      <bottom style="thin">
        <color indexed="8"/>
      </bottom>
      <diagonal/>
    </border>
    <border>
      <left/>
      <right style="thin">
        <color indexed="64"/>
      </right>
      <top style="thin">
        <color indexed="64"/>
      </top>
      <bottom/>
      <diagonal/>
    </border>
    <border>
      <left style="thin">
        <color indexed="64"/>
      </left>
      <right style="thin">
        <color indexed="8"/>
      </right>
      <top style="thin">
        <color indexed="8"/>
      </top>
      <bottom style="thin">
        <color indexed="64"/>
      </bottom>
      <diagonal/>
    </border>
    <border>
      <left style="thin">
        <color indexed="8"/>
      </left>
      <right style="thin">
        <color indexed="8"/>
      </right>
      <top style="thin">
        <color indexed="8"/>
      </top>
      <bottom style="thin">
        <color indexed="64"/>
      </bottom>
      <diagonal/>
    </border>
    <border>
      <left style="thin">
        <color indexed="8"/>
      </left>
      <right style="thin">
        <color indexed="8"/>
      </right>
      <top/>
      <bottom style="thin">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64"/>
      </bottom>
      <diagonal/>
    </border>
    <border>
      <left/>
      <right style="thin">
        <color indexed="8"/>
      </right>
      <top/>
      <bottom style="thin">
        <color indexed="64"/>
      </bottom>
      <diagonal/>
    </border>
    <border>
      <left/>
      <right style="thin">
        <color theme="0"/>
      </right>
      <top style="medium">
        <color theme="1"/>
      </top>
      <bottom style="medium">
        <color theme="1"/>
      </bottom>
      <diagonal/>
    </border>
    <border>
      <left style="thin">
        <color theme="0"/>
      </left>
      <right style="thin">
        <color theme="0"/>
      </right>
      <top style="medium">
        <color theme="1"/>
      </top>
      <bottom style="medium">
        <color theme="1"/>
      </bottom>
      <diagonal/>
    </border>
    <border>
      <left style="thin">
        <color theme="0"/>
      </left>
      <right style="medium">
        <color indexed="64"/>
      </right>
      <top style="medium">
        <color theme="1"/>
      </top>
      <bottom style="medium">
        <color theme="1"/>
      </bottom>
      <diagonal/>
    </border>
    <border>
      <left style="medium">
        <color indexed="64"/>
      </left>
      <right style="thin">
        <color theme="2" tint="-9.9978637043366805E-2"/>
      </right>
      <top style="thin">
        <color theme="0"/>
      </top>
      <bottom/>
      <diagonal/>
    </border>
    <border>
      <left style="medium">
        <color indexed="64"/>
      </left>
      <right style="thin">
        <color theme="2" tint="-9.9978637043366805E-2"/>
      </right>
      <top/>
      <bottom/>
      <diagonal/>
    </border>
    <border>
      <left style="thin">
        <color theme="2" tint="-9.9978637043366805E-2"/>
      </left>
      <right/>
      <top/>
      <bottom style="medium">
        <color theme="1"/>
      </bottom>
      <diagonal/>
    </border>
    <border>
      <left/>
      <right style="thin">
        <color theme="2" tint="-9.9978637043366805E-2"/>
      </right>
      <top/>
      <bottom style="medium">
        <color theme="1"/>
      </bottom>
      <diagonal/>
    </border>
    <border>
      <left/>
      <right style="thin">
        <color theme="2" tint="-9.9978637043366805E-2"/>
      </right>
      <top style="medium">
        <color theme="1"/>
      </top>
      <bottom/>
      <diagonal/>
    </border>
    <border>
      <left/>
      <right style="thin">
        <color theme="0"/>
      </right>
      <top style="medium">
        <color theme="1"/>
      </top>
      <bottom/>
      <diagonal/>
    </border>
    <border>
      <left style="medium">
        <color indexed="64"/>
      </left>
      <right/>
      <top/>
      <bottom style="thin">
        <color theme="0"/>
      </bottom>
      <diagonal/>
    </border>
    <border>
      <left/>
      <right/>
      <top/>
      <bottom style="thin">
        <color theme="0"/>
      </bottom>
      <diagonal/>
    </border>
    <border>
      <left/>
      <right style="medium">
        <color indexed="64"/>
      </right>
      <top/>
      <bottom style="thin">
        <color theme="0"/>
      </bottom>
      <diagonal/>
    </border>
    <border>
      <left/>
      <right/>
      <top style="thin">
        <color theme="0"/>
      </top>
      <bottom/>
      <diagonal/>
    </border>
    <border>
      <left/>
      <right style="thin">
        <color theme="2" tint="-9.9978637043366805E-2"/>
      </right>
      <top style="thin">
        <color theme="0"/>
      </top>
      <bottom/>
      <diagonal/>
    </border>
    <border>
      <left/>
      <right/>
      <top/>
      <bottom style="thin">
        <color auto="1"/>
      </bottom>
      <diagonal/>
    </border>
    <border>
      <left/>
      <right style="thin">
        <color theme="2" tint="-9.9978637043366805E-2"/>
      </right>
      <top/>
      <bottom style="thin">
        <color auto="1"/>
      </bottom>
      <diagonal/>
    </border>
    <border>
      <left/>
      <right style="medium">
        <color indexed="64"/>
      </right>
      <top/>
      <bottom style="thin">
        <color auto="1"/>
      </bottom>
      <diagonal/>
    </border>
    <border>
      <left style="thin">
        <color theme="2" tint="-9.9978637043366805E-2"/>
      </left>
      <right style="thin">
        <color theme="2" tint="-9.9978637043366805E-2"/>
      </right>
      <top style="thin">
        <color auto="1"/>
      </top>
      <bottom/>
      <diagonal/>
    </border>
    <border>
      <left style="thin">
        <color theme="2" tint="-9.9978637043366805E-2"/>
      </left>
      <right style="thin">
        <color theme="2" tint="-9.9978637043366805E-2"/>
      </right>
      <top/>
      <bottom/>
      <diagonal/>
    </border>
    <border>
      <left style="medium">
        <color indexed="64"/>
      </left>
      <right style="thin">
        <color theme="2" tint="-9.9978637043366805E-2"/>
      </right>
      <top/>
      <bottom style="medium">
        <color theme="1"/>
      </bottom>
      <diagonal/>
    </border>
    <border>
      <left style="medium">
        <color indexed="64"/>
      </left>
      <right/>
      <top style="thin">
        <color theme="0"/>
      </top>
      <bottom/>
      <diagonal/>
    </border>
    <border>
      <left style="medium">
        <color indexed="64"/>
      </left>
      <right/>
      <top/>
      <bottom style="medium">
        <color theme="1"/>
      </bottom>
      <diagonal/>
    </border>
    <border>
      <left/>
      <right style="thin">
        <color theme="2" tint="-9.9978637043366805E-2"/>
      </right>
      <top style="thin">
        <color auto="1"/>
      </top>
      <bottom/>
      <diagonal/>
    </border>
    <border>
      <left/>
      <right/>
      <top/>
      <bottom style="medium">
        <color theme="1"/>
      </bottom>
      <diagonal/>
    </border>
    <border>
      <left style="thin">
        <color theme="2" tint="-9.9978637043366805E-2"/>
      </left>
      <right style="thin">
        <color theme="2" tint="-9.9978637043366805E-2"/>
      </right>
      <top style="thin">
        <color auto="1"/>
      </top>
      <bottom/>
      <diagonal/>
    </border>
    <border>
      <left style="thin">
        <color theme="2" tint="-9.9978637043366805E-2"/>
      </left>
      <right/>
      <top/>
      <bottom/>
      <diagonal/>
    </border>
    <border>
      <left/>
      <right style="medium">
        <color theme="1"/>
      </right>
      <top/>
      <bottom style="medium">
        <color theme="1"/>
      </bottom>
      <diagonal/>
    </border>
    <border>
      <left style="medium">
        <color indexed="64"/>
      </left>
      <right/>
      <top style="thin">
        <color indexed="64"/>
      </top>
      <bottom style="medium">
        <color indexed="64"/>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style="thin">
        <color theme="0"/>
      </right>
      <top style="thin">
        <color theme="0"/>
      </top>
      <bottom/>
      <diagonal/>
    </border>
    <border>
      <left style="thin">
        <color theme="0"/>
      </left>
      <right/>
      <top style="thin">
        <color theme="0"/>
      </top>
      <bottom style="thin">
        <color theme="0"/>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theme="0"/>
      </right>
      <top style="thin">
        <color theme="0"/>
      </top>
      <bottom style="thin">
        <color theme="0"/>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style="thin">
        <color indexed="64"/>
      </bottom>
      <diagonal/>
    </border>
    <border>
      <left style="thin">
        <color theme="0"/>
      </left>
      <right/>
      <top/>
      <bottom/>
      <diagonal/>
    </border>
    <border>
      <left style="thin">
        <color theme="0"/>
      </left>
      <right style="thin">
        <color theme="0"/>
      </right>
      <top/>
      <bottom style="thin">
        <color theme="0"/>
      </bottom>
      <diagonal/>
    </border>
    <border>
      <left style="medium">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theme="1"/>
      </left>
      <right style="thin">
        <color theme="1"/>
      </right>
      <top/>
      <bottom style="thin">
        <color theme="1"/>
      </bottom>
      <diagonal/>
    </border>
    <border>
      <left style="thin">
        <color indexed="64"/>
      </left>
      <right style="thin">
        <color indexed="64"/>
      </right>
      <top style="medium">
        <color theme="1"/>
      </top>
      <bottom style="medium">
        <color theme="1"/>
      </bottom>
      <diagonal/>
    </border>
    <border>
      <left style="thin">
        <color indexed="64"/>
      </left>
      <right style="medium">
        <color theme="1"/>
      </right>
      <top style="medium">
        <color theme="1"/>
      </top>
      <bottom style="medium">
        <color theme="1"/>
      </bottom>
      <diagonal/>
    </border>
    <border>
      <left style="medium">
        <color indexed="64"/>
      </left>
      <right style="thin">
        <color indexed="64"/>
      </right>
      <top/>
      <bottom/>
      <diagonal/>
    </border>
    <border>
      <left/>
      <right/>
      <top style="thin">
        <color indexed="8"/>
      </top>
      <bottom/>
      <diagonal/>
    </border>
    <border>
      <left style="medium">
        <color theme="1"/>
      </left>
      <right/>
      <top style="medium">
        <color theme="1"/>
      </top>
      <bottom style="medium">
        <color theme="1"/>
      </bottom>
      <diagonal/>
    </border>
    <border>
      <left/>
      <right style="medium">
        <color theme="1"/>
      </right>
      <top style="medium">
        <color theme="1"/>
      </top>
      <bottom style="medium">
        <color theme="1"/>
      </bottom>
      <diagonal/>
    </border>
    <border>
      <left style="thin">
        <color indexed="64"/>
      </left>
      <right style="thin">
        <color indexed="64"/>
      </right>
      <top style="medium">
        <color theme="1"/>
      </top>
      <bottom/>
      <diagonal/>
    </border>
    <border>
      <left style="medium">
        <color theme="1"/>
      </left>
      <right style="thin">
        <color indexed="64"/>
      </right>
      <top style="medium">
        <color theme="1"/>
      </top>
      <bottom style="medium">
        <color theme="1"/>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s>
  <cellStyleXfs count="63">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7" fillId="3" borderId="0" applyNumberFormat="0" applyBorder="0" applyAlignment="0" applyProtection="0"/>
    <xf numFmtId="0" fontId="8" fillId="20" borderId="1" applyNumberFormat="0" applyAlignment="0" applyProtection="0"/>
    <xf numFmtId="0" fontId="9" fillId="21" borderId="2" applyNumberFormat="0" applyAlignment="0" applyProtection="0"/>
    <xf numFmtId="164" fontId="31" fillId="0" borderId="0" applyFill="0" applyAlignment="0" applyProtection="0"/>
    <xf numFmtId="164" fontId="29" fillId="0" borderId="0" applyFill="0" applyBorder="0" applyAlignment="0" applyProtection="0"/>
    <xf numFmtId="164" fontId="31" fillId="0" borderId="0" applyFill="0" applyAlignment="0" applyProtection="0"/>
    <xf numFmtId="0" fontId="10" fillId="0" borderId="0" applyNumberFormat="0" applyFill="0" applyBorder="0" applyAlignment="0" applyProtection="0"/>
    <xf numFmtId="0" fontId="11" fillId="4"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53" fillId="0" borderId="0" applyNumberFormat="0" applyFill="0" applyBorder="0" applyAlignment="0" applyProtection="0"/>
    <xf numFmtId="0" fontId="15" fillId="7" borderId="1" applyNumberFormat="0" applyAlignment="0" applyProtection="0"/>
    <xf numFmtId="0" fontId="16" fillId="0" borderId="6" applyNumberFormat="0" applyFill="0" applyAlignment="0" applyProtection="0"/>
    <xf numFmtId="0" fontId="17" fillId="22" borderId="0" applyNumberFormat="0" applyBorder="0" applyAlignment="0" applyProtection="0"/>
    <xf numFmtId="0" fontId="18" fillId="0" borderId="0"/>
    <xf numFmtId="0" fontId="29" fillId="0" borderId="0"/>
    <xf numFmtId="0" fontId="4" fillId="0" borderId="0"/>
    <xf numFmtId="0" fontId="18" fillId="0" borderId="0"/>
    <xf numFmtId="0" fontId="31" fillId="23" borderId="7" applyNumberFormat="0" applyAlignment="0" applyProtection="0"/>
    <xf numFmtId="0" fontId="19" fillId="20" borderId="8" applyNumberFormat="0" applyAlignment="0" applyProtection="0"/>
    <xf numFmtId="9" fontId="4" fillId="0" borderId="0" applyFill="0" applyBorder="0" applyAlignment="0" applyProtection="0"/>
    <xf numFmtId="0" fontId="20" fillId="0" borderId="0" applyNumberFormat="0" applyFill="0" applyBorder="0" applyAlignment="0" applyProtection="0"/>
    <xf numFmtId="0" fontId="21" fillId="0" borderId="9" applyNumberFormat="0" applyFill="0" applyAlignment="0" applyProtection="0"/>
    <xf numFmtId="0" fontId="22" fillId="0" borderId="0" applyNumberFormat="0" applyFill="0" applyBorder="0" applyAlignment="0" applyProtection="0"/>
    <xf numFmtId="0" fontId="4" fillId="0" borderId="0" applyNumberFormat="0" applyFill="0" applyBorder="0" applyAlignment="0" applyProtection="0"/>
    <xf numFmtId="0" fontId="78" fillId="0" borderId="0" applyNumberFormat="0" applyBorder="0" applyProtection="0">
      <alignment vertical="top" wrapText="1"/>
    </xf>
    <xf numFmtId="0" fontId="3" fillId="0" borderId="0"/>
    <xf numFmtId="0" fontId="86" fillId="0" borderId="0"/>
    <xf numFmtId="0" fontId="90" fillId="0" borderId="0" applyNumberFormat="0" applyFill="0" applyBorder="0" applyAlignment="0" applyProtection="0"/>
    <xf numFmtId="9" fontId="3" fillId="0" borderId="0" applyFont="0" applyFill="0" applyBorder="0" applyAlignment="0" applyProtection="0"/>
    <xf numFmtId="0" fontId="4" fillId="0" borderId="0" applyNumberFormat="0" applyFill="0" applyBorder="0" applyAlignment="0" applyProtection="0"/>
    <xf numFmtId="0" fontId="3" fillId="0" borderId="0"/>
    <xf numFmtId="0" fontId="3" fillId="0" borderId="0"/>
    <xf numFmtId="9" fontId="3" fillId="0" borderId="0" applyFont="0" applyFill="0" applyBorder="0" applyAlignment="0" applyProtection="0"/>
    <xf numFmtId="0" fontId="4" fillId="0" borderId="0"/>
    <xf numFmtId="0" fontId="1" fillId="0" borderId="0"/>
  </cellStyleXfs>
  <cellXfs count="1446">
    <xf numFmtId="0" fontId="0" fillId="0" borderId="0" xfId="0"/>
    <xf numFmtId="167" fontId="28" fillId="20" borderId="10" xfId="28" applyNumberFormat="1" applyFont="1" applyFill="1" applyBorder="1" applyAlignment="1" applyProtection="1">
      <alignment horizontal="center" vertical="top"/>
    </xf>
    <xf numFmtId="167" fontId="28" fillId="2" borderId="10" xfId="28" applyNumberFormat="1" applyFont="1" applyFill="1" applyBorder="1" applyAlignment="1" applyProtection="1">
      <alignment horizontal="center" vertical="top"/>
    </xf>
    <xf numFmtId="9" fontId="28" fillId="2" borderId="10" xfId="28" applyNumberFormat="1" applyFont="1" applyFill="1" applyBorder="1" applyAlignment="1" applyProtection="1">
      <alignment horizontal="center" vertical="top"/>
    </xf>
    <xf numFmtId="167" fontId="28" fillId="2" borderId="10" xfId="28" applyNumberFormat="1" applyFont="1" applyFill="1" applyBorder="1" applyAlignment="1" applyProtection="1">
      <alignment horizontal="center" vertical="top" wrapText="1"/>
    </xf>
    <xf numFmtId="167" fontId="28" fillId="20" borderId="10" xfId="28" applyNumberFormat="1" applyFont="1" applyFill="1" applyBorder="1" applyAlignment="1" applyProtection="1">
      <alignment horizontal="left" vertical="top"/>
    </xf>
    <xf numFmtId="167" fontId="29" fillId="0" borderId="10" xfId="28" applyNumberFormat="1" applyFont="1" applyFill="1" applyBorder="1" applyAlignment="1" applyProtection="1">
      <alignment horizontal="left" vertical="top" wrapText="1"/>
    </xf>
    <xf numFmtId="167" fontId="29" fillId="20" borderId="10" xfId="28" applyNumberFormat="1" applyFont="1" applyFill="1" applyBorder="1" applyAlignment="1" applyProtection="1">
      <alignment horizontal="right" vertical="top"/>
    </xf>
    <xf numFmtId="164" fontId="29" fillId="20" borderId="10" xfId="28" applyFont="1" applyFill="1" applyBorder="1" applyAlignment="1" applyProtection="1">
      <alignment horizontal="right" vertical="top"/>
    </xf>
    <xf numFmtId="167" fontId="28" fillId="0" borderId="10" xfId="28" applyNumberFormat="1" applyFont="1" applyFill="1" applyBorder="1" applyAlignment="1" applyProtection="1">
      <alignment horizontal="left" vertical="top"/>
    </xf>
    <xf numFmtId="167" fontId="29" fillId="20" borderId="10" xfId="28" applyNumberFormat="1" applyFont="1" applyFill="1" applyBorder="1" applyAlignment="1" applyProtection="1">
      <alignment vertical="top"/>
    </xf>
    <xf numFmtId="10" fontId="29" fillId="20" borderId="10" xfId="28" applyNumberFormat="1" applyFont="1" applyFill="1" applyBorder="1" applyAlignment="1" applyProtection="1">
      <alignment vertical="top"/>
    </xf>
    <xf numFmtId="164" fontId="29" fillId="0" borderId="10" xfId="28" applyFont="1" applyFill="1" applyBorder="1" applyAlignment="1" applyProtection="1">
      <alignment horizontal="left" vertical="top"/>
    </xf>
    <xf numFmtId="167" fontId="29" fillId="32" borderId="10" xfId="28" applyNumberFormat="1" applyFont="1" applyFill="1" applyBorder="1" applyAlignment="1" applyProtection="1">
      <alignment vertical="top"/>
    </xf>
    <xf numFmtId="0" fontId="46" fillId="26" borderId="11" xfId="0" applyFont="1" applyFill="1" applyBorder="1" applyProtection="1"/>
    <xf numFmtId="2" fontId="46" fillId="26" borderId="11" xfId="0" applyNumberFormat="1" applyFont="1" applyFill="1" applyBorder="1" applyProtection="1"/>
    <xf numFmtId="0" fontId="30" fillId="26" borderId="0" xfId="0" applyFont="1" applyFill="1" applyProtection="1"/>
    <xf numFmtId="0" fontId="29" fillId="26" borderId="0" xfId="0" applyFont="1" applyFill="1" applyProtection="1"/>
    <xf numFmtId="0" fontId="29" fillId="26" borderId="11" xfId="0" applyFont="1" applyFill="1" applyBorder="1" applyProtection="1"/>
    <xf numFmtId="167" fontId="29" fillId="33" borderId="10" xfId="28" applyNumberFormat="1" applyFont="1" applyFill="1" applyBorder="1" applyAlignment="1" applyProtection="1">
      <alignment horizontal="right" vertical="top"/>
    </xf>
    <xf numFmtId="10" fontId="29" fillId="33" borderId="10" xfId="28" applyNumberFormat="1" applyFont="1" applyFill="1" applyBorder="1" applyAlignment="1" applyProtection="1">
      <alignment horizontal="right" vertical="top"/>
    </xf>
    <xf numFmtId="0" fontId="29" fillId="34" borderId="0" xfId="0" applyFont="1" applyFill="1" applyProtection="1"/>
    <xf numFmtId="0" fontId="29" fillId="0" borderId="0" xfId="0" applyFont="1" applyBorder="1" applyProtection="1"/>
    <xf numFmtId="0" fontId="29" fillId="0" borderId="0" xfId="0" applyFont="1" applyFill="1" applyBorder="1" applyProtection="1"/>
    <xf numFmtId="0" fontId="29" fillId="34" borderId="12" xfId="0" applyFont="1" applyFill="1" applyBorder="1" applyProtection="1"/>
    <xf numFmtId="0" fontId="29" fillId="34" borderId="13" xfId="0" applyFont="1" applyFill="1" applyBorder="1" applyProtection="1"/>
    <xf numFmtId="0" fontId="29" fillId="34" borderId="0" xfId="0" applyFont="1" applyFill="1" applyBorder="1" applyProtection="1"/>
    <xf numFmtId="0" fontId="46" fillId="34" borderId="14" xfId="0" applyFont="1" applyFill="1" applyBorder="1" applyProtection="1"/>
    <xf numFmtId="0" fontId="29" fillId="34" borderId="15" xfId="0" applyFont="1" applyFill="1" applyBorder="1" applyProtection="1"/>
    <xf numFmtId="0" fontId="29" fillId="0" borderId="14" xfId="0" applyFont="1" applyBorder="1" applyProtection="1"/>
    <xf numFmtId="0" fontId="47" fillId="34" borderId="0" xfId="0" applyFont="1" applyFill="1" applyBorder="1" applyProtection="1"/>
    <xf numFmtId="0" fontId="29" fillId="0" borderId="0" xfId="0" applyFont="1" applyProtection="1"/>
    <xf numFmtId="0" fontId="48" fillId="27" borderId="11" xfId="0" applyFont="1" applyFill="1" applyBorder="1" applyAlignment="1" applyProtection="1">
      <alignment wrapText="1"/>
    </xf>
    <xf numFmtId="0" fontId="46" fillId="34" borderId="0" xfId="0" applyFont="1" applyFill="1" applyBorder="1" applyProtection="1"/>
    <xf numFmtId="0" fontId="29" fillId="28" borderId="0" xfId="0" applyFont="1" applyFill="1" applyProtection="1"/>
    <xf numFmtId="2" fontId="29" fillId="26" borderId="11" xfId="0" applyNumberFormat="1" applyFont="1" applyFill="1" applyBorder="1" applyProtection="1"/>
    <xf numFmtId="167" fontId="29" fillId="26" borderId="11" xfId="0" applyNumberFormat="1" applyFont="1" applyFill="1" applyBorder="1" applyProtection="1"/>
    <xf numFmtId="1" fontId="29" fillId="26" borderId="11" xfId="0" applyNumberFormat="1" applyFont="1" applyFill="1" applyBorder="1" applyProtection="1"/>
    <xf numFmtId="0" fontId="29" fillId="26" borderId="11" xfId="0" applyNumberFormat="1" applyFont="1" applyFill="1" applyBorder="1" applyProtection="1"/>
    <xf numFmtId="2" fontId="29" fillId="26" borderId="0" xfId="0" applyNumberFormat="1" applyFont="1" applyFill="1" applyBorder="1" applyProtection="1"/>
    <xf numFmtId="0" fontId="29" fillId="35" borderId="11" xfId="0" applyFont="1" applyFill="1" applyBorder="1" applyProtection="1"/>
    <xf numFmtId="167" fontId="29" fillId="26" borderId="0" xfId="0" applyNumberFormat="1" applyFont="1" applyFill="1" applyBorder="1" applyProtection="1"/>
    <xf numFmtId="1" fontId="29" fillId="26" borderId="0" xfId="0" applyNumberFormat="1" applyFont="1" applyFill="1" applyBorder="1" applyProtection="1"/>
    <xf numFmtId="0" fontId="29" fillId="0" borderId="16" xfId="0" applyFont="1" applyBorder="1" applyProtection="1"/>
    <xf numFmtId="0" fontId="29" fillId="34" borderId="14" xfId="0" applyFont="1" applyFill="1" applyBorder="1" applyProtection="1"/>
    <xf numFmtId="0" fontId="29" fillId="0" borderId="16" xfId="0" applyFont="1" applyFill="1" applyBorder="1" applyProtection="1"/>
    <xf numFmtId="167" fontId="29" fillId="0" borderId="16" xfId="28" applyNumberFormat="1" applyFont="1" applyFill="1" applyBorder="1" applyAlignment="1" applyProtection="1">
      <alignment horizontal="left" vertical="top"/>
    </xf>
    <xf numFmtId="0" fontId="29" fillId="34" borderId="16" xfId="0" applyFont="1" applyFill="1" applyBorder="1" applyProtection="1"/>
    <xf numFmtId="0" fontId="29" fillId="0" borderId="17" xfId="0" applyFont="1" applyFill="1" applyBorder="1" applyProtection="1"/>
    <xf numFmtId="0" fontId="29" fillId="0" borderId="0" xfId="0" applyFont="1" applyBorder="1" applyAlignment="1" applyProtection="1">
      <alignment wrapText="1"/>
    </xf>
    <xf numFmtId="0" fontId="29" fillId="0" borderId="0" xfId="42" applyFill="1"/>
    <xf numFmtId="0" fontId="29" fillId="0" borderId="0" xfId="42" applyFill="1" applyBorder="1"/>
    <xf numFmtId="0" fontId="50" fillId="34" borderId="11" xfId="42" applyFont="1" applyFill="1" applyBorder="1"/>
    <xf numFmtId="0" fontId="28" fillId="0" borderId="11" xfId="42" applyFont="1" applyBorder="1"/>
    <xf numFmtId="0" fontId="29" fillId="0" borderId="11" xfId="42" applyFont="1" applyBorder="1"/>
    <xf numFmtId="0" fontId="29" fillId="34" borderId="11" xfId="42" applyFont="1" applyFill="1" applyBorder="1" applyAlignment="1">
      <alignment wrapText="1"/>
    </xf>
    <xf numFmtId="0" fontId="0" fillId="0" borderId="0" xfId="0" applyProtection="1"/>
    <xf numFmtId="0" fontId="29" fillId="0" borderId="10" xfId="0" applyFont="1" applyBorder="1" applyAlignment="1" applyProtection="1">
      <alignment horizontal="left" wrapText="1"/>
    </xf>
    <xf numFmtId="1" fontId="29" fillId="31" borderId="10" xfId="0" applyNumberFormat="1" applyFont="1" applyFill="1" applyBorder="1" applyAlignment="1" applyProtection="1">
      <alignment horizontal="right" wrapText="1"/>
    </xf>
    <xf numFmtId="9" fontId="29" fillId="32" borderId="10" xfId="0" applyNumberFormat="1" applyFont="1" applyFill="1" applyBorder="1" applyAlignment="1" applyProtection="1">
      <alignment horizontal="center" vertical="top" wrapText="1"/>
    </xf>
    <xf numFmtId="167" fontId="29" fillId="32" borderId="10" xfId="0" applyNumberFormat="1" applyFont="1" applyFill="1" applyBorder="1" applyAlignment="1" applyProtection="1">
      <alignment horizontal="right" vertical="top" wrapText="1"/>
    </xf>
    <xf numFmtId="10" fontId="29" fillId="36" borderId="10" xfId="44" applyNumberFormat="1" applyFont="1" applyFill="1" applyBorder="1" applyAlignment="1" applyProtection="1">
      <alignment horizontal="right" vertical="top"/>
    </xf>
    <xf numFmtId="0" fontId="29" fillId="0" borderId="0" xfId="0" applyFont="1" applyAlignment="1" applyProtection="1">
      <alignment horizontal="left"/>
    </xf>
    <xf numFmtId="0" fontId="29" fillId="0" borderId="0" xfId="0" applyFont="1" applyFill="1" applyProtection="1"/>
    <xf numFmtId="1" fontId="29" fillId="33" borderId="10" xfId="0" applyNumberFormat="1" applyFont="1" applyFill="1" applyBorder="1" applyAlignment="1" applyProtection="1">
      <alignment horizontal="right" wrapText="1"/>
      <protection locked="0"/>
    </xf>
    <xf numFmtId="10" fontId="29" fillId="33" borderId="10" xfId="28" applyNumberFormat="1" applyFont="1" applyFill="1" applyBorder="1" applyAlignment="1" applyProtection="1">
      <alignment horizontal="right" vertical="top"/>
      <protection locked="0"/>
    </xf>
    <xf numFmtId="167" fontId="29" fillId="33" borderId="10" xfId="28" applyNumberFormat="1" applyFont="1" applyFill="1" applyBorder="1" applyAlignment="1" applyProtection="1">
      <alignment horizontal="right" vertical="top"/>
      <protection locked="0"/>
    </xf>
    <xf numFmtId="164" fontId="29" fillId="33" borderId="10" xfId="28" applyFont="1" applyFill="1" applyBorder="1" applyAlignment="1" applyProtection="1">
      <alignment vertical="top"/>
      <protection locked="0"/>
    </xf>
    <xf numFmtId="0" fontId="29" fillId="33" borderId="18" xfId="0" applyFont="1" applyFill="1" applyBorder="1" applyProtection="1">
      <protection locked="0"/>
    </xf>
    <xf numFmtId="0" fontId="29" fillId="33" borderId="10" xfId="0" applyFont="1" applyFill="1" applyBorder="1" applyProtection="1">
      <protection locked="0"/>
    </xf>
    <xf numFmtId="0" fontId="29" fillId="33" borderId="19" xfId="0" applyFont="1" applyFill="1" applyBorder="1" applyProtection="1">
      <protection locked="0"/>
    </xf>
    <xf numFmtId="0" fontId="28" fillId="33" borderId="10" xfId="0" applyFont="1" applyFill="1" applyBorder="1" applyProtection="1">
      <protection locked="0"/>
    </xf>
    <xf numFmtId="1" fontId="29" fillId="37" borderId="11" xfId="0" applyNumberFormat="1" applyFont="1" applyFill="1" applyBorder="1" applyAlignment="1" applyProtection="1">
      <alignment vertical="top"/>
      <protection locked="0"/>
    </xf>
    <xf numFmtId="2" fontId="29" fillId="37" borderId="11" xfId="0" applyNumberFormat="1" applyFont="1" applyFill="1" applyBorder="1" applyAlignment="1" applyProtection="1">
      <alignment vertical="top"/>
      <protection locked="0"/>
    </xf>
    <xf numFmtId="0" fontId="29" fillId="38" borderId="11" xfId="0" applyFont="1" applyFill="1" applyBorder="1" applyAlignment="1" applyProtection="1">
      <alignment wrapText="1"/>
    </xf>
    <xf numFmtId="0" fontId="29" fillId="34" borderId="11" xfId="0" applyFont="1" applyFill="1" applyBorder="1" applyProtection="1"/>
    <xf numFmtId="0" fontId="29" fillId="0" borderId="20" xfId="0" applyFont="1" applyBorder="1" applyProtection="1"/>
    <xf numFmtId="0" fontId="29" fillId="0" borderId="21" xfId="0" applyFont="1" applyBorder="1" applyAlignment="1" applyProtection="1">
      <alignment wrapText="1"/>
    </xf>
    <xf numFmtId="0" fontId="29" fillId="0" borderId="17" xfId="0" applyFont="1" applyBorder="1" applyProtection="1"/>
    <xf numFmtId="0" fontId="29" fillId="34" borderId="22" xfId="0" applyFont="1" applyFill="1" applyBorder="1" applyProtection="1"/>
    <xf numFmtId="0" fontId="46" fillId="34" borderId="23" xfId="0" applyFont="1" applyFill="1" applyBorder="1" applyProtection="1"/>
    <xf numFmtId="2" fontId="29" fillId="34" borderId="11" xfId="0" applyNumberFormat="1" applyFont="1" applyFill="1" applyBorder="1" applyProtection="1"/>
    <xf numFmtId="168" fontId="36" fillId="39" borderId="11" xfId="28" applyNumberFormat="1" applyFont="1" applyFill="1" applyBorder="1" applyAlignment="1" applyProtection="1">
      <alignment horizontal="right" vertical="top"/>
    </xf>
    <xf numFmtId="10" fontId="29" fillId="39" borderId="11" xfId="47" applyNumberFormat="1" applyFont="1" applyFill="1" applyBorder="1" applyAlignment="1" applyProtection="1">
      <alignment horizontal="right" vertical="top"/>
    </xf>
    <xf numFmtId="1" fontId="29" fillId="38" borderId="11" xfId="0" applyNumberFormat="1" applyFont="1" applyFill="1" applyBorder="1" applyProtection="1"/>
    <xf numFmtId="164" fontId="29" fillId="38" borderId="11" xfId="0" applyNumberFormat="1" applyFont="1" applyFill="1" applyBorder="1" applyProtection="1"/>
    <xf numFmtId="2" fontId="29" fillId="38" borderId="11" xfId="0" applyNumberFormat="1" applyFont="1" applyFill="1" applyBorder="1" applyProtection="1"/>
    <xf numFmtId="9" fontId="29" fillId="38" borderId="11" xfId="47" applyFont="1" applyFill="1" applyBorder="1" applyProtection="1"/>
    <xf numFmtId="0" fontId="29" fillId="38" borderId="11" xfId="0" applyFont="1" applyFill="1" applyBorder="1" applyAlignment="1" applyProtection="1"/>
    <xf numFmtId="9" fontId="29" fillId="33" borderId="10" xfId="28" applyNumberFormat="1" applyFont="1" applyFill="1" applyBorder="1" applyAlignment="1" applyProtection="1">
      <alignment horizontal="center" vertical="top"/>
      <protection locked="0"/>
    </xf>
    <xf numFmtId="0" fontId="29" fillId="34" borderId="24" xfId="0" applyFont="1" applyFill="1" applyBorder="1" applyProtection="1"/>
    <xf numFmtId="0" fontId="29" fillId="34" borderId="25" xfId="0" applyFont="1" applyFill="1" applyBorder="1" applyProtection="1"/>
    <xf numFmtId="0" fontId="29" fillId="33" borderId="26" xfId="0" applyFont="1" applyFill="1" applyBorder="1" applyProtection="1"/>
    <xf numFmtId="164" fontId="29" fillId="40" borderId="27" xfId="28" applyFont="1" applyFill="1" applyBorder="1" applyAlignment="1" applyProtection="1">
      <alignment horizontal="right" vertical="top"/>
    </xf>
    <xf numFmtId="10" fontId="29" fillId="20" borderId="11" xfId="47" applyNumberFormat="1" applyFont="1" applyFill="1" applyBorder="1" applyAlignment="1" applyProtection="1">
      <alignment horizontal="right" vertical="top"/>
    </xf>
    <xf numFmtId="9" fontId="29" fillId="20" borderId="28" xfId="47" applyFont="1" applyFill="1" applyBorder="1" applyAlignment="1" applyProtection="1">
      <alignment horizontal="right" vertical="top"/>
    </xf>
    <xf numFmtId="10" fontId="29" fillId="20" borderId="29" xfId="47" applyNumberFormat="1" applyFont="1" applyFill="1" applyBorder="1" applyAlignment="1" applyProtection="1">
      <alignment horizontal="right" vertical="top"/>
    </xf>
    <xf numFmtId="1" fontId="29" fillId="38" borderId="20" xfId="0" applyNumberFormat="1" applyFont="1" applyFill="1" applyBorder="1" applyProtection="1"/>
    <xf numFmtId="9" fontId="29" fillId="39" borderId="11" xfId="47" applyFont="1" applyFill="1" applyBorder="1" applyAlignment="1" applyProtection="1">
      <alignment horizontal="right" vertical="top"/>
    </xf>
    <xf numFmtId="0" fontId="48" fillId="27" borderId="30" xfId="0" applyFont="1" applyFill="1" applyBorder="1" applyAlignment="1" applyProtection="1">
      <alignment wrapText="1"/>
    </xf>
    <xf numFmtId="167" fontId="34" fillId="0" borderId="10" xfId="0" applyNumberFormat="1" applyFont="1" applyFill="1" applyBorder="1" applyAlignment="1" applyProtection="1">
      <alignment horizontal="left"/>
    </xf>
    <xf numFmtId="10" fontId="34" fillId="20" borderId="10" xfId="47" applyNumberFormat="1" applyFont="1" applyFill="1" applyBorder="1" applyAlignment="1" applyProtection="1">
      <alignment horizontal="right" vertical="top"/>
    </xf>
    <xf numFmtId="0" fontId="29" fillId="33" borderId="11" xfId="0" applyFont="1" applyFill="1" applyBorder="1" applyProtection="1">
      <protection locked="0"/>
    </xf>
    <xf numFmtId="1" fontId="29" fillId="33" borderId="10" xfId="0" applyNumberFormat="1" applyFont="1" applyFill="1" applyBorder="1" applyAlignment="1" applyProtection="1">
      <alignment horizontal="left" wrapText="1"/>
      <protection locked="0"/>
    </xf>
    <xf numFmtId="0" fontId="29" fillId="0" borderId="31" xfId="0" applyFont="1" applyBorder="1" applyProtection="1"/>
    <xf numFmtId="164" fontId="29" fillId="0" borderId="0" xfId="0" applyNumberFormat="1" applyFont="1" applyBorder="1" applyProtection="1"/>
    <xf numFmtId="164" fontId="29" fillId="0" borderId="0" xfId="0" applyNumberFormat="1" applyFont="1" applyProtection="1"/>
    <xf numFmtId="9" fontId="29" fillId="20" borderId="32" xfId="47" applyFont="1" applyFill="1" applyBorder="1" applyAlignment="1" applyProtection="1">
      <alignment horizontal="right" vertical="top"/>
    </xf>
    <xf numFmtId="0" fontId="29" fillId="34" borderId="23" xfId="0" applyFont="1" applyFill="1" applyBorder="1" applyProtection="1"/>
    <xf numFmtId="0" fontId="46" fillId="41" borderId="11" xfId="43" applyFont="1" applyFill="1" applyBorder="1" applyAlignment="1" applyProtection="1">
      <alignment wrapText="1"/>
    </xf>
    <xf numFmtId="0" fontId="34" fillId="0" borderId="0" xfId="43" applyFont="1" applyAlignment="1" applyProtection="1">
      <alignment wrapText="1"/>
    </xf>
    <xf numFmtId="0" fontId="35" fillId="27" borderId="11" xfId="43" applyFont="1" applyFill="1" applyBorder="1" applyAlignment="1" applyProtection="1">
      <alignment wrapText="1"/>
    </xf>
    <xf numFmtId="0" fontId="34" fillId="34" borderId="0" xfId="43" applyFont="1" applyFill="1" applyAlignment="1" applyProtection="1">
      <alignment wrapText="1"/>
    </xf>
    <xf numFmtId="0" fontId="48" fillId="27" borderId="11" xfId="43" applyFont="1" applyFill="1" applyBorder="1" applyAlignment="1" applyProtection="1">
      <alignment wrapText="1"/>
    </xf>
    <xf numFmtId="0" fontId="43" fillId="0" borderId="0" xfId="43" applyFont="1" applyProtection="1"/>
    <xf numFmtId="0" fontId="42" fillId="27" borderId="24" xfId="43" applyFont="1" applyFill="1" applyBorder="1" applyProtection="1"/>
    <xf numFmtId="0" fontId="46" fillId="34" borderId="0" xfId="43" applyFont="1" applyFill="1" applyBorder="1" applyAlignment="1" applyProtection="1">
      <alignment horizontal="left" vertical="center"/>
    </xf>
    <xf numFmtId="0" fontId="51" fillId="34" borderId="0" xfId="43" applyFont="1" applyFill="1" applyBorder="1" applyProtection="1"/>
    <xf numFmtId="0" fontId="52" fillId="34" borderId="14" xfId="43" applyFont="1" applyFill="1" applyBorder="1" applyProtection="1"/>
    <xf numFmtId="0" fontId="42" fillId="27" borderId="16" xfId="43" applyFont="1" applyFill="1" applyBorder="1" applyProtection="1"/>
    <xf numFmtId="0" fontId="43" fillId="28" borderId="0" xfId="43" applyFont="1" applyFill="1" applyProtection="1"/>
    <xf numFmtId="164" fontId="36" fillId="20" borderId="11" xfId="29" applyFont="1" applyFill="1" applyBorder="1" applyAlignment="1" applyProtection="1">
      <alignment horizontal="right" vertical="top"/>
    </xf>
    <xf numFmtId="0" fontId="43" fillId="0" borderId="0" xfId="43" applyFont="1" applyFill="1" applyProtection="1"/>
    <xf numFmtId="0" fontId="30" fillId="34" borderId="13" xfId="43" applyFont="1" applyFill="1" applyBorder="1" applyAlignment="1" applyProtection="1">
      <alignment horizontal="left" vertical="center"/>
    </xf>
    <xf numFmtId="0" fontId="30" fillId="34" borderId="0" xfId="43" applyFont="1" applyFill="1" applyBorder="1" applyAlignment="1" applyProtection="1">
      <alignment horizontal="left" vertical="center"/>
    </xf>
    <xf numFmtId="0" fontId="29" fillId="0" borderId="13" xfId="43" applyFont="1" applyBorder="1" applyAlignment="1" applyProtection="1">
      <alignment horizontal="left" vertical="center"/>
    </xf>
    <xf numFmtId="0" fontId="29" fillId="0" borderId="0" xfId="43" applyFont="1" applyBorder="1" applyAlignment="1" applyProtection="1">
      <alignment horizontal="left" vertical="center"/>
    </xf>
    <xf numFmtId="8" fontId="43" fillId="28" borderId="0" xfId="43" applyNumberFormat="1" applyFont="1" applyFill="1" applyProtection="1"/>
    <xf numFmtId="0" fontId="46" fillId="34" borderId="0" xfId="43" applyFont="1" applyFill="1" applyBorder="1" applyProtection="1"/>
    <xf numFmtId="0" fontId="43" fillId="29" borderId="0" xfId="43" applyFont="1" applyFill="1" applyProtection="1"/>
    <xf numFmtId="0" fontId="29" fillId="20" borderId="11" xfId="43" applyFont="1" applyFill="1" applyBorder="1" applyProtection="1"/>
    <xf numFmtId="0" fontId="42" fillId="27" borderId="16" xfId="43" applyFont="1" applyFill="1" applyBorder="1" applyAlignment="1" applyProtection="1">
      <alignment wrapText="1"/>
    </xf>
    <xf numFmtId="1" fontId="29" fillId="20" borderId="11" xfId="43" applyNumberFormat="1" applyFont="1" applyFill="1" applyBorder="1" applyProtection="1"/>
    <xf numFmtId="0" fontId="29" fillId="0" borderId="13" xfId="43" applyFont="1" applyBorder="1" applyProtection="1"/>
    <xf numFmtId="0" fontId="29" fillId="0" borderId="0" xfId="43" applyFont="1" applyBorder="1" applyProtection="1"/>
    <xf numFmtId="0" fontId="43" fillId="25" borderId="0" xfId="43" applyFont="1" applyFill="1" applyProtection="1"/>
    <xf numFmtId="0" fontId="44" fillId="0" borderId="0" xfId="43" applyFont="1" applyFill="1" applyProtection="1"/>
    <xf numFmtId="0" fontId="45" fillId="27" borderId="16" xfId="43" applyFont="1" applyFill="1" applyBorder="1" applyAlignment="1" applyProtection="1">
      <alignment wrapText="1"/>
    </xf>
    <xf numFmtId="0" fontId="29" fillId="34" borderId="0" xfId="43" applyFont="1" applyFill="1" applyBorder="1" applyProtection="1"/>
    <xf numFmtId="0" fontId="36" fillId="0" borderId="0" xfId="43" applyFont="1" applyAlignment="1" applyProtection="1">
      <alignment vertical="center"/>
    </xf>
    <xf numFmtId="2" fontId="29" fillId="20" borderId="11" xfId="43" applyNumberFormat="1" applyFont="1" applyFill="1" applyBorder="1" applyProtection="1"/>
    <xf numFmtId="0" fontId="46" fillId="34" borderId="13" xfId="43" applyFont="1" applyFill="1" applyBorder="1" applyProtection="1"/>
    <xf numFmtId="0" fontId="29" fillId="43" borderId="11" xfId="43" applyFont="1" applyFill="1" applyBorder="1" applyAlignment="1" applyProtection="1"/>
    <xf numFmtId="2" fontId="29" fillId="37" borderId="11" xfId="43" applyNumberFormat="1" applyFont="1" applyFill="1" applyBorder="1" applyAlignment="1" applyProtection="1">
      <alignment horizontal="right"/>
      <protection locked="0"/>
    </xf>
    <xf numFmtId="168" fontId="36" fillId="37" borderId="11" xfId="29" applyNumberFormat="1" applyFont="1" applyFill="1" applyBorder="1" applyAlignment="1" applyProtection="1">
      <alignment horizontal="right" vertical="top"/>
      <protection locked="0"/>
    </xf>
    <xf numFmtId="0" fontId="46" fillId="34" borderId="11" xfId="43" applyFont="1" applyFill="1" applyBorder="1" applyProtection="1"/>
    <xf numFmtId="1" fontId="43" fillId="0" borderId="0" xfId="43" applyNumberFormat="1" applyFont="1" applyProtection="1"/>
    <xf numFmtId="10" fontId="29" fillId="44" borderId="11" xfId="43" applyNumberFormat="1" applyFont="1" applyFill="1" applyBorder="1" applyProtection="1"/>
    <xf numFmtId="168" fontId="36" fillId="45" borderId="11" xfId="29" applyNumberFormat="1" applyFont="1" applyFill="1" applyBorder="1" applyAlignment="1" applyProtection="1">
      <alignment horizontal="right" vertical="top"/>
    </xf>
    <xf numFmtId="0" fontId="29" fillId="31" borderId="11" xfId="43" applyFont="1" applyFill="1" applyBorder="1" applyAlignment="1" applyProtection="1"/>
    <xf numFmtId="1" fontId="29" fillId="37" borderId="11" xfId="43" applyNumberFormat="1" applyFont="1" applyFill="1" applyBorder="1" applyAlignment="1" applyProtection="1">
      <alignment horizontal="right"/>
      <protection locked="0"/>
    </xf>
    <xf numFmtId="2" fontId="29" fillId="34" borderId="0" xfId="43" applyNumberFormat="1" applyFont="1" applyFill="1" applyBorder="1" applyAlignment="1" applyProtection="1">
      <alignment horizontal="center"/>
    </xf>
    <xf numFmtId="0" fontId="29" fillId="34" borderId="0" xfId="43" applyFont="1" applyFill="1" applyBorder="1" applyAlignment="1" applyProtection="1">
      <alignment horizontal="center"/>
    </xf>
    <xf numFmtId="0" fontId="30" fillId="34" borderId="13" xfId="43" applyFont="1" applyFill="1" applyBorder="1" applyProtection="1"/>
    <xf numFmtId="0" fontId="30" fillId="34" borderId="0" xfId="43" applyFont="1" applyFill="1" applyBorder="1" applyProtection="1"/>
    <xf numFmtId="0" fontId="29" fillId="34" borderId="13" xfId="43" applyFont="1" applyFill="1" applyBorder="1" applyProtection="1"/>
    <xf numFmtId="0" fontId="52" fillId="34" borderId="23" xfId="43" applyFont="1" applyFill="1" applyBorder="1" applyProtection="1"/>
    <xf numFmtId="0" fontId="52" fillId="0" borderId="0" xfId="43" applyFont="1" applyProtection="1"/>
    <xf numFmtId="164" fontId="31" fillId="38" borderId="0" xfId="28" applyFill="1" applyProtection="1"/>
    <xf numFmtId="0" fontId="29" fillId="20" borderId="11" xfId="28" applyNumberFormat="1" applyFont="1" applyFill="1" applyBorder="1" applyAlignment="1" applyProtection="1">
      <alignment horizontal="center" vertical="top"/>
    </xf>
    <xf numFmtId="0" fontId="46" fillId="34" borderId="12" xfId="43" applyFont="1" applyFill="1" applyBorder="1" applyProtection="1"/>
    <xf numFmtId="0" fontId="52" fillId="34" borderId="25" xfId="43" applyFont="1" applyFill="1" applyBorder="1" applyProtection="1"/>
    <xf numFmtId="0" fontId="48" fillId="27" borderId="16" xfId="43" applyFont="1" applyFill="1" applyBorder="1" applyAlignment="1" applyProtection="1">
      <alignment wrapText="1"/>
    </xf>
    <xf numFmtId="2" fontId="29" fillId="34" borderId="13" xfId="43" applyNumberFormat="1" applyFont="1" applyFill="1" applyBorder="1" applyAlignment="1" applyProtection="1">
      <alignment horizontal="center"/>
    </xf>
    <xf numFmtId="0" fontId="34" fillId="34" borderId="13" xfId="43" applyFont="1" applyFill="1" applyBorder="1" applyAlignment="1" applyProtection="1">
      <alignment wrapText="1"/>
    </xf>
    <xf numFmtId="0" fontId="34" fillId="34" borderId="0" xfId="43" applyFont="1" applyFill="1" applyBorder="1" applyAlignment="1" applyProtection="1">
      <alignment wrapText="1"/>
    </xf>
    <xf numFmtId="0" fontId="29" fillId="0" borderId="11" xfId="0" applyFont="1" applyBorder="1" applyProtection="1"/>
    <xf numFmtId="0" fontId="29" fillId="0" borderId="11" xfId="0" applyFont="1" applyFill="1" applyBorder="1" applyProtection="1"/>
    <xf numFmtId="0" fontId="29" fillId="31" borderId="11" xfId="43" applyFont="1" applyFill="1" applyBorder="1" applyAlignment="1" applyProtection="1">
      <alignment horizontal="right"/>
    </xf>
    <xf numFmtId="0" fontId="29" fillId="0" borderId="11" xfId="0" applyFont="1" applyBorder="1" applyAlignment="1" applyProtection="1">
      <alignment wrapText="1"/>
    </xf>
    <xf numFmtId="0" fontId="47" fillId="34" borderId="11" xfId="43" applyFont="1" applyFill="1" applyBorder="1" applyProtection="1"/>
    <xf numFmtId="0" fontId="46" fillId="41" borderId="11" xfId="43" applyFont="1" applyFill="1" applyBorder="1" applyAlignment="1" applyProtection="1">
      <alignment horizontal="center" wrapText="1"/>
    </xf>
    <xf numFmtId="0" fontId="49" fillId="34" borderId="20" xfId="42" applyFont="1" applyFill="1" applyBorder="1"/>
    <xf numFmtId="0" fontId="29" fillId="0" borderId="44" xfId="0" applyFont="1" applyBorder="1" applyAlignment="1">
      <alignment horizontal="left" vertical="top" wrapText="1"/>
    </xf>
    <xf numFmtId="0" fontId="4" fillId="0" borderId="0" xfId="43" applyProtection="1"/>
    <xf numFmtId="0" fontId="0" fillId="0" borderId="11" xfId="0" applyBorder="1" applyProtection="1"/>
    <xf numFmtId="164" fontId="31" fillId="31" borderId="11" xfId="28" applyFill="1" applyBorder="1" applyProtection="1"/>
    <xf numFmtId="0" fontId="0" fillId="31" borderId="11" xfId="0" applyFill="1" applyBorder="1" applyProtection="1"/>
    <xf numFmtId="0" fontId="53" fillId="0" borderId="11" xfId="37" applyBorder="1" applyAlignment="1" applyProtection="1">
      <alignment horizontal="center" wrapText="1"/>
    </xf>
    <xf numFmtId="2" fontId="0" fillId="31" borderId="11" xfId="0" applyNumberFormat="1" applyFill="1" applyBorder="1" applyProtection="1"/>
    <xf numFmtId="0" fontId="0" fillId="33" borderId="11" xfId="0" applyFill="1" applyBorder="1" applyProtection="1">
      <protection locked="0"/>
    </xf>
    <xf numFmtId="0" fontId="29" fillId="42" borderId="20" xfId="43" applyFont="1" applyFill="1" applyBorder="1" applyProtection="1"/>
    <xf numFmtId="10" fontId="29" fillId="42" borderId="11" xfId="43" applyNumberFormat="1" applyFont="1" applyFill="1" applyBorder="1" applyProtection="1"/>
    <xf numFmtId="164" fontId="36" fillId="37" borderId="11" xfId="29" applyFont="1" applyFill="1" applyBorder="1" applyAlignment="1" applyProtection="1">
      <alignment horizontal="right" vertical="top"/>
    </xf>
    <xf numFmtId="167" fontId="36" fillId="37" borderId="11" xfId="29" applyNumberFormat="1" applyFont="1" applyFill="1" applyBorder="1" applyAlignment="1" applyProtection="1">
      <alignment horizontal="right" vertical="top"/>
    </xf>
    <xf numFmtId="0" fontId="0" fillId="0" borderId="0" xfId="0" applyBorder="1" applyProtection="1"/>
    <xf numFmtId="0" fontId="0" fillId="0" borderId="13" xfId="0" applyBorder="1" applyProtection="1"/>
    <xf numFmtId="167" fontId="36" fillId="45" borderId="11" xfId="29" applyNumberFormat="1" applyFont="1" applyFill="1" applyBorder="1" applyAlignment="1" applyProtection="1">
      <alignment horizontal="right" vertical="top"/>
    </xf>
    <xf numFmtId="1" fontId="56" fillId="20" borderId="11" xfId="43" applyNumberFormat="1" applyFont="1" applyFill="1" applyBorder="1" applyAlignment="1" applyProtection="1">
      <alignment wrapText="1"/>
    </xf>
    <xf numFmtId="167" fontId="53" fillId="0" borderId="10" xfId="37" applyNumberFormat="1" applyFill="1" applyBorder="1" applyAlignment="1" applyProtection="1">
      <alignment horizontal="left" vertical="top"/>
    </xf>
    <xf numFmtId="0" fontId="53" fillId="0" borderId="0" xfId="37" applyProtection="1"/>
    <xf numFmtId="164" fontId="29" fillId="26" borderId="11" xfId="0" applyNumberFormat="1" applyFont="1" applyFill="1" applyBorder="1" applyProtection="1"/>
    <xf numFmtId="0" fontId="42" fillId="27" borderId="11" xfId="43" applyFont="1" applyFill="1" applyBorder="1" applyAlignment="1" applyProtection="1">
      <alignment wrapText="1"/>
    </xf>
    <xf numFmtId="2" fontId="43" fillId="0" borderId="0" xfId="43" applyNumberFormat="1" applyFont="1" applyProtection="1"/>
    <xf numFmtId="0" fontId="28" fillId="0" borderId="0" xfId="0" applyFont="1" applyBorder="1" applyAlignment="1" applyProtection="1">
      <alignment horizontal="left"/>
    </xf>
    <xf numFmtId="0" fontId="29" fillId="33" borderId="11" xfId="0" applyFont="1" applyFill="1" applyBorder="1" applyAlignment="1" applyProtection="1">
      <alignment horizontal="center"/>
      <protection locked="0"/>
    </xf>
    <xf numFmtId="2" fontId="29" fillId="20" borderId="20" xfId="43" applyNumberFormat="1" applyFont="1" applyFill="1" applyBorder="1" applyProtection="1"/>
    <xf numFmtId="0" fontId="29" fillId="34" borderId="48" xfId="43" applyFont="1" applyFill="1" applyBorder="1" applyProtection="1"/>
    <xf numFmtId="0" fontId="29" fillId="34" borderId="21" xfId="0" applyFont="1" applyFill="1" applyBorder="1" applyAlignment="1" applyProtection="1">
      <alignment wrapText="1"/>
    </xf>
    <xf numFmtId="9" fontId="29" fillId="36" borderId="28" xfId="47" applyFont="1" applyFill="1" applyBorder="1" applyAlignment="1" applyProtection="1">
      <alignment horizontal="right" vertical="top"/>
    </xf>
    <xf numFmtId="9" fontId="29" fillId="36" borderId="32" xfId="47" applyFont="1" applyFill="1" applyBorder="1" applyAlignment="1" applyProtection="1">
      <alignment horizontal="right" vertical="top"/>
    </xf>
    <xf numFmtId="167" fontId="29" fillId="0" borderId="11" xfId="28" applyNumberFormat="1" applyFont="1" applyFill="1" applyBorder="1" applyAlignment="1" applyProtection="1">
      <alignment horizontal="left" vertical="top"/>
    </xf>
    <xf numFmtId="0" fontId="53" fillId="0" borderId="11" xfId="37" applyBorder="1" applyAlignment="1" applyProtection="1">
      <alignment horizontal="center"/>
    </xf>
    <xf numFmtId="164" fontId="29" fillId="31" borderId="10" xfId="28" applyFont="1" applyFill="1" applyBorder="1" applyAlignment="1" applyProtection="1">
      <alignment vertical="top"/>
    </xf>
    <xf numFmtId="0" fontId="29" fillId="0" borderId="0" xfId="0" applyFont="1" applyBorder="1" applyAlignment="1" applyProtection="1">
      <alignment horizontal="left"/>
    </xf>
    <xf numFmtId="164" fontId="0" fillId="0" borderId="0" xfId="0" applyNumberFormat="1" applyProtection="1"/>
    <xf numFmtId="0" fontId="43" fillId="0" borderId="11" xfId="43" applyFont="1" applyBorder="1" applyAlignment="1" applyProtection="1">
      <alignment horizontal="center"/>
    </xf>
    <xf numFmtId="10" fontId="29" fillId="31" borderId="11" xfId="47" applyNumberFormat="1" applyFont="1" applyFill="1" applyBorder="1" applyAlignment="1" applyProtection="1">
      <alignment horizontal="right"/>
    </xf>
    <xf numFmtId="8" fontId="29" fillId="31" borderId="11" xfId="47" applyNumberFormat="1" applyFont="1" applyFill="1" applyBorder="1" applyAlignment="1" applyProtection="1">
      <alignment horizontal="right"/>
    </xf>
    <xf numFmtId="167" fontId="29" fillId="0" borderId="10" xfId="28" applyNumberFormat="1" applyFont="1" applyFill="1" applyBorder="1" applyAlignment="1" applyProtection="1">
      <alignment horizontal="left" vertical="center"/>
    </xf>
    <xf numFmtId="167" fontId="29" fillId="0" borderId="10" xfId="28" applyNumberFormat="1" applyFont="1" applyFill="1" applyBorder="1" applyAlignment="1" applyProtection="1">
      <alignment horizontal="left" vertical="top"/>
    </xf>
    <xf numFmtId="0" fontId="42" fillId="27" borderId="16" xfId="43" applyFont="1" applyFill="1" applyBorder="1" applyAlignment="1" applyProtection="1">
      <alignment horizontal="left" vertical="center"/>
    </xf>
    <xf numFmtId="0" fontId="29" fillId="33" borderId="11" xfId="0" applyFont="1" applyFill="1" applyBorder="1" applyAlignment="1" applyProtection="1">
      <alignment horizontal="center"/>
    </xf>
    <xf numFmtId="0" fontId="29" fillId="33" borderId="11" xfId="0" applyFont="1" applyFill="1" applyBorder="1" applyAlignment="1" applyProtection="1">
      <alignment horizontal="center"/>
      <protection locked="0"/>
    </xf>
    <xf numFmtId="164" fontId="31" fillId="31" borderId="0" xfId="28" applyFill="1" applyProtection="1"/>
    <xf numFmtId="10" fontId="4" fillId="33" borderId="11" xfId="47" applyNumberFormat="1" applyFont="1" applyFill="1" applyBorder="1" applyAlignment="1" applyProtection="1">
      <alignment horizontal="center"/>
      <protection locked="0"/>
    </xf>
    <xf numFmtId="0" fontId="29" fillId="0" borderId="11" xfId="42" applyFill="1" applyBorder="1"/>
    <xf numFmtId="0" fontId="49" fillId="34" borderId="11" xfId="42" applyFont="1" applyFill="1" applyBorder="1"/>
    <xf numFmtId="0" fontId="29" fillId="0" borderId="11" xfId="0" applyFont="1" applyBorder="1" applyAlignment="1">
      <alignment horizontal="left" vertical="top" wrapText="1"/>
    </xf>
    <xf numFmtId="164" fontId="31" fillId="0" borderId="11" xfId="28" applyBorder="1" applyProtection="1"/>
    <xf numFmtId="166" fontId="46" fillId="34" borderId="0" xfId="43" applyNumberFormat="1" applyFont="1" applyFill="1" applyBorder="1" applyProtection="1"/>
    <xf numFmtId="164" fontId="0" fillId="0" borderId="0" xfId="0" applyNumberFormat="1" applyBorder="1" applyProtection="1"/>
    <xf numFmtId="0" fontId="0" fillId="0" borderId="0" xfId="0" applyBorder="1" applyAlignment="1" applyProtection="1"/>
    <xf numFmtId="0" fontId="29" fillId="33" borderId="11" xfId="43" applyFont="1" applyFill="1" applyBorder="1" applyProtection="1">
      <protection locked="0"/>
    </xf>
    <xf numFmtId="0" fontId="0" fillId="0" borderId="11" xfId="0" applyFont="1" applyFill="1" applyBorder="1" applyProtection="1"/>
    <xf numFmtId="0" fontId="43" fillId="0" borderId="11" xfId="43" applyFont="1" applyBorder="1" applyAlignment="1" applyProtection="1">
      <alignment horizontal="center"/>
    </xf>
    <xf numFmtId="0" fontId="29" fillId="33" borderId="11" xfId="0" applyFont="1" applyFill="1" applyBorder="1" applyAlignment="1" applyProtection="1">
      <alignment horizontal="center"/>
    </xf>
    <xf numFmtId="0" fontId="48" fillId="27" borderId="49" xfId="0" applyFont="1" applyFill="1" applyBorder="1" applyAlignment="1" applyProtection="1">
      <alignment wrapText="1"/>
    </xf>
    <xf numFmtId="0" fontId="46" fillId="0" borderId="22" xfId="0" applyFont="1" applyBorder="1" applyProtection="1"/>
    <xf numFmtId="164" fontId="0" fillId="0" borderId="11" xfId="0" applyNumberFormat="1" applyBorder="1" applyProtection="1"/>
    <xf numFmtId="0" fontId="60" fillId="34" borderId="0" xfId="42" applyFont="1" applyFill="1" applyAlignment="1">
      <alignment vertical="center"/>
    </xf>
    <xf numFmtId="0" fontId="61" fillId="34" borderId="0" xfId="42" applyFont="1" applyFill="1" applyAlignment="1">
      <alignment vertical="center"/>
    </xf>
    <xf numFmtId="0" fontId="62" fillId="34" borderId="0" xfId="42" applyFont="1" applyFill="1" applyAlignment="1">
      <alignment vertical="center"/>
    </xf>
    <xf numFmtId="0" fontId="63" fillId="34" borderId="0" xfId="42" applyFont="1" applyFill="1" applyAlignment="1">
      <alignment vertical="center"/>
    </xf>
    <xf numFmtId="17" fontId="64" fillId="50" borderId="16" xfId="42" applyNumberFormat="1" applyFont="1" applyFill="1" applyBorder="1" applyAlignment="1">
      <alignment horizontal="center" vertical="center" wrapText="1"/>
    </xf>
    <xf numFmtId="0" fontId="64" fillId="50" borderId="28" xfId="42" applyFont="1" applyFill="1" applyBorder="1" applyAlignment="1">
      <alignment horizontal="center" vertical="center" wrapText="1"/>
    </xf>
    <xf numFmtId="17" fontId="64" fillId="50" borderId="35" xfId="42" applyNumberFormat="1" applyFont="1" applyFill="1" applyBorder="1" applyAlignment="1">
      <alignment horizontal="center" vertical="center"/>
    </xf>
    <xf numFmtId="0" fontId="64" fillId="50" borderId="28" xfId="42" applyFont="1" applyFill="1" applyBorder="1" applyAlignment="1">
      <alignment horizontal="center" vertical="center"/>
    </xf>
    <xf numFmtId="17" fontId="64" fillId="50" borderId="16" xfId="42" applyNumberFormat="1" applyFont="1" applyFill="1" applyBorder="1" applyAlignment="1">
      <alignment horizontal="center" vertical="center"/>
    </xf>
    <xf numFmtId="0" fontId="64" fillId="50" borderId="11" xfId="42" applyFont="1" applyFill="1" applyBorder="1" applyAlignment="1">
      <alignment horizontal="center" vertical="center"/>
    </xf>
    <xf numFmtId="0" fontId="61" fillId="34" borderId="16" xfId="42" applyFont="1" applyFill="1" applyBorder="1" applyAlignment="1">
      <alignment vertical="center"/>
    </xf>
    <xf numFmtId="3" fontId="61" fillId="34" borderId="33" xfId="42" applyNumberFormat="1" applyFont="1" applyFill="1" applyBorder="1" applyAlignment="1">
      <alignment vertical="center"/>
    </xf>
    <xf numFmtId="170" fontId="61" fillId="52" borderId="33" xfId="42" applyNumberFormat="1" applyFont="1" applyFill="1" applyBorder="1" applyAlignment="1">
      <alignment vertical="center"/>
    </xf>
    <xf numFmtId="170" fontId="61" fillId="34" borderId="33" xfId="42" applyNumberFormat="1" applyFont="1" applyFill="1" applyBorder="1" applyAlignment="1">
      <alignment vertical="center"/>
    </xf>
    <xf numFmtId="0" fontId="61" fillId="34" borderId="28" xfId="42" applyFont="1" applyFill="1" applyBorder="1" applyAlignment="1">
      <alignment vertical="center"/>
    </xf>
    <xf numFmtId="171" fontId="64" fillId="50" borderId="63" xfId="0" applyNumberFormat="1" applyFont="1" applyFill="1" applyBorder="1" applyAlignment="1">
      <alignment vertical="center"/>
    </xf>
    <xf numFmtId="3" fontId="64" fillId="50" borderId="63" xfId="0" applyNumberFormat="1" applyFont="1" applyFill="1" applyBorder="1" applyAlignment="1">
      <alignment vertical="center"/>
    </xf>
    <xf numFmtId="170" fontId="64" fillId="50" borderId="63" xfId="0" applyNumberFormat="1" applyFont="1" applyFill="1" applyBorder="1" applyAlignment="1">
      <alignment vertical="center"/>
    </xf>
    <xf numFmtId="170" fontId="64" fillId="50" borderId="50" xfId="0" applyNumberFormat="1" applyFont="1" applyFill="1" applyBorder="1" applyAlignment="1">
      <alignment vertical="center"/>
    </xf>
    <xf numFmtId="170" fontId="61" fillId="52" borderId="11" xfId="42" applyNumberFormat="1" applyFont="1" applyFill="1" applyBorder="1" applyAlignment="1">
      <alignment vertical="center"/>
    </xf>
    <xf numFmtId="170" fontId="61" fillId="34" borderId="11" xfId="42" applyNumberFormat="1" applyFont="1" applyFill="1" applyBorder="1" applyAlignment="1">
      <alignment vertical="center"/>
    </xf>
    <xf numFmtId="170" fontId="61" fillId="34" borderId="28" xfId="42" applyNumberFormat="1" applyFont="1" applyFill="1" applyBorder="1" applyAlignment="1">
      <alignment vertical="center"/>
    </xf>
    <xf numFmtId="0" fontId="61" fillId="34" borderId="17" xfId="42" applyFont="1" applyFill="1" applyBorder="1" applyAlignment="1">
      <alignment vertical="center"/>
    </xf>
    <xf numFmtId="170" fontId="61" fillId="52" borderId="29" xfId="42" applyNumberFormat="1" applyFont="1" applyFill="1" applyBorder="1" applyAlignment="1">
      <alignment vertical="center"/>
    </xf>
    <xf numFmtId="170" fontId="61" fillId="34" borderId="65" xfId="42" applyNumberFormat="1" applyFont="1" applyFill="1" applyBorder="1" applyAlignment="1">
      <alignment vertical="center"/>
    </xf>
    <xf numFmtId="170" fontId="61" fillId="34" borderId="32" xfId="42" applyNumberFormat="1" applyFont="1" applyFill="1" applyBorder="1" applyAlignment="1">
      <alignment vertical="center"/>
    </xf>
    <xf numFmtId="0" fontId="64" fillId="50" borderId="62" xfId="0" applyFont="1" applyFill="1" applyBorder="1" applyAlignment="1">
      <alignment vertical="center"/>
    </xf>
    <xf numFmtId="0" fontId="64" fillId="50" borderId="24" xfId="42" applyFont="1" applyFill="1" applyBorder="1" applyAlignment="1">
      <alignment horizontal="center" vertical="center" wrapText="1"/>
    </xf>
    <xf numFmtId="0" fontId="64" fillId="50" borderId="49" xfId="42" applyFont="1" applyFill="1" applyBorder="1" applyAlignment="1">
      <alignment horizontal="center" vertical="center" wrapText="1"/>
    </xf>
    <xf numFmtId="0" fontId="64" fillId="50" borderId="20" xfId="42" applyFont="1" applyFill="1" applyBorder="1" applyAlignment="1">
      <alignment horizontal="center" vertical="center"/>
    </xf>
    <xf numFmtId="0" fontId="64" fillId="50" borderId="49" xfId="42" applyFont="1" applyFill="1" applyBorder="1" applyAlignment="1">
      <alignment horizontal="center" vertical="center"/>
    </xf>
    <xf numFmtId="0" fontId="64" fillId="50" borderId="21" xfId="42" applyFont="1" applyFill="1" applyBorder="1" applyAlignment="1">
      <alignment horizontal="center" vertical="center"/>
    </xf>
    <xf numFmtId="0" fontId="61" fillId="34" borderId="31" xfId="42" applyFont="1" applyFill="1" applyBorder="1" applyAlignment="1">
      <alignment vertical="center"/>
    </xf>
    <xf numFmtId="14" fontId="61" fillId="34" borderId="68" xfId="42" applyNumberFormat="1" applyFont="1" applyFill="1" applyBorder="1" applyAlignment="1">
      <alignment vertical="center"/>
    </xf>
    <xf numFmtId="0" fontId="61" fillId="34" borderId="68" xfId="42" applyFont="1" applyFill="1" applyBorder="1" applyAlignment="1">
      <alignment vertical="center"/>
    </xf>
    <xf numFmtId="3" fontId="61" fillId="34" borderId="68" xfId="42" applyNumberFormat="1" applyFont="1" applyFill="1" applyBorder="1" applyAlignment="1">
      <alignment vertical="center"/>
    </xf>
    <xf numFmtId="3" fontId="61" fillId="34" borderId="69" xfId="42" applyNumberFormat="1" applyFont="1" applyFill="1" applyBorder="1" applyAlignment="1">
      <alignment vertical="center"/>
    </xf>
    <xf numFmtId="0" fontId="61" fillId="34" borderId="29" xfId="42" applyFont="1" applyFill="1" applyBorder="1" applyAlignment="1">
      <alignment vertical="center"/>
    </xf>
    <xf numFmtId="3" fontId="61" fillId="34" borderId="29" xfId="42" applyNumberFormat="1" applyFont="1" applyFill="1" applyBorder="1" applyAlignment="1">
      <alignment vertical="center"/>
    </xf>
    <xf numFmtId="3" fontId="61" fillId="34" borderId="32" xfId="42" applyNumberFormat="1" applyFont="1" applyFill="1" applyBorder="1" applyAlignment="1">
      <alignment vertical="center"/>
    </xf>
    <xf numFmtId="0" fontId="60" fillId="34" borderId="0" xfId="42" applyFont="1" applyFill="1"/>
    <xf numFmtId="0" fontId="61" fillId="34" borderId="0" xfId="42" applyFont="1" applyFill="1"/>
    <xf numFmtId="0" fontId="62" fillId="34" borderId="0" xfId="42" applyFont="1" applyFill="1"/>
    <xf numFmtId="0" fontId="63" fillId="34" borderId="0" xfId="42" applyFont="1" applyFill="1"/>
    <xf numFmtId="17" fontId="64" fillId="50" borderId="35" xfId="42" applyNumberFormat="1" applyFont="1" applyFill="1" applyBorder="1" applyAlignment="1">
      <alignment horizontal="center" vertical="center" wrapText="1"/>
    </xf>
    <xf numFmtId="0" fontId="64" fillId="50" borderId="11" xfId="42" applyFont="1" applyFill="1" applyBorder="1" applyAlignment="1">
      <alignment horizontal="center" vertical="center" wrapText="1"/>
    </xf>
    <xf numFmtId="3" fontId="61" fillId="34" borderId="72" xfId="42" applyNumberFormat="1" applyFont="1" applyFill="1" applyBorder="1" applyAlignment="1">
      <alignment vertical="center"/>
    </xf>
    <xf numFmtId="3" fontId="61" fillId="34" borderId="73" xfId="42" applyNumberFormat="1" applyFont="1" applyFill="1" applyBorder="1" applyAlignment="1">
      <alignment vertical="center"/>
    </xf>
    <xf numFmtId="17" fontId="28" fillId="33" borderId="11" xfId="43" applyNumberFormat="1" applyFont="1" applyFill="1" applyBorder="1" applyAlignment="1" applyProtection="1">
      <alignment wrapText="1"/>
      <protection locked="0"/>
    </xf>
    <xf numFmtId="0" fontId="70" fillId="34" borderId="0" xfId="0" applyFont="1" applyFill="1" applyAlignment="1" applyProtection="1">
      <alignment wrapText="1"/>
      <protection hidden="1"/>
    </xf>
    <xf numFmtId="174" fontId="69" fillId="64" borderId="129" xfId="0" applyNumberFormat="1" applyFont="1" applyFill="1" applyBorder="1" applyAlignment="1" applyProtection="1">
      <alignment vertical="center"/>
      <protection hidden="1"/>
    </xf>
    <xf numFmtId="174" fontId="69" fillId="64" borderId="130" xfId="0" applyNumberFormat="1" applyFont="1" applyFill="1" applyBorder="1" applyAlignment="1" applyProtection="1">
      <alignment vertical="center"/>
      <protection hidden="1"/>
    </xf>
    <xf numFmtId="173" fontId="70" fillId="34" borderId="0" xfId="28" applyNumberFormat="1" applyFont="1" applyFill="1" applyProtection="1">
      <protection hidden="1"/>
    </xf>
    <xf numFmtId="173" fontId="70" fillId="34" borderId="14" xfId="28" applyNumberFormat="1" applyFont="1" applyFill="1" applyBorder="1" applyProtection="1">
      <protection hidden="1"/>
    </xf>
    <xf numFmtId="176" fontId="70" fillId="34" borderId="0" xfId="28" applyNumberFormat="1" applyFont="1" applyFill="1" applyProtection="1">
      <protection hidden="1"/>
    </xf>
    <xf numFmtId="176" fontId="70" fillId="34" borderId="14" xfId="28" applyNumberFormat="1" applyFont="1" applyFill="1" applyBorder="1" applyProtection="1">
      <protection hidden="1"/>
    </xf>
    <xf numFmtId="173" fontId="23" fillId="34" borderId="136" xfId="0" applyNumberFormat="1" applyFont="1" applyFill="1" applyBorder="1" applyProtection="1">
      <protection hidden="1"/>
    </xf>
    <xf numFmtId="173" fontId="23" fillId="34" borderId="106" xfId="0" applyNumberFormat="1" applyFont="1" applyFill="1" applyBorder="1" applyProtection="1">
      <protection hidden="1"/>
    </xf>
    <xf numFmtId="173" fontId="70" fillId="34" borderId="142" xfId="28" applyNumberFormat="1" applyFont="1" applyFill="1" applyBorder="1" applyProtection="1">
      <protection hidden="1"/>
    </xf>
    <xf numFmtId="173" fontId="70" fillId="34" borderId="144" xfId="28" applyNumberFormat="1" applyFont="1" applyFill="1" applyBorder="1" applyProtection="1">
      <protection hidden="1"/>
    </xf>
    <xf numFmtId="0" fontId="73" fillId="34" borderId="114" xfId="52" applyFont="1" applyFill="1" applyBorder="1" applyAlignment="1" applyProtection="1">
      <alignment wrapText="1"/>
      <protection hidden="1"/>
    </xf>
    <xf numFmtId="173" fontId="73" fillId="34" borderId="0" xfId="28" applyNumberFormat="1" applyFont="1" applyFill="1" applyProtection="1">
      <protection hidden="1"/>
    </xf>
    <xf numFmtId="173" fontId="73" fillId="34" borderId="14" xfId="28" applyNumberFormat="1" applyFont="1" applyFill="1" applyBorder="1" applyProtection="1">
      <protection hidden="1"/>
    </xf>
    <xf numFmtId="173" fontId="23" fillId="53" borderId="136" xfId="0" applyNumberFormat="1" applyFont="1" applyFill="1" applyBorder="1" applyProtection="1">
      <protection hidden="1"/>
    </xf>
    <xf numFmtId="173" fontId="23" fillId="53" borderId="106" xfId="0" applyNumberFormat="1" applyFont="1" applyFill="1" applyBorder="1" applyProtection="1">
      <protection hidden="1"/>
    </xf>
    <xf numFmtId="0" fontId="73" fillId="34" borderId="114" xfId="0" applyFont="1" applyFill="1" applyBorder="1" applyAlignment="1" applyProtection="1">
      <alignment wrapText="1"/>
      <protection hidden="1"/>
    </xf>
    <xf numFmtId="0" fontId="25" fillId="55" borderId="114" xfId="0" applyFont="1" applyFill="1" applyBorder="1" applyAlignment="1" applyProtection="1">
      <alignment horizontal="left" wrapText="1"/>
      <protection hidden="1"/>
    </xf>
    <xf numFmtId="0" fontId="25" fillId="55" borderId="114" xfId="41" applyFont="1" applyFill="1" applyBorder="1" applyAlignment="1" applyProtection="1">
      <alignment wrapText="1"/>
      <protection hidden="1"/>
    </xf>
    <xf numFmtId="0" fontId="70" fillId="34" borderId="153" xfId="0" applyFont="1" applyFill="1" applyBorder="1" applyAlignment="1" applyProtection="1">
      <alignment wrapText="1"/>
      <protection hidden="1"/>
    </xf>
    <xf numFmtId="3" fontId="70" fillId="34" borderId="144" xfId="28" applyNumberFormat="1" applyFont="1" applyFill="1" applyBorder="1" applyProtection="1">
      <protection hidden="1"/>
    </xf>
    <xf numFmtId="173" fontId="73" fillId="34" borderId="154" xfId="28" applyNumberFormat="1" applyFont="1" applyFill="1" applyBorder="1" applyProtection="1">
      <protection hidden="1"/>
    </xf>
    <xf numFmtId="173" fontId="70" fillId="34" borderId="22" xfId="28" applyNumberFormat="1" applyFont="1" applyFill="1" applyBorder="1" applyProtection="1">
      <protection hidden="1"/>
    </xf>
    <xf numFmtId="173" fontId="70" fillId="34" borderId="23" xfId="28" applyNumberFormat="1" applyFont="1" applyFill="1" applyBorder="1" applyProtection="1">
      <protection hidden="1"/>
    </xf>
    <xf numFmtId="173" fontId="4" fillId="24" borderId="76" xfId="28" applyNumberFormat="1" applyFont="1" applyFill="1" applyBorder="1" applyProtection="1">
      <protection hidden="1"/>
    </xf>
    <xf numFmtId="0" fontId="71" fillId="34" borderId="0" xfId="0" applyFont="1" applyFill="1" applyProtection="1">
      <protection hidden="1"/>
    </xf>
    <xf numFmtId="0" fontId="73" fillId="34" borderId="0" xfId="0" applyFont="1" applyFill="1" applyProtection="1">
      <protection hidden="1"/>
    </xf>
    <xf numFmtId="0" fontId="65" fillId="34" borderId="0" xfId="0" applyFont="1" applyFill="1" applyProtection="1">
      <protection hidden="1"/>
    </xf>
    <xf numFmtId="0" fontId="65" fillId="34" borderId="14" xfId="0" applyFont="1" applyFill="1" applyBorder="1" applyProtection="1">
      <protection hidden="1"/>
    </xf>
    <xf numFmtId="0" fontId="70" fillId="34" borderId="0" xfId="0" applyFont="1" applyFill="1" applyProtection="1">
      <protection hidden="1"/>
    </xf>
    <xf numFmtId="0" fontId="73" fillId="34" borderId="152" xfId="0" applyFont="1" applyFill="1" applyBorder="1" applyProtection="1">
      <protection hidden="1"/>
    </xf>
    <xf numFmtId="0" fontId="73" fillId="34" borderId="146" xfId="0" applyFont="1" applyFill="1" applyBorder="1" applyProtection="1">
      <protection hidden="1"/>
    </xf>
    <xf numFmtId="0" fontId="73" fillId="34" borderId="114" xfId="0" applyFont="1" applyFill="1" applyBorder="1" applyProtection="1">
      <protection hidden="1"/>
    </xf>
    <xf numFmtId="0" fontId="70" fillId="34" borderId="114" xfId="0" applyFont="1" applyFill="1" applyBorder="1" applyProtection="1">
      <protection hidden="1"/>
    </xf>
    <xf numFmtId="169" fontId="28" fillId="37" borderId="10" xfId="28" applyNumberFormat="1" applyFont="1" applyFill="1" applyBorder="1" applyAlignment="1" applyProtection="1">
      <alignment horizontal="center" vertical="top"/>
      <protection locked="0"/>
    </xf>
    <xf numFmtId="0" fontId="65" fillId="0" borderId="156" xfId="53" applyFont="1" applyBorder="1" applyAlignment="1">
      <alignment vertical="center"/>
    </xf>
    <xf numFmtId="0" fontId="65" fillId="0" borderId="157" xfId="53" applyFont="1" applyBorder="1" applyAlignment="1">
      <alignment vertical="center"/>
    </xf>
    <xf numFmtId="0" fontId="65" fillId="0" borderId="158" xfId="53" applyFont="1" applyBorder="1" applyAlignment="1">
      <alignment vertical="center"/>
    </xf>
    <xf numFmtId="0" fontId="65" fillId="0" borderId="159" xfId="53" applyFont="1" applyBorder="1" applyAlignment="1">
      <alignment vertical="center"/>
    </xf>
    <xf numFmtId="0" fontId="65" fillId="0" borderId="162" xfId="53" applyFont="1" applyBorder="1" applyAlignment="1">
      <alignment vertical="center"/>
    </xf>
    <xf numFmtId="0" fontId="65" fillId="0" borderId="16" xfId="53" applyFont="1" applyBorder="1" applyAlignment="1">
      <alignment vertical="center"/>
    </xf>
    <xf numFmtId="0" fontId="65" fillId="0" borderId="11" xfId="53" applyFont="1" applyBorder="1" applyAlignment="1">
      <alignment vertical="center"/>
    </xf>
    <xf numFmtId="179" fontId="67" fillId="53" borderId="11" xfId="56" applyNumberFormat="1" applyFont="1" applyFill="1" applyBorder="1" applyAlignment="1">
      <alignment horizontal="right" vertical="center" wrapText="1"/>
    </xf>
    <xf numFmtId="0" fontId="65" fillId="0" borderId="77" xfId="53" applyFont="1" applyBorder="1" applyAlignment="1">
      <alignment vertical="center"/>
    </xf>
    <xf numFmtId="0" fontId="65" fillId="0" borderId="78" xfId="53" applyFont="1" applyBorder="1" applyAlignment="1">
      <alignment vertical="center"/>
    </xf>
    <xf numFmtId="0" fontId="65" fillId="0" borderId="79" xfId="53" applyFont="1" applyBorder="1" applyAlignment="1">
      <alignment vertical="center"/>
    </xf>
    <xf numFmtId="0" fontId="65" fillId="0" borderId="166" xfId="53" applyFont="1" applyBorder="1" applyAlignment="1">
      <alignment vertical="center"/>
    </xf>
    <xf numFmtId="0" fontId="65" fillId="0" borderId="167" xfId="53" applyFont="1" applyBorder="1" applyAlignment="1">
      <alignment vertical="center"/>
    </xf>
    <xf numFmtId="0" fontId="91" fillId="0" borderId="162" xfId="53" applyFont="1" applyBorder="1" applyAlignment="1">
      <alignment vertical="center"/>
    </xf>
    <xf numFmtId="22" fontId="91" fillId="0" borderId="162" xfId="53" applyNumberFormat="1" applyFont="1" applyBorder="1" applyAlignment="1">
      <alignment vertical="center"/>
    </xf>
    <xf numFmtId="14" fontId="91" fillId="0" borderId="162" xfId="53" applyNumberFormat="1" applyFont="1" applyBorder="1" applyAlignment="1">
      <alignment vertical="center"/>
    </xf>
    <xf numFmtId="0" fontId="70" fillId="34" borderId="0" xfId="57" applyFont="1" applyFill="1"/>
    <xf numFmtId="0" fontId="84" fillId="34" borderId="0" xfId="57" applyFont="1" applyFill="1"/>
    <xf numFmtId="0" fontId="67" fillId="57" borderId="20" xfId="57" applyFont="1" applyFill="1" applyBorder="1" applyAlignment="1">
      <alignment horizontal="right" vertical="center"/>
    </xf>
    <xf numFmtId="0" fontId="84" fillId="0" borderId="0" xfId="57" applyFont="1"/>
    <xf numFmtId="0" fontId="70" fillId="0" borderId="0" xfId="57" applyFont="1"/>
    <xf numFmtId="0" fontId="70" fillId="34" borderId="16" xfId="57" applyFont="1" applyFill="1" applyBorder="1"/>
    <xf numFmtId="0" fontId="67" fillId="57" borderId="11" xfId="57" applyFont="1" applyFill="1" applyBorder="1" applyAlignment="1">
      <alignment horizontal="left" vertical="center"/>
    </xf>
    <xf numFmtId="0" fontId="67" fillId="57" borderId="11" xfId="57" applyFont="1" applyFill="1" applyBorder="1" applyAlignment="1">
      <alignment horizontal="right" vertical="center"/>
    </xf>
    <xf numFmtId="0" fontId="70" fillId="34" borderId="13" xfId="57" applyFont="1" applyFill="1" applyBorder="1"/>
    <xf numFmtId="0" fontId="89" fillId="56" borderId="11" xfId="57" applyFont="1" applyFill="1" applyBorder="1" applyAlignment="1">
      <alignment horizontal="left" vertical="center"/>
    </xf>
    <xf numFmtId="0" fontId="71" fillId="56" borderId="11" xfId="57" applyFont="1" applyFill="1" applyBorder="1" applyAlignment="1">
      <alignment horizontal="center" vertical="center"/>
    </xf>
    <xf numFmtId="0" fontId="67" fillId="57" borderId="11" xfId="57" applyFont="1" applyFill="1" applyBorder="1" applyAlignment="1">
      <alignment vertical="center"/>
    </xf>
    <xf numFmtId="0" fontId="70" fillId="34" borderId="11" xfId="57" applyFont="1" applyFill="1" applyBorder="1" applyAlignment="1">
      <alignment horizontal="right" vertical="center"/>
    </xf>
    <xf numFmtId="0" fontId="70" fillId="34" borderId="0" xfId="57" applyFont="1" applyFill="1" applyAlignment="1">
      <alignment wrapText="1"/>
    </xf>
    <xf numFmtId="0" fontId="67" fillId="57" borderId="11" xfId="57" applyFont="1" applyFill="1" applyBorder="1" applyAlignment="1">
      <alignment vertical="center" wrapText="1"/>
    </xf>
    <xf numFmtId="0" fontId="70" fillId="34" borderId="11" xfId="57" applyFont="1" applyFill="1" applyBorder="1" applyAlignment="1">
      <alignment horizontal="right" vertical="center" wrapText="1"/>
    </xf>
    <xf numFmtId="14" fontId="70" fillId="34" borderId="11" xfId="57" applyNumberFormat="1" applyFont="1" applyFill="1" applyBorder="1" applyAlignment="1">
      <alignment horizontal="right" vertical="center"/>
    </xf>
    <xf numFmtId="15" fontId="70" fillId="34" borderId="11" xfId="57" applyNumberFormat="1" applyFont="1" applyFill="1" applyBorder="1" applyAlignment="1">
      <alignment horizontal="right" vertical="center"/>
    </xf>
    <xf numFmtId="22" fontId="70" fillId="34" borderId="11" xfId="57" applyNumberFormat="1" applyFont="1" applyFill="1" applyBorder="1" applyAlignment="1">
      <alignment horizontal="right" vertical="center"/>
    </xf>
    <xf numFmtId="0" fontId="70" fillId="34" borderId="0" xfId="51" applyFont="1" applyFill="1"/>
    <xf numFmtId="0" fontId="65" fillId="34" borderId="0" xfId="51" applyFont="1" applyFill="1"/>
    <xf numFmtId="0" fontId="65" fillId="34" borderId="0" xfId="51" applyFont="1" applyFill="1" applyAlignment="1">
      <alignment wrapText="1"/>
    </xf>
    <xf numFmtId="0" fontId="65" fillId="34" borderId="13" xfId="51" applyFont="1" applyFill="1" applyBorder="1"/>
    <xf numFmtId="0" fontId="65" fillId="34" borderId="14" xfId="51" applyFont="1" applyFill="1" applyBorder="1"/>
    <xf numFmtId="0" fontId="67" fillId="57" borderId="16" xfId="51" applyFont="1" applyFill="1" applyBorder="1" applyAlignment="1">
      <alignment horizontal="center" vertical="center" wrapText="1"/>
    </xf>
    <xf numFmtId="0" fontId="67" fillId="57" borderId="11" xfId="51" applyFont="1" applyFill="1" applyBorder="1" applyAlignment="1">
      <alignment horizontal="center" vertical="center"/>
    </xf>
    <xf numFmtId="0" fontId="67" fillId="57" borderId="28" xfId="51" applyFont="1" applyFill="1" applyBorder="1" applyAlignment="1">
      <alignment horizontal="center" vertical="center"/>
    </xf>
    <xf numFmtId="0" fontId="65" fillId="34" borderId="16" xfId="51" applyFont="1" applyFill="1" applyBorder="1"/>
    <xf numFmtId="0" fontId="70" fillId="34" borderId="11" xfId="51" applyFont="1" applyFill="1" applyBorder="1" applyAlignment="1">
      <alignment horizontal="center" vertical="center"/>
    </xf>
    <xf numFmtId="14" fontId="70" fillId="34" borderId="11" xfId="51" applyNumberFormat="1" applyFont="1" applyFill="1" applyBorder="1" applyAlignment="1">
      <alignment horizontal="center" vertical="center"/>
    </xf>
    <xf numFmtId="0" fontId="70" fillId="34" borderId="28" xfId="51" applyFont="1" applyFill="1" applyBorder="1" applyAlignment="1">
      <alignment horizontal="center" vertical="center"/>
    </xf>
    <xf numFmtId="0" fontId="65" fillId="34" borderId="17" xfId="51" applyFont="1" applyFill="1" applyBorder="1"/>
    <xf numFmtId="0" fontId="70" fillId="34" borderId="29" xfId="51" applyFont="1" applyFill="1" applyBorder="1" applyAlignment="1">
      <alignment horizontal="center" vertical="center"/>
    </xf>
    <xf numFmtId="14" fontId="70" fillId="34" borderId="29" xfId="51" applyNumberFormat="1" applyFont="1" applyFill="1" applyBorder="1" applyAlignment="1">
      <alignment horizontal="center" vertical="center"/>
    </xf>
    <xf numFmtId="0" fontId="70" fillId="34" borderId="32" xfId="51" applyFont="1" applyFill="1" applyBorder="1" applyAlignment="1">
      <alignment horizontal="center" vertical="center"/>
    </xf>
    <xf numFmtId="0" fontId="3" fillId="34" borderId="0" xfId="58" applyFill="1"/>
    <xf numFmtId="0" fontId="67" fillId="34" borderId="0" xfId="0" applyFont="1" applyFill="1" applyProtection="1">
      <protection hidden="1"/>
    </xf>
    <xf numFmtId="176" fontId="70" fillId="34" borderId="0" xfId="0" applyNumberFormat="1" applyFont="1" applyFill="1" applyProtection="1">
      <protection hidden="1"/>
    </xf>
    <xf numFmtId="0" fontId="67" fillId="34" borderId="132" xfId="0" applyFont="1" applyFill="1" applyBorder="1" applyProtection="1">
      <protection hidden="1"/>
    </xf>
    <xf numFmtId="0" fontId="70" fillId="34" borderId="132" xfId="0" applyFont="1" applyFill="1" applyBorder="1" applyProtection="1">
      <protection hidden="1"/>
    </xf>
    <xf numFmtId="0" fontId="85" fillId="34" borderId="0" xfId="0" applyFont="1" applyFill="1" applyProtection="1">
      <protection hidden="1"/>
    </xf>
    <xf numFmtId="0" fontId="65" fillId="34" borderId="0" xfId="0" applyFont="1" applyFill="1" applyProtection="1">
      <protection locked="0"/>
    </xf>
    <xf numFmtId="0" fontId="65" fillId="34" borderId="0" xfId="0" applyFont="1" applyFill="1" applyAlignment="1" applyProtection="1">
      <alignment wrapText="1"/>
      <protection locked="0"/>
    </xf>
    <xf numFmtId="0" fontId="67" fillId="34" borderId="13" xfId="0" applyFont="1" applyFill="1" applyBorder="1" applyProtection="1">
      <protection locked="0"/>
    </xf>
    <xf numFmtId="172" fontId="67" fillId="34" borderId="0" xfId="0" applyNumberFormat="1" applyFont="1" applyFill="1" applyProtection="1">
      <protection locked="0"/>
    </xf>
    <xf numFmtId="0" fontId="4" fillId="34" borderId="0" xfId="0" applyFont="1" applyFill="1" applyProtection="1">
      <protection locked="0"/>
    </xf>
    <xf numFmtId="0" fontId="23" fillId="53" borderId="76" xfId="0" applyFont="1" applyFill="1" applyBorder="1" applyAlignment="1" applyProtection="1">
      <alignment horizontal="left" vertical="center"/>
      <protection locked="0"/>
    </xf>
    <xf numFmtId="173" fontId="4" fillId="34" borderId="76" xfId="0" applyNumberFormat="1" applyFont="1" applyFill="1" applyBorder="1" applyAlignment="1" applyProtection="1">
      <alignment horizontal="right" vertical="center"/>
      <protection locked="0"/>
    </xf>
    <xf numFmtId="0" fontId="65" fillId="34" borderId="14" xfId="0" applyFont="1" applyFill="1" applyBorder="1" applyProtection="1">
      <protection locked="0"/>
    </xf>
    <xf numFmtId="0" fontId="65" fillId="34" borderId="13" xfId="0" applyFont="1" applyFill="1" applyBorder="1" applyProtection="1">
      <protection locked="0"/>
    </xf>
    <xf numFmtId="0" fontId="65" fillId="34" borderId="13" xfId="0" applyFont="1" applyFill="1" applyBorder="1" applyAlignment="1" applyProtection="1">
      <alignment vertical="center"/>
      <protection locked="0"/>
    </xf>
    <xf numFmtId="174" fontId="69" fillId="54" borderId="78" xfId="0" applyNumberFormat="1" applyFont="1" applyFill="1" applyBorder="1" applyAlignment="1" applyProtection="1">
      <alignment vertical="center"/>
      <protection locked="0"/>
    </xf>
    <xf numFmtId="174" fontId="69" fillId="54" borderId="79" xfId="0" applyNumberFormat="1" applyFont="1" applyFill="1" applyBorder="1" applyAlignment="1" applyProtection="1">
      <alignment vertical="center"/>
      <protection locked="0"/>
    </xf>
    <xf numFmtId="0" fontId="65" fillId="34" borderId="14" xfId="0" applyFont="1" applyFill="1" applyBorder="1" applyAlignment="1" applyProtection="1">
      <alignment vertical="center"/>
      <protection locked="0"/>
    </xf>
    <xf numFmtId="0" fontId="65" fillId="34" borderId="0" xfId="0" applyFont="1" applyFill="1" applyAlignment="1" applyProtection="1">
      <alignment vertical="center"/>
      <protection locked="0"/>
    </xf>
    <xf numFmtId="0" fontId="23" fillId="34" borderId="81" xfId="0" applyFont="1" applyFill="1" applyBorder="1" applyAlignment="1" applyProtection="1">
      <alignment horizontal="center"/>
      <protection locked="0"/>
    </xf>
    <xf numFmtId="0" fontId="23" fillId="34" borderId="71" xfId="0" applyFont="1" applyFill="1" applyBorder="1" applyAlignment="1" applyProtection="1">
      <alignment horizontal="center"/>
      <protection locked="0"/>
    </xf>
    <xf numFmtId="0" fontId="70" fillId="34" borderId="14" xfId="0" applyFont="1" applyFill="1" applyBorder="1" applyProtection="1">
      <protection locked="0"/>
    </xf>
    <xf numFmtId="0" fontId="70" fillId="34" borderId="0" xfId="0" applyFont="1" applyFill="1" applyProtection="1">
      <protection locked="0"/>
    </xf>
    <xf numFmtId="0" fontId="70" fillId="34" borderId="13" xfId="0" applyFont="1" applyFill="1" applyBorder="1" applyAlignment="1" applyProtection="1">
      <alignment vertical="center"/>
      <protection locked="0"/>
    </xf>
    <xf numFmtId="174" fontId="70" fillId="34" borderId="82" xfId="0" applyNumberFormat="1" applyFont="1" applyFill="1" applyBorder="1" applyAlignment="1" applyProtection="1">
      <alignment vertical="center"/>
      <protection locked="0"/>
    </xf>
    <xf numFmtId="174" fontId="70" fillId="34" borderId="83" xfId="0" applyNumberFormat="1" applyFont="1" applyFill="1" applyBorder="1" applyAlignment="1" applyProtection="1">
      <alignment vertical="center"/>
      <protection locked="0"/>
    </xf>
    <xf numFmtId="174" fontId="70" fillId="34" borderId="84" xfId="0" applyNumberFormat="1" applyFont="1" applyFill="1" applyBorder="1" applyAlignment="1" applyProtection="1">
      <alignment vertical="center"/>
      <protection locked="0"/>
    </xf>
    <xf numFmtId="0" fontId="70" fillId="34" borderId="14" xfId="0" applyFont="1" applyFill="1" applyBorder="1" applyAlignment="1" applyProtection="1">
      <alignment vertical="center"/>
      <protection locked="0"/>
    </xf>
    <xf numFmtId="0" fontId="70" fillId="34" borderId="0" xfId="0" applyFont="1" applyFill="1" applyAlignment="1" applyProtection="1">
      <alignment vertical="center"/>
      <protection locked="0"/>
    </xf>
    <xf numFmtId="174" fontId="70" fillId="34" borderId="88" xfId="0" applyNumberFormat="1" applyFont="1" applyFill="1" applyBorder="1" applyAlignment="1" applyProtection="1">
      <alignment vertical="center"/>
      <protection locked="0"/>
    </xf>
    <xf numFmtId="174" fontId="70" fillId="34" borderId="86" xfId="0" applyNumberFormat="1" applyFont="1" applyFill="1" applyBorder="1" applyAlignment="1" applyProtection="1">
      <alignment vertical="center"/>
      <protection locked="0"/>
    </xf>
    <xf numFmtId="174" fontId="70" fillId="34" borderId="89" xfId="0" applyNumberFormat="1" applyFont="1" applyFill="1" applyBorder="1" applyAlignment="1" applyProtection="1">
      <alignment vertical="center"/>
      <protection locked="0"/>
    </xf>
    <xf numFmtId="0" fontId="65" fillId="34" borderId="12" xfId="0" applyFont="1" applyFill="1" applyBorder="1" applyProtection="1">
      <protection locked="0"/>
    </xf>
    <xf numFmtId="0" fontId="65" fillId="34" borderId="25" xfId="0" applyFont="1" applyFill="1" applyBorder="1" applyProtection="1">
      <protection locked="0"/>
    </xf>
    <xf numFmtId="0" fontId="65" fillId="34" borderId="13" xfId="0" applyFont="1" applyFill="1" applyBorder="1" applyAlignment="1" applyProtection="1">
      <alignment horizontal="left"/>
      <protection locked="0"/>
    </xf>
    <xf numFmtId="173" fontId="70" fillId="34" borderId="0" xfId="0" applyNumberFormat="1" applyFont="1" applyFill="1" applyProtection="1">
      <protection locked="0"/>
    </xf>
    <xf numFmtId="173" fontId="70" fillId="34" borderId="14" xfId="0" applyNumberFormat="1" applyFont="1" applyFill="1" applyBorder="1" applyProtection="1">
      <protection locked="0"/>
    </xf>
    <xf numFmtId="0" fontId="70" fillId="34" borderId="13" xfId="0" applyFont="1" applyFill="1" applyBorder="1" applyProtection="1">
      <protection locked="0"/>
    </xf>
    <xf numFmtId="0" fontId="70" fillId="34" borderId="15" xfId="0" applyFont="1" applyFill="1" applyBorder="1" applyProtection="1">
      <protection locked="0"/>
    </xf>
    <xf numFmtId="173" fontId="4" fillId="55" borderId="15" xfId="28" applyNumberFormat="1" applyFont="1" applyFill="1" applyBorder="1" applyAlignment="1" applyProtection="1">
      <alignment wrapText="1"/>
      <protection locked="0"/>
    </xf>
    <xf numFmtId="173" fontId="4" fillId="55" borderId="73" xfId="28" applyNumberFormat="1" applyFont="1" applyFill="1" applyBorder="1" applyAlignment="1" applyProtection="1">
      <alignment wrapText="1"/>
      <protection locked="0"/>
    </xf>
    <xf numFmtId="0" fontId="73" fillId="34" borderId="13" xfId="0" applyFont="1" applyFill="1" applyBorder="1" applyProtection="1">
      <protection locked="0"/>
    </xf>
    <xf numFmtId="0" fontId="73" fillId="34" borderId="15" xfId="0" applyFont="1" applyFill="1" applyBorder="1" applyProtection="1">
      <protection locked="0"/>
    </xf>
    <xf numFmtId="0" fontId="25" fillId="55" borderId="91" xfId="41" applyFont="1" applyFill="1" applyBorder="1" applyAlignment="1" applyProtection="1">
      <alignment wrapText="1"/>
      <protection locked="0"/>
    </xf>
    <xf numFmtId="173" fontId="25" fillId="55" borderId="15" xfId="28" applyNumberFormat="1" applyFont="1" applyFill="1" applyBorder="1" applyProtection="1">
      <protection locked="0"/>
    </xf>
    <xf numFmtId="173" fontId="25" fillId="55" borderId="73" xfId="28" applyNumberFormat="1" applyFont="1" applyFill="1" applyBorder="1" applyProtection="1">
      <protection locked="0"/>
    </xf>
    <xf numFmtId="0" fontId="73" fillId="34" borderId="14" xfId="0" applyFont="1" applyFill="1" applyBorder="1" applyProtection="1">
      <protection locked="0"/>
    </xf>
    <xf numFmtId="0" fontId="73" fillId="34" borderId="0" xfId="0" applyFont="1" applyFill="1" applyProtection="1">
      <protection locked="0"/>
    </xf>
    <xf numFmtId="0" fontId="25" fillId="55" borderId="90" xfId="41" applyFont="1" applyFill="1" applyBorder="1" applyAlignment="1" applyProtection="1">
      <alignment wrapText="1"/>
      <protection locked="0"/>
    </xf>
    <xf numFmtId="173" fontId="25" fillId="55" borderId="0" xfId="28" applyNumberFormat="1" applyFont="1" applyFill="1" applyProtection="1">
      <protection locked="0"/>
    </xf>
    <xf numFmtId="173" fontId="25" fillId="55" borderId="14" xfId="28" applyNumberFormat="1" applyFont="1" applyFill="1" applyBorder="1" applyProtection="1">
      <protection locked="0"/>
    </xf>
    <xf numFmtId="173" fontId="4" fillId="55" borderId="0" xfId="28" applyNumberFormat="1" applyFont="1" applyFill="1" applyAlignment="1" applyProtection="1">
      <alignment wrapText="1"/>
      <protection locked="0"/>
    </xf>
    <xf numFmtId="173" fontId="4" fillId="55" borderId="14" xfId="28" applyNumberFormat="1" applyFont="1" applyFill="1" applyBorder="1" applyAlignment="1" applyProtection="1">
      <alignment wrapText="1"/>
      <protection locked="0"/>
    </xf>
    <xf numFmtId="173" fontId="4" fillId="55" borderId="0" xfId="28" applyNumberFormat="1" applyFont="1" applyFill="1" applyProtection="1">
      <protection locked="0"/>
    </xf>
    <xf numFmtId="173" fontId="4" fillId="55" borderId="14" xfId="28" applyNumberFormat="1" applyFont="1" applyFill="1" applyBorder="1" applyProtection="1">
      <protection locked="0"/>
    </xf>
    <xf numFmtId="173" fontId="4" fillId="55" borderId="22" xfId="28" applyNumberFormat="1" applyFont="1" applyFill="1" applyBorder="1" applyProtection="1">
      <protection locked="0"/>
    </xf>
    <xf numFmtId="173" fontId="4" fillId="55" borderId="23" xfId="28" applyNumberFormat="1" applyFont="1" applyFill="1" applyBorder="1" applyProtection="1">
      <protection locked="0"/>
    </xf>
    <xf numFmtId="173" fontId="27" fillId="53" borderId="94" xfId="0" applyNumberFormat="1" applyFont="1" applyFill="1" applyBorder="1" applyProtection="1">
      <protection locked="0"/>
    </xf>
    <xf numFmtId="173" fontId="27" fillId="53" borderId="95" xfId="0" applyNumberFormat="1" applyFont="1" applyFill="1" applyBorder="1" applyProtection="1">
      <protection locked="0"/>
    </xf>
    <xf numFmtId="0" fontId="71" fillId="34" borderId="13" xfId="0" applyFont="1" applyFill="1" applyBorder="1" applyProtection="1">
      <protection locked="0"/>
    </xf>
    <xf numFmtId="0" fontId="73" fillId="34" borderId="22" xfId="0" applyFont="1" applyFill="1" applyBorder="1" applyProtection="1">
      <protection locked="0"/>
    </xf>
    <xf numFmtId="173" fontId="25" fillId="0" borderId="15" xfId="28" applyNumberFormat="1" applyFont="1" applyBorder="1" applyProtection="1">
      <protection locked="0"/>
    </xf>
    <xf numFmtId="0" fontId="25" fillId="55" borderId="0" xfId="41" applyFont="1" applyFill="1" applyAlignment="1" applyProtection="1">
      <alignment wrapText="1"/>
      <protection locked="0"/>
    </xf>
    <xf numFmtId="43" fontId="73" fillId="34" borderId="0" xfId="0" applyNumberFormat="1" applyFont="1" applyFill="1" applyProtection="1">
      <protection locked="0"/>
    </xf>
    <xf numFmtId="173" fontId="25" fillId="55" borderId="22" xfId="28" applyNumberFormat="1" applyFont="1" applyFill="1" applyBorder="1" applyProtection="1">
      <protection locked="0"/>
    </xf>
    <xf numFmtId="173" fontId="25" fillId="55" borderId="23" xfId="28" applyNumberFormat="1" applyFont="1" applyFill="1" applyBorder="1" applyProtection="1">
      <protection locked="0"/>
    </xf>
    <xf numFmtId="173" fontId="27" fillId="53" borderId="97" xfId="0" applyNumberFormat="1" applyFont="1" applyFill="1" applyBorder="1" applyProtection="1">
      <protection locked="0"/>
    </xf>
    <xf numFmtId="173" fontId="27" fillId="53" borderId="98" xfId="0" applyNumberFormat="1" applyFont="1" applyFill="1" applyBorder="1" applyProtection="1">
      <protection locked="0"/>
    </xf>
    <xf numFmtId="0" fontId="25" fillId="55" borderId="15" xfId="41" applyFont="1" applyFill="1" applyBorder="1" applyAlignment="1" applyProtection="1">
      <alignment wrapText="1"/>
      <protection locked="0"/>
    </xf>
    <xf numFmtId="173" fontId="4" fillId="0" borderId="0" xfId="28" applyNumberFormat="1" applyFont="1" applyAlignment="1" applyProtection="1">
      <alignment wrapText="1"/>
      <protection locked="0"/>
    </xf>
    <xf numFmtId="173" fontId="4" fillId="0" borderId="14" xfId="28" applyNumberFormat="1" applyFont="1" applyBorder="1" applyAlignment="1" applyProtection="1">
      <alignment wrapText="1"/>
      <protection locked="0"/>
    </xf>
    <xf numFmtId="173" fontId="25" fillId="55" borderId="15" xfId="28" applyNumberFormat="1" applyFont="1" applyFill="1" applyBorder="1" applyAlignment="1" applyProtection="1">
      <alignment wrapText="1"/>
      <protection locked="0"/>
    </xf>
    <xf numFmtId="173" fontId="25" fillId="55" borderId="0" xfId="28" applyNumberFormat="1" applyFont="1" applyFill="1" applyAlignment="1" applyProtection="1">
      <alignment wrapText="1"/>
      <protection locked="0"/>
    </xf>
    <xf numFmtId="173" fontId="4" fillId="0" borderId="0" xfId="28" applyNumberFormat="1" applyFont="1" applyProtection="1">
      <protection locked="0"/>
    </xf>
    <xf numFmtId="3" fontId="70" fillId="34" borderId="14" xfId="0" applyNumberFormat="1" applyFont="1" applyFill="1" applyBorder="1" applyProtection="1">
      <protection locked="0"/>
    </xf>
    <xf numFmtId="9" fontId="4" fillId="55" borderId="0" xfId="47" applyFill="1" applyAlignment="1" applyProtection="1">
      <alignment horizontal="right"/>
      <protection locked="0"/>
    </xf>
    <xf numFmtId="9" fontId="4" fillId="55" borderId="14" xfId="47" applyFill="1" applyBorder="1" applyAlignment="1" applyProtection="1">
      <alignment horizontal="right"/>
      <protection locked="0"/>
    </xf>
    <xf numFmtId="14" fontId="70" fillId="34" borderId="0" xfId="0" applyNumberFormat="1" applyFont="1" applyFill="1" applyProtection="1">
      <protection locked="0"/>
    </xf>
    <xf numFmtId="14" fontId="74" fillId="34" borderId="13" xfId="0" applyNumberFormat="1" applyFont="1" applyFill="1" applyBorder="1" applyProtection="1">
      <protection locked="0"/>
    </xf>
    <xf numFmtId="14" fontId="76" fillId="34" borderId="0" xfId="28" applyNumberFormat="1" applyFont="1" applyFill="1" applyProtection="1">
      <protection locked="0"/>
    </xf>
    <xf numFmtId="14" fontId="76" fillId="34" borderId="14" xfId="28" applyNumberFormat="1" applyFont="1" applyFill="1" applyBorder="1" applyProtection="1">
      <protection locked="0"/>
    </xf>
    <xf numFmtId="14" fontId="74" fillId="34" borderId="14" xfId="0" applyNumberFormat="1" applyFont="1" applyFill="1" applyBorder="1" applyProtection="1">
      <protection locked="0"/>
    </xf>
    <xf numFmtId="14" fontId="74" fillId="34" borderId="0" xfId="0" applyNumberFormat="1" applyFont="1" applyFill="1" applyProtection="1">
      <protection locked="0"/>
    </xf>
    <xf numFmtId="0" fontId="74" fillId="34" borderId="0" xfId="0" applyFont="1" applyFill="1" applyProtection="1">
      <protection locked="0"/>
    </xf>
    <xf numFmtId="0" fontId="74" fillId="34" borderId="13" xfId="0" applyFont="1" applyFill="1" applyBorder="1" applyProtection="1">
      <protection locked="0"/>
    </xf>
    <xf numFmtId="173" fontId="26" fillId="34" borderId="0" xfId="0" applyNumberFormat="1" applyFont="1" applyFill="1" applyProtection="1">
      <protection locked="0"/>
    </xf>
    <xf numFmtId="173" fontId="26" fillId="34" borderId="0" xfId="0" applyNumberFormat="1" applyFont="1" applyFill="1" applyAlignment="1" applyProtection="1">
      <alignment horizontal="right"/>
      <protection locked="0"/>
    </xf>
    <xf numFmtId="173" fontId="26" fillId="34" borderId="14" xfId="0" applyNumberFormat="1" applyFont="1" applyFill="1" applyBorder="1" applyAlignment="1" applyProtection="1">
      <alignment horizontal="right"/>
      <protection locked="0"/>
    </xf>
    <xf numFmtId="0" fontId="74" fillId="34" borderId="14" xfId="0" applyFont="1" applyFill="1" applyBorder="1" applyProtection="1">
      <protection locked="0"/>
    </xf>
    <xf numFmtId="173" fontId="27" fillId="53" borderId="52" xfId="0" applyNumberFormat="1" applyFont="1" applyFill="1" applyBorder="1" applyProtection="1">
      <protection locked="0"/>
    </xf>
    <xf numFmtId="173" fontId="27" fillId="53" borderId="53" xfId="0" applyNumberFormat="1" applyFont="1" applyFill="1" applyBorder="1" applyProtection="1">
      <protection locked="0"/>
    </xf>
    <xf numFmtId="173" fontId="23" fillId="34" borderId="0" xfId="28" applyNumberFormat="1" applyFont="1" applyFill="1" applyProtection="1">
      <protection locked="0"/>
    </xf>
    <xf numFmtId="173" fontId="23" fillId="34" borderId="14" xfId="28" applyNumberFormat="1" applyFont="1" applyFill="1" applyBorder="1" applyProtection="1">
      <protection locked="0"/>
    </xf>
    <xf numFmtId="0" fontId="65" fillId="34" borderId="40" xfId="0" applyFont="1" applyFill="1" applyBorder="1" applyProtection="1">
      <protection locked="0"/>
    </xf>
    <xf numFmtId="0" fontId="65" fillId="34" borderId="22" xfId="0" applyFont="1" applyFill="1" applyBorder="1" applyProtection="1">
      <protection locked="0"/>
    </xf>
    <xf numFmtId="0" fontId="25" fillId="55" borderId="92" xfId="41" applyFont="1" applyFill="1" applyBorder="1" applyAlignment="1" applyProtection="1">
      <alignment wrapText="1"/>
      <protection locked="0"/>
    </xf>
    <xf numFmtId="0" fontId="26" fillId="55" borderId="22" xfId="41" applyFont="1" applyFill="1" applyBorder="1" applyAlignment="1" applyProtection="1">
      <alignment wrapText="1"/>
      <protection locked="0"/>
    </xf>
    <xf numFmtId="1" fontId="26" fillId="55" borderId="22" xfId="29" applyNumberFormat="1" applyFont="1" applyFill="1" applyBorder="1" applyProtection="1">
      <protection locked="0"/>
    </xf>
    <xf numFmtId="1" fontId="26" fillId="34" borderId="23" xfId="29" applyNumberFormat="1" applyFont="1" applyFill="1" applyBorder="1" applyProtection="1">
      <protection locked="0"/>
    </xf>
    <xf numFmtId="174" fontId="69" fillId="54" borderId="102" xfId="0" applyNumberFormat="1" applyFont="1" applyFill="1" applyBorder="1" applyAlignment="1" applyProtection="1">
      <alignment vertical="center"/>
      <protection locked="0"/>
    </xf>
    <xf numFmtId="174" fontId="69" fillId="54" borderId="103" xfId="0" applyNumberFormat="1" applyFont="1" applyFill="1" applyBorder="1" applyAlignment="1" applyProtection="1">
      <alignment vertical="center"/>
      <protection locked="0"/>
    </xf>
    <xf numFmtId="3" fontId="76" fillId="34" borderId="0" xfId="41" applyNumberFormat="1" applyFont="1" applyFill="1" applyAlignment="1" applyProtection="1">
      <alignment wrapText="1"/>
      <protection locked="0"/>
    </xf>
    <xf numFmtId="3" fontId="26" fillId="34" borderId="0" xfId="41" applyNumberFormat="1" applyFont="1" applyFill="1" applyAlignment="1" applyProtection="1">
      <alignment horizontal="center"/>
      <protection locked="0"/>
    </xf>
    <xf numFmtId="3" fontId="26" fillId="34" borderId="14" xfId="41" applyNumberFormat="1" applyFont="1" applyFill="1" applyBorder="1" applyAlignment="1" applyProtection="1">
      <alignment horizontal="center"/>
      <protection locked="0"/>
    </xf>
    <xf numFmtId="0" fontId="71" fillId="34" borderId="13" xfId="0" applyFont="1" applyFill="1" applyBorder="1" applyAlignment="1" applyProtection="1">
      <alignment horizontal="left"/>
      <protection locked="0"/>
    </xf>
    <xf numFmtId="173" fontId="25" fillId="0" borderId="15" xfId="28" applyNumberFormat="1" applyFont="1" applyBorder="1" applyAlignment="1" applyProtection="1">
      <alignment wrapText="1"/>
      <protection locked="0"/>
    </xf>
    <xf numFmtId="173" fontId="25" fillId="55" borderId="22" xfId="28" applyNumberFormat="1" applyFont="1" applyFill="1" applyBorder="1" applyAlignment="1" applyProtection="1">
      <alignment wrapText="1"/>
      <protection locked="0"/>
    </xf>
    <xf numFmtId="0" fontId="70" fillId="34" borderId="0" xfId="0" applyFont="1" applyFill="1" applyAlignment="1" applyProtection="1">
      <alignment wrapText="1"/>
      <protection locked="0"/>
    </xf>
    <xf numFmtId="0" fontId="72" fillId="55" borderId="13" xfId="41" applyFont="1" applyFill="1" applyBorder="1" applyAlignment="1" applyProtection="1">
      <alignment wrapText="1"/>
      <protection locked="0"/>
    </xf>
    <xf numFmtId="0" fontId="70" fillId="34" borderId="13" xfId="0" applyFont="1" applyFill="1" applyBorder="1" applyAlignment="1" applyProtection="1">
      <alignment wrapText="1"/>
      <protection locked="0"/>
    </xf>
    <xf numFmtId="0" fontId="72" fillId="55" borderId="0" xfId="41" applyFont="1" applyFill="1" applyAlignment="1" applyProtection="1">
      <alignment wrapText="1"/>
      <protection locked="0"/>
    </xf>
    <xf numFmtId="0" fontId="72" fillId="55" borderId="40" xfId="41" applyFont="1" applyFill="1" applyBorder="1" applyAlignment="1" applyProtection="1">
      <alignment wrapText="1"/>
      <protection locked="0"/>
    </xf>
    <xf numFmtId="173" fontId="4" fillId="55" borderId="22" xfId="28" applyNumberFormat="1" applyFont="1" applyFill="1" applyBorder="1" applyAlignment="1" applyProtection="1">
      <alignment wrapText="1"/>
      <protection locked="0"/>
    </xf>
    <xf numFmtId="0" fontId="73" fillId="34" borderId="13" xfId="0" applyFont="1" applyFill="1" applyBorder="1" applyAlignment="1" applyProtection="1">
      <alignment wrapText="1"/>
      <protection locked="0"/>
    </xf>
    <xf numFmtId="173" fontId="25" fillId="55" borderId="14" xfId="28" applyNumberFormat="1" applyFont="1" applyFill="1" applyBorder="1" applyAlignment="1" applyProtection="1">
      <alignment wrapText="1"/>
      <protection locked="0"/>
    </xf>
    <xf numFmtId="0" fontId="25" fillId="55" borderId="22" xfId="41" applyFont="1" applyFill="1" applyBorder="1" applyAlignment="1" applyProtection="1">
      <alignment wrapText="1"/>
      <protection locked="0"/>
    </xf>
    <xf numFmtId="173" fontId="27" fillId="57" borderId="94" xfId="0" applyNumberFormat="1" applyFont="1" applyFill="1" applyBorder="1" applyProtection="1">
      <protection locked="0"/>
    </xf>
    <xf numFmtId="173" fontId="27" fillId="57" borderId="95" xfId="0" applyNumberFormat="1" applyFont="1" applyFill="1" applyBorder="1" applyProtection="1">
      <protection locked="0"/>
    </xf>
    <xf numFmtId="3" fontId="76" fillId="34" borderId="12" xfId="41" applyNumberFormat="1" applyFont="1" applyFill="1" applyBorder="1" applyAlignment="1" applyProtection="1">
      <alignment wrapText="1"/>
      <protection locked="0"/>
    </xf>
    <xf numFmtId="3" fontId="26" fillId="34" borderId="12" xfId="41" applyNumberFormat="1" applyFont="1" applyFill="1" applyBorder="1" applyAlignment="1" applyProtection="1">
      <alignment horizontal="center"/>
      <protection locked="0"/>
    </xf>
    <xf numFmtId="3" fontId="26" fillId="34" borderId="25" xfId="41" applyNumberFormat="1" applyFont="1" applyFill="1" applyBorder="1" applyAlignment="1" applyProtection="1">
      <alignment horizontal="center"/>
      <protection locked="0"/>
    </xf>
    <xf numFmtId="173" fontId="25" fillId="0" borderId="0" xfId="28" applyNumberFormat="1" applyFont="1" applyAlignment="1" applyProtection="1">
      <alignment wrapText="1"/>
      <protection locked="0"/>
    </xf>
    <xf numFmtId="173" fontId="79" fillId="34" borderId="15" xfId="0" applyNumberFormat="1" applyFont="1" applyFill="1" applyBorder="1" applyProtection="1">
      <protection locked="0"/>
    </xf>
    <xf numFmtId="173" fontId="79" fillId="34" borderId="73" xfId="0" applyNumberFormat="1" applyFont="1" applyFill="1" applyBorder="1" applyProtection="1">
      <protection locked="0"/>
    </xf>
    <xf numFmtId="0" fontId="73" fillId="34" borderId="15" xfId="52" applyFont="1" applyFill="1" applyBorder="1" applyAlignment="1" applyProtection="1">
      <alignment wrapText="1"/>
      <protection locked="0"/>
    </xf>
    <xf numFmtId="0" fontId="73" fillId="34" borderId="91" xfId="52" applyFont="1" applyFill="1" applyBorder="1" applyAlignment="1" applyProtection="1">
      <alignment wrapText="1"/>
      <protection locked="0"/>
    </xf>
    <xf numFmtId="0" fontId="73" fillId="34" borderId="0" xfId="52" applyFont="1" applyFill="1" applyAlignment="1" applyProtection="1">
      <alignment wrapText="1"/>
      <protection locked="0"/>
    </xf>
    <xf numFmtId="0" fontId="73" fillId="34" borderId="90" xfId="52" applyFont="1" applyFill="1" applyBorder="1" applyAlignment="1" applyProtection="1">
      <alignment wrapText="1"/>
      <protection locked="0"/>
    </xf>
    <xf numFmtId="173" fontId="79" fillId="34" borderId="0" xfId="0" applyNumberFormat="1" applyFont="1" applyFill="1" applyProtection="1">
      <protection locked="0"/>
    </xf>
    <xf numFmtId="173" fontId="79" fillId="34" borderId="14" xfId="0" applyNumberFormat="1" applyFont="1" applyFill="1" applyBorder="1" applyProtection="1">
      <protection locked="0"/>
    </xf>
    <xf numFmtId="173" fontId="80" fillId="34" borderId="0" xfId="28" applyNumberFormat="1" applyFont="1" applyFill="1" applyAlignment="1" applyProtection="1">
      <alignment horizontal="right"/>
      <protection locked="0"/>
    </xf>
    <xf numFmtId="173" fontId="80" fillId="34" borderId="14" xfId="28" applyNumberFormat="1" applyFont="1" applyFill="1" applyBorder="1" applyAlignment="1" applyProtection="1">
      <alignment horizontal="right"/>
      <protection locked="0"/>
    </xf>
    <xf numFmtId="173" fontId="81" fillId="34" borderId="15" xfId="28" applyNumberFormat="1" applyFont="1" applyFill="1" applyBorder="1" applyAlignment="1" applyProtection="1">
      <alignment horizontal="right"/>
      <protection locked="0"/>
    </xf>
    <xf numFmtId="173" fontId="81" fillId="34" borderId="73" xfId="28" applyNumberFormat="1" applyFont="1" applyFill="1" applyBorder="1" applyAlignment="1" applyProtection="1">
      <alignment horizontal="right"/>
      <protection locked="0"/>
    </xf>
    <xf numFmtId="173" fontId="81" fillId="34" borderId="0" xfId="28" applyNumberFormat="1" applyFont="1" applyFill="1" applyAlignment="1" applyProtection="1">
      <alignment horizontal="right"/>
      <protection locked="0"/>
    </xf>
    <xf numFmtId="173" fontId="81" fillId="34" borderId="14" xfId="28" applyNumberFormat="1" applyFont="1" applyFill="1" applyBorder="1" applyAlignment="1" applyProtection="1">
      <alignment horizontal="right"/>
      <protection locked="0"/>
    </xf>
    <xf numFmtId="0" fontId="73" fillId="34" borderId="22" xfId="52" applyFont="1" applyFill="1" applyBorder="1" applyAlignment="1" applyProtection="1">
      <alignment wrapText="1"/>
      <protection locked="0"/>
    </xf>
    <xf numFmtId="173" fontId="4" fillId="0" borderId="22" xfId="28" applyNumberFormat="1" applyFont="1" applyBorder="1" applyProtection="1">
      <protection locked="0"/>
    </xf>
    <xf numFmtId="173" fontId="80" fillId="34" borderId="22" xfId="28" applyNumberFormat="1" applyFont="1" applyFill="1" applyBorder="1" applyAlignment="1" applyProtection="1">
      <alignment horizontal="right"/>
      <protection locked="0"/>
    </xf>
    <xf numFmtId="0" fontId="25" fillId="55" borderId="15" xfId="0" applyFont="1" applyFill="1" applyBorder="1" applyAlignment="1" applyProtection="1">
      <alignment horizontal="left" wrapText="1"/>
      <protection locked="0"/>
    </xf>
    <xf numFmtId="0" fontId="25" fillId="55" borderId="91" xfId="0" applyFont="1" applyFill="1" applyBorder="1" applyAlignment="1" applyProtection="1">
      <alignment horizontal="left" wrapText="1"/>
      <protection locked="0"/>
    </xf>
    <xf numFmtId="0" fontId="25" fillId="55" borderId="0" xfId="0" applyFont="1" applyFill="1" applyAlignment="1" applyProtection="1">
      <alignment horizontal="left" wrapText="1"/>
      <protection locked="0"/>
    </xf>
    <xf numFmtId="0" fontId="25" fillId="55" borderId="90" xfId="0" applyFont="1" applyFill="1" applyBorder="1" applyAlignment="1" applyProtection="1">
      <alignment horizontal="left" wrapText="1"/>
      <protection locked="0"/>
    </xf>
    <xf numFmtId="173" fontId="25" fillId="34" borderId="15" xfId="0" applyNumberFormat="1" applyFont="1" applyFill="1" applyBorder="1" applyProtection="1">
      <protection locked="0"/>
    </xf>
    <xf numFmtId="173" fontId="25" fillId="34" borderId="73" xfId="0" applyNumberFormat="1" applyFont="1" applyFill="1" applyBorder="1" applyProtection="1">
      <protection locked="0"/>
    </xf>
    <xf numFmtId="173" fontId="25" fillId="34" borderId="0" xfId="0" applyNumberFormat="1" applyFont="1" applyFill="1" applyProtection="1">
      <protection locked="0"/>
    </xf>
    <xf numFmtId="173" fontId="25" fillId="34" borderId="14" xfId="0" applyNumberFormat="1" applyFont="1" applyFill="1" applyBorder="1" applyProtection="1">
      <protection locked="0"/>
    </xf>
    <xf numFmtId="173" fontId="80" fillId="34" borderId="23" xfId="28" applyNumberFormat="1" applyFont="1" applyFill="1" applyBorder="1" applyAlignment="1" applyProtection="1">
      <alignment horizontal="right"/>
      <protection locked="0"/>
    </xf>
    <xf numFmtId="0" fontId="79" fillId="34" borderId="0" xfId="41" applyFont="1" applyFill="1" applyAlignment="1" applyProtection="1">
      <alignment wrapText="1"/>
      <protection locked="0"/>
    </xf>
    <xf numFmtId="173" fontId="76" fillId="34" borderId="0" xfId="28" applyNumberFormat="1" applyFont="1" applyFill="1" applyAlignment="1" applyProtection="1">
      <alignment wrapText="1"/>
      <protection locked="0"/>
    </xf>
    <xf numFmtId="173" fontId="76" fillId="34" borderId="0" xfId="28" applyNumberFormat="1" applyFont="1" applyFill="1" applyProtection="1">
      <protection locked="0"/>
    </xf>
    <xf numFmtId="173" fontId="25" fillId="55" borderId="109" xfId="28" applyNumberFormat="1" applyFont="1" applyFill="1" applyBorder="1" applyProtection="1">
      <protection locked="0"/>
    </xf>
    <xf numFmtId="173" fontId="25" fillId="55" borderId="110" xfId="28" applyNumberFormat="1" applyFont="1" applyFill="1" applyBorder="1" applyProtection="1">
      <protection locked="0"/>
    </xf>
    <xf numFmtId="0" fontId="25" fillId="34" borderId="0" xfId="0" applyFont="1" applyFill="1" applyAlignment="1" applyProtection="1">
      <alignment wrapText="1"/>
      <protection locked="0"/>
    </xf>
    <xf numFmtId="0" fontId="26" fillId="34" borderId="0" xfId="0" applyFont="1" applyFill="1" applyAlignment="1" applyProtection="1">
      <alignment wrapText="1"/>
      <protection locked="0"/>
    </xf>
    <xf numFmtId="0" fontId="26" fillId="34" borderId="0" xfId="0" applyFont="1" applyFill="1" applyProtection="1">
      <protection locked="0"/>
    </xf>
    <xf numFmtId="0" fontId="82" fillId="34" borderId="13" xfId="0" applyFont="1" applyFill="1" applyBorder="1" applyProtection="1">
      <protection locked="0"/>
    </xf>
    <xf numFmtId="0" fontId="82" fillId="34" borderId="14" xfId="0" applyFont="1" applyFill="1" applyBorder="1" applyProtection="1">
      <protection locked="0"/>
    </xf>
    <xf numFmtId="0" fontId="82" fillId="34" borderId="0" xfId="0" applyFont="1" applyFill="1" applyAlignment="1" applyProtection="1">
      <alignment wrapText="1"/>
      <protection locked="0"/>
    </xf>
    <xf numFmtId="0" fontId="82" fillId="34" borderId="0" xfId="0" applyFont="1" applyFill="1" applyProtection="1">
      <protection locked="0"/>
    </xf>
    <xf numFmtId="0" fontId="4" fillId="34" borderId="0" xfId="0" applyFont="1" applyFill="1" applyAlignment="1" applyProtection="1">
      <alignment horizontal="right" wrapText="1"/>
      <protection locked="0"/>
    </xf>
    <xf numFmtId="9" fontId="4" fillId="34" borderId="0" xfId="0" applyNumberFormat="1" applyFont="1" applyFill="1" applyAlignment="1" applyProtection="1">
      <alignment horizontal="right"/>
      <protection locked="0"/>
    </xf>
    <xf numFmtId="9" fontId="4" fillId="34" borderId="14" xfId="0" applyNumberFormat="1" applyFont="1" applyFill="1" applyBorder="1" applyAlignment="1" applyProtection="1">
      <alignment horizontal="right"/>
      <protection locked="0"/>
    </xf>
    <xf numFmtId="173" fontId="4" fillId="34" borderId="0" xfId="0" applyNumberFormat="1" applyFont="1" applyFill="1" applyAlignment="1" applyProtection="1">
      <alignment horizontal="right"/>
      <protection locked="0"/>
    </xf>
    <xf numFmtId="173" fontId="4" fillId="34" borderId="14" xfId="0" applyNumberFormat="1" applyFont="1" applyFill="1" applyBorder="1" applyAlignment="1" applyProtection="1">
      <alignment horizontal="right"/>
      <protection locked="0"/>
    </xf>
    <xf numFmtId="173" fontId="4" fillId="34" borderId="0" xfId="0" applyNumberFormat="1" applyFont="1" applyFill="1" applyAlignment="1" applyProtection="1">
      <alignment horizontal="right" wrapText="1"/>
      <protection locked="0"/>
    </xf>
    <xf numFmtId="173" fontId="4" fillId="34" borderId="14" xfId="0" applyNumberFormat="1" applyFont="1" applyFill="1" applyBorder="1" applyAlignment="1" applyProtection="1">
      <alignment horizontal="right" wrapText="1"/>
      <protection locked="0"/>
    </xf>
    <xf numFmtId="173" fontId="4" fillId="34" borderId="22" xfId="0" applyNumberFormat="1" applyFont="1" applyFill="1" applyBorder="1" applyAlignment="1" applyProtection="1">
      <alignment horizontal="right"/>
      <protection locked="0"/>
    </xf>
    <xf numFmtId="173" fontId="4" fillId="34" borderId="23" xfId="0" applyNumberFormat="1" applyFont="1" applyFill="1" applyBorder="1" applyAlignment="1" applyProtection="1">
      <alignment horizontal="right"/>
      <protection locked="0"/>
    </xf>
    <xf numFmtId="0" fontId="65" fillId="34" borderId="22" xfId="0" applyFont="1" applyFill="1" applyBorder="1" applyAlignment="1" applyProtection="1">
      <alignment wrapText="1"/>
      <protection locked="0"/>
    </xf>
    <xf numFmtId="0" fontId="65" fillId="34" borderId="23" xfId="0" applyFont="1" applyFill="1" applyBorder="1" applyProtection="1">
      <protection locked="0"/>
    </xf>
    <xf numFmtId="174" fontId="69" fillId="54" borderId="78" xfId="0" applyNumberFormat="1" applyFont="1" applyFill="1" applyBorder="1" applyAlignment="1" applyProtection="1">
      <alignment vertical="center"/>
    </xf>
    <xf numFmtId="174" fontId="69" fillId="54" borderId="79" xfId="0" applyNumberFormat="1" applyFont="1" applyFill="1" applyBorder="1" applyAlignment="1" applyProtection="1">
      <alignment vertical="center"/>
    </xf>
    <xf numFmtId="173" fontId="70" fillId="34" borderId="0" xfId="0" applyNumberFormat="1" applyFont="1" applyFill="1" applyProtection="1"/>
    <xf numFmtId="173" fontId="70" fillId="34" borderId="14" xfId="0" applyNumberFormat="1" applyFont="1" applyFill="1" applyBorder="1" applyProtection="1"/>
    <xf numFmtId="173" fontId="4" fillId="55" borderId="15" xfId="28" applyNumberFormat="1" applyFont="1" applyFill="1" applyBorder="1" applyAlignment="1" applyProtection="1">
      <alignment wrapText="1"/>
    </xf>
    <xf numFmtId="173" fontId="4" fillId="55" borderId="73" xfId="28" applyNumberFormat="1" applyFont="1" applyFill="1" applyBorder="1" applyAlignment="1" applyProtection="1">
      <alignment wrapText="1"/>
    </xf>
    <xf numFmtId="173" fontId="4" fillId="55" borderId="0" xfId="28" applyNumberFormat="1" applyFont="1" applyFill="1" applyAlignment="1" applyProtection="1">
      <alignment wrapText="1"/>
    </xf>
    <xf numFmtId="173" fontId="4" fillId="55" borderId="14" xfId="28" applyNumberFormat="1" applyFont="1" applyFill="1" applyBorder="1" applyAlignment="1" applyProtection="1">
      <alignment wrapText="1"/>
    </xf>
    <xf numFmtId="173" fontId="27" fillId="53" borderId="94" xfId="0" applyNumberFormat="1" applyFont="1" applyFill="1" applyBorder="1" applyProtection="1"/>
    <xf numFmtId="173" fontId="27" fillId="53" borderId="95" xfId="0" applyNumberFormat="1" applyFont="1" applyFill="1" applyBorder="1" applyProtection="1"/>
    <xf numFmtId="173" fontId="25" fillId="55" borderId="0" xfId="28" applyNumberFormat="1" applyFont="1" applyFill="1" applyProtection="1"/>
    <xf numFmtId="173" fontId="25" fillId="55" borderId="14" xfId="28" applyNumberFormat="1" applyFont="1" applyFill="1" applyBorder="1" applyProtection="1"/>
    <xf numFmtId="173" fontId="27" fillId="53" borderId="97" xfId="0" applyNumberFormat="1" applyFont="1" applyFill="1" applyBorder="1" applyProtection="1"/>
    <xf numFmtId="173" fontId="27" fillId="53" borderId="98" xfId="0" applyNumberFormat="1" applyFont="1" applyFill="1" applyBorder="1" applyProtection="1"/>
    <xf numFmtId="173" fontId="4" fillId="55" borderId="0" xfId="28" applyNumberFormat="1" applyFont="1" applyFill="1" applyProtection="1"/>
    <xf numFmtId="173" fontId="4" fillId="55" borderId="14" xfId="28" applyNumberFormat="1" applyFont="1" applyFill="1" applyBorder="1" applyProtection="1"/>
    <xf numFmtId="173" fontId="4" fillId="0" borderId="0" xfId="28" applyNumberFormat="1" applyFont="1" applyAlignment="1" applyProtection="1">
      <alignment wrapText="1"/>
    </xf>
    <xf numFmtId="173" fontId="4" fillId="0" borderId="14" xfId="28" applyNumberFormat="1" applyFont="1" applyBorder="1" applyAlignment="1" applyProtection="1">
      <alignment wrapText="1"/>
    </xf>
    <xf numFmtId="9" fontId="4" fillId="55" borderId="0" xfId="47" applyFill="1" applyAlignment="1" applyProtection="1">
      <alignment horizontal="right"/>
    </xf>
    <xf numFmtId="9" fontId="4" fillId="55" borderId="14" xfId="47" applyFill="1" applyBorder="1" applyAlignment="1" applyProtection="1">
      <alignment horizontal="right"/>
    </xf>
    <xf numFmtId="173" fontId="26" fillId="34" borderId="0" xfId="0" applyNumberFormat="1" applyFont="1" applyFill="1" applyAlignment="1" applyProtection="1">
      <alignment horizontal="right"/>
    </xf>
    <xf numFmtId="173" fontId="26" fillId="34" borderId="14" xfId="0" applyNumberFormat="1" applyFont="1" applyFill="1" applyBorder="1" applyAlignment="1" applyProtection="1">
      <alignment horizontal="right"/>
    </xf>
    <xf numFmtId="173" fontId="27" fillId="53" borderId="52" xfId="0" applyNumberFormat="1" applyFont="1" applyFill="1" applyBorder="1" applyProtection="1"/>
    <xf numFmtId="173" fontId="27" fillId="53" borderId="53" xfId="0" applyNumberFormat="1" applyFont="1" applyFill="1" applyBorder="1" applyProtection="1"/>
    <xf numFmtId="173" fontId="23" fillId="34" borderId="0" xfId="28" applyNumberFormat="1" applyFont="1" applyFill="1" applyProtection="1"/>
    <xf numFmtId="173" fontId="23" fillId="34" borderId="14" xfId="28" applyNumberFormat="1" applyFont="1" applyFill="1" applyBorder="1" applyProtection="1"/>
    <xf numFmtId="174" fontId="69" fillId="54" borderId="102" xfId="0" applyNumberFormat="1" applyFont="1" applyFill="1" applyBorder="1" applyAlignment="1" applyProtection="1">
      <alignment vertical="center"/>
    </xf>
    <xf numFmtId="174" fontId="69" fillId="54" borderId="103" xfId="0" applyNumberFormat="1" applyFont="1" applyFill="1" applyBorder="1" applyAlignment="1" applyProtection="1">
      <alignment vertical="center"/>
    </xf>
    <xf numFmtId="173" fontId="27" fillId="57" borderId="94" xfId="0" applyNumberFormat="1" applyFont="1" applyFill="1" applyBorder="1" applyProtection="1"/>
    <xf numFmtId="173" fontId="27" fillId="57" borderId="95" xfId="0" applyNumberFormat="1" applyFont="1" applyFill="1" applyBorder="1" applyProtection="1"/>
    <xf numFmtId="173" fontId="79" fillId="34" borderId="15" xfId="0" applyNumberFormat="1" applyFont="1" applyFill="1" applyBorder="1" applyProtection="1"/>
    <xf numFmtId="173" fontId="79" fillId="34" borderId="73" xfId="0" applyNumberFormat="1" applyFont="1" applyFill="1" applyBorder="1" applyProtection="1"/>
    <xf numFmtId="173" fontId="80" fillId="34" borderId="0" xfId="28" applyNumberFormat="1" applyFont="1" applyFill="1" applyAlignment="1" applyProtection="1">
      <alignment horizontal="right"/>
    </xf>
    <xf numFmtId="173" fontId="80" fillId="34" borderId="14" xfId="28" applyNumberFormat="1" applyFont="1" applyFill="1" applyBorder="1" applyAlignment="1" applyProtection="1">
      <alignment horizontal="right"/>
    </xf>
    <xf numFmtId="173" fontId="25" fillId="55" borderId="15" xfId="28" applyNumberFormat="1" applyFont="1" applyFill="1" applyBorder="1" applyProtection="1"/>
    <xf numFmtId="173" fontId="25" fillId="55" borderId="73" xfId="28" applyNumberFormat="1" applyFont="1" applyFill="1" applyBorder="1" applyProtection="1"/>
    <xf numFmtId="173" fontId="25" fillId="34" borderId="15" xfId="0" applyNumberFormat="1" applyFont="1" applyFill="1" applyBorder="1" applyProtection="1"/>
    <xf numFmtId="173" fontId="25" fillId="34" borderId="73" xfId="0" applyNumberFormat="1" applyFont="1" applyFill="1" applyBorder="1" applyProtection="1"/>
    <xf numFmtId="173" fontId="25" fillId="55" borderId="109" xfId="28" applyNumberFormat="1" applyFont="1" applyFill="1" applyBorder="1" applyProtection="1"/>
    <xf numFmtId="173" fontId="25" fillId="55" borderId="110" xfId="28" applyNumberFormat="1" applyFont="1" applyFill="1" applyBorder="1" applyProtection="1"/>
    <xf numFmtId="9" fontId="4" fillId="34" borderId="0" xfId="0" applyNumberFormat="1" applyFont="1" applyFill="1" applyAlignment="1" applyProtection="1">
      <alignment horizontal="right"/>
    </xf>
    <xf numFmtId="9" fontId="4" fillId="34" borderId="14" xfId="0" applyNumberFormat="1" applyFont="1" applyFill="1" applyBorder="1" applyAlignment="1" applyProtection="1">
      <alignment horizontal="right"/>
    </xf>
    <xf numFmtId="173" fontId="4" fillId="34" borderId="0" xfId="0" applyNumberFormat="1" applyFont="1" applyFill="1" applyAlignment="1" applyProtection="1">
      <alignment horizontal="right"/>
    </xf>
    <xf numFmtId="173" fontId="4" fillId="34" borderId="14" xfId="0" applyNumberFormat="1" applyFont="1" applyFill="1" applyBorder="1" applyAlignment="1" applyProtection="1">
      <alignment horizontal="right"/>
    </xf>
    <xf numFmtId="173" fontId="4" fillId="34" borderId="0" xfId="0" applyNumberFormat="1" applyFont="1" applyFill="1" applyAlignment="1" applyProtection="1">
      <alignment horizontal="right" wrapText="1"/>
    </xf>
    <xf numFmtId="173" fontId="4" fillId="34" borderId="14" xfId="0" applyNumberFormat="1" applyFont="1" applyFill="1" applyBorder="1" applyAlignment="1" applyProtection="1">
      <alignment horizontal="right" wrapText="1"/>
    </xf>
    <xf numFmtId="173" fontId="4" fillId="34" borderId="22" xfId="0" applyNumberFormat="1" applyFont="1" applyFill="1" applyBorder="1" applyAlignment="1" applyProtection="1">
      <alignment horizontal="right"/>
    </xf>
    <xf numFmtId="173" fontId="4" fillId="34" borderId="23" xfId="0" applyNumberFormat="1" applyFont="1" applyFill="1" applyBorder="1" applyAlignment="1" applyProtection="1">
      <alignment horizontal="right"/>
    </xf>
    <xf numFmtId="172" fontId="67" fillId="34" borderId="0" xfId="0" applyNumberFormat="1" applyFont="1" applyFill="1" applyProtection="1"/>
    <xf numFmtId="173" fontId="4" fillId="55" borderId="22" xfId="28" applyNumberFormat="1" applyFont="1" applyFill="1" applyBorder="1" applyProtection="1"/>
    <xf numFmtId="173" fontId="4" fillId="55" borderId="23" xfId="28" applyNumberFormat="1" applyFont="1" applyFill="1" applyBorder="1" applyProtection="1"/>
    <xf numFmtId="173" fontId="25" fillId="0" borderId="15" xfId="28" applyNumberFormat="1" applyFont="1" applyBorder="1" applyProtection="1"/>
    <xf numFmtId="43" fontId="73" fillId="34" borderId="0" xfId="0" applyNumberFormat="1" applyFont="1" applyFill="1" applyProtection="1"/>
    <xf numFmtId="173" fontId="25" fillId="55" borderId="22" xfId="28" applyNumberFormat="1" applyFont="1" applyFill="1" applyBorder="1" applyProtection="1"/>
    <xf numFmtId="173" fontId="25" fillId="55" borderId="23" xfId="28" applyNumberFormat="1" applyFont="1" applyFill="1" applyBorder="1" applyProtection="1"/>
    <xf numFmtId="173" fontId="25" fillId="55" borderId="15" xfId="28" applyNumberFormat="1" applyFont="1" applyFill="1" applyBorder="1" applyAlignment="1" applyProtection="1">
      <alignment wrapText="1"/>
    </xf>
    <xf numFmtId="173" fontId="25" fillId="55" borderId="0" xfId="28" applyNumberFormat="1" applyFont="1" applyFill="1" applyAlignment="1" applyProtection="1">
      <alignment wrapText="1"/>
    </xf>
    <xf numFmtId="173" fontId="4" fillId="0" borderId="0" xfId="28" applyNumberFormat="1" applyFont="1" applyProtection="1"/>
    <xf numFmtId="173" fontId="25" fillId="0" borderId="15" xfId="28" applyNumberFormat="1" applyFont="1" applyBorder="1" applyAlignment="1" applyProtection="1">
      <alignment wrapText="1"/>
    </xf>
    <xf numFmtId="173" fontId="25" fillId="55" borderId="22" xfId="28" applyNumberFormat="1" applyFont="1" applyFill="1" applyBorder="1" applyAlignment="1" applyProtection="1">
      <alignment wrapText="1"/>
    </xf>
    <xf numFmtId="173" fontId="4" fillId="55" borderId="22" xfId="28" applyNumberFormat="1" applyFont="1" applyFill="1" applyBorder="1" applyAlignment="1" applyProtection="1">
      <alignment wrapText="1"/>
    </xf>
    <xf numFmtId="173" fontId="25" fillId="55" borderId="14" xfId="28" applyNumberFormat="1" applyFont="1" applyFill="1" applyBorder="1" applyAlignment="1" applyProtection="1">
      <alignment wrapText="1"/>
    </xf>
    <xf numFmtId="173" fontId="25" fillId="0" borderId="0" xfId="28" applyNumberFormat="1" applyFont="1" applyAlignment="1" applyProtection="1">
      <alignment wrapText="1"/>
    </xf>
    <xf numFmtId="173" fontId="79" fillId="34" borderId="0" xfId="0" applyNumberFormat="1" applyFont="1" applyFill="1" applyProtection="1"/>
    <xf numFmtId="173" fontId="79" fillId="34" borderId="14" xfId="0" applyNumberFormat="1" applyFont="1" applyFill="1" applyBorder="1" applyProtection="1"/>
    <xf numFmtId="173" fontId="81" fillId="34" borderId="15" xfId="28" applyNumberFormat="1" applyFont="1" applyFill="1" applyBorder="1" applyAlignment="1" applyProtection="1">
      <alignment horizontal="right"/>
    </xf>
    <xf numFmtId="173" fontId="81" fillId="34" borderId="73" xfId="28" applyNumberFormat="1" applyFont="1" applyFill="1" applyBorder="1" applyAlignment="1" applyProtection="1">
      <alignment horizontal="right"/>
    </xf>
    <xf numFmtId="173" fontId="81" fillId="34" borderId="0" xfId="28" applyNumberFormat="1" applyFont="1" applyFill="1" applyAlignment="1" applyProtection="1">
      <alignment horizontal="right"/>
    </xf>
    <xf numFmtId="173" fontId="81" fillId="34" borderId="14" xfId="28" applyNumberFormat="1" applyFont="1" applyFill="1" applyBorder="1" applyAlignment="1" applyProtection="1">
      <alignment horizontal="right"/>
    </xf>
    <xf numFmtId="173" fontId="4" fillId="0" borderId="22" xfId="28" applyNumberFormat="1" applyFont="1" applyBorder="1" applyProtection="1"/>
    <xf numFmtId="173" fontId="80" fillId="34" borderId="22" xfId="28" applyNumberFormat="1" applyFont="1" applyFill="1" applyBorder="1" applyAlignment="1" applyProtection="1">
      <alignment horizontal="right"/>
    </xf>
    <xf numFmtId="173" fontId="25" fillId="34" borderId="0" xfId="0" applyNumberFormat="1" applyFont="1" applyFill="1" applyProtection="1"/>
    <xf numFmtId="173" fontId="25" fillId="34" borderId="14" xfId="0" applyNumberFormat="1" applyFont="1" applyFill="1" applyBorder="1" applyProtection="1"/>
    <xf numFmtId="173" fontId="80" fillId="34" borderId="23" xfId="28" applyNumberFormat="1" applyFont="1" applyFill="1" applyBorder="1" applyAlignment="1" applyProtection="1">
      <alignment horizontal="right"/>
    </xf>
    <xf numFmtId="0" fontId="40" fillId="27" borderId="11" xfId="43" applyFont="1" applyFill="1" applyBorder="1" applyAlignment="1" applyProtection="1">
      <alignment vertical="center" wrapText="1"/>
    </xf>
    <xf numFmtId="0" fontId="34" fillId="33" borderId="11" xfId="43" applyFont="1" applyFill="1" applyBorder="1" applyAlignment="1" applyProtection="1">
      <alignment vertical="center" wrapText="1"/>
      <protection locked="0"/>
    </xf>
    <xf numFmtId="0" fontId="34" fillId="0" borderId="0" xfId="43" applyFont="1" applyAlignment="1" applyProtection="1">
      <alignment vertical="center" wrapText="1"/>
    </xf>
    <xf numFmtId="0" fontId="34" fillId="34" borderId="0" xfId="43" applyFont="1" applyFill="1" applyAlignment="1" applyProtection="1">
      <alignment vertical="center" wrapText="1"/>
    </xf>
    <xf numFmtId="0" fontId="4" fillId="0" borderId="0" xfId="43" applyAlignment="1" applyProtection="1">
      <alignment vertical="center"/>
    </xf>
    <xf numFmtId="0" fontId="34" fillId="0" borderId="0" xfId="43" applyFont="1" applyAlignment="1" applyProtection="1">
      <alignment vertical="center" wrapText="1"/>
      <protection locked="0"/>
    </xf>
    <xf numFmtId="0" fontId="46" fillId="41" borderId="11" xfId="43" applyFont="1" applyFill="1" applyBorder="1" applyAlignment="1" applyProtection="1">
      <alignment vertical="center" wrapText="1"/>
    </xf>
    <xf numFmtId="0" fontId="46" fillId="41" borderId="11" xfId="43" applyFont="1" applyFill="1" applyBorder="1" applyAlignment="1" applyProtection="1">
      <alignment horizontal="center" vertical="center" wrapText="1"/>
      <protection locked="0"/>
    </xf>
    <xf numFmtId="0" fontId="29" fillId="33" borderId="11" xfId="43" applyFont="1" applyFill="1" applyBorder="1" applyAlignment="1" applyProtection="1">
      <alignment horizontal="center" vertical="center" wrapText="1"/>
      <protection locked="0"/>
    </xf>
    <xf numFmtId="17" fontId="46" fillId="41" borderId="11" xfId="43" applyNumberFormat="1" applyFont="1" applyFill="1" applyBorder="1" applyAlignment="1" applyProtection="1">
      <alignment vertical="center" wrapText="1"/>
    </xf>
    <xf numFmtId="0" fontId="34" fillId="20" borderId="11" xfId="43" applyFont="1" applyFill="1" applyBorder="1" applyAlignment="1" applyProtection="1">
      <alignment vertical="center" wrapText="1"/>
    </xf>
    <xf numFmtId="0" fontId="35" fillId="27" borderId="11" xfId="43" applyFont="1" applyFill="1" applyBorder="1" applyAlignment="1" applyProtection="1">
      <alignment vertical="center" wrapText="1"/>
    </xf>
    <xf numFmtId="0" fontId="34" fillId="34" borderId="11" xfId="43" applyFont="1" applyFill="1" applyBorder="1" applyAlignment="1" applyProtection="1">
      <alignment vertical="center" wrapText="1"/>
    </xf>
    <xf numFmtId="0" fontId="34" fillId="35" borderId="11" xfId="43" applyFont="1" applyFill="1" applyBorder="1" applyAlignment="1" applyProtection="1">
      <alignment vertical="center" wrapText="1"/>
    </xf>
    <xf numFmtId="0" fontId="34" fillId="34" borderId="0" xfId="43" applyFont="1" applyFill="1" applyAlignment="1" applyProtection="1">
      <alignment vertical="center"/>
    </xf>
    <xf numFmtId="0" fontId="34" fillId="34" borderId="11" xfId="43" applyFont="1" applyFill="1" applyBorder="1" applyAlignment="1" applyProtection="1">
      <alignment horizontal="right" vertical="center" wrapText="1"/>
    </xf>
    <xf numFmtId="0" fontId="34" fillId="35" borderId="11" xfId="43" applyFont="1" applyFill="1" applyBorder="1" applyAlignment="1" applyProtection="1">
      <alignment horizontal="right" vertical="center" wrapText="1"/>
    </xf>
    <xf numFmtId="0" fontId="34" fillId="34" borderId="0" xfId="0" applyFont="1" applyFill="1" applyAlignment="1" applyProtection="1">
      <alignment vertical="center" wrapText="1"/>
    </xf>
    <xf numFmtId="0" fontId="48" fillId="27" borderId="11" xfId="43" applyFont="1" applyFill="1" applyBorder="1" applyAlignment="1" applyProtection="1">
      <alignment vertical="center" wrapText="1"/>
    </xf>
    <xf numFmtId="0" fontId="34" fillId="0" borderId="11" xfId="43" applyFont="1" applyBorder="1" applyAlignment="1" applyProtection="1">
      <alignment vertical="center" wrapText="1"/>
    </xf>
    <xf numFmtId="0" fontId="34" fillId="34" borderId="43" xfId="43" applyFont="1" applyFill="1" applyBorder="1" applyAlignment="1" applyProtection="1">
      <alignment horizontal="center" vertical="center" wrapText="1"/>
    </xf>
    <xf numFmtId="0" fontId="98" fillId="7" borderId="123" xfId="44" applyFont="1" applyFill="1" applyBorder="1" applyAlignment="1" applyProtection="1">
      <alignment vertical="center"/>
      <protection locked="0"/>
    </xf>
    <xf numFmtId="0" fontId="98" fillId="7" borderId="126" xfId="44" applyFont="1" applyFill="1" applyBorder="1" applyAlignment="1" applyProtection="1">
      <alignment vertical="center"/>
      <protection locked="0"/>
    </xf>
    <xf numFmtId="2" fontId="99" fillId="0" borderId="116" xfId="0" applyNumberFormat="1" applyFont="1" applyBorder="1" applyAlignment="1" applyProtection="1">
      <alignment vertical="center" wrapText="1"/>
    </xf>
    <xf numFmtId="2" fontId="99" fillId="0" borderId="10" xfId="0" applyNumberFormat="1" applyFont="1" applyBorder="1" applyAlignment="1" applyProtection="1">
      <alignment horizontal="left" vertical="center" wrapText="1"/>
    </xf>
    <xf numFmtId="2" fontId="100" fillId="40" borderId="18" xfId="0" applyNumberFormat="1" applyFont="1" applyFill="1" applyBorder="1" applyAlignment="1" applyProtection="1">
      <alignment vertical="center" wrapText="1"/>
    </xf>
    <xf numFmtId="2" fontId="100" fillId="20" borderId="11" xfId="0" applyNumberFormat="1" applyFont="1" applyFill="1" applyBorder="1" applyAlignment="1" applyProtection="1">
      <alignment vertical="center" wrapText="1"/>
    </xf>
    <xf numFmtId="2" fontId="99" fillId="0" borderId="11" xfId="0" applyNumberFormat="1" applyFont="1" applyFill="1" applyBorder="1" applyAlignment="1" applyProtection="1">
      <alignment vertical="center" wrapText="1"/>
    </xf>
    <xf numFmtId="2" fontId="98" fillId="60" borderId="11" xfId="0" applyNumberFormat="1" applyFont="1" applyFill="1" applyBorder="1" applyAlignment="1" applyProtection="1">
      <alignment vertical="center" wrapText="1"/>
    </xf>
    <xf numFmtId="2" fontId="101" fillId="24" borderId="11" xfId="0" applyNumberFormat="1" applyFont="1" applyFill="1" applyBorder="1" applyAlignment="1" applyProtection="1">
      <alignment vertical="center" wrapText="1"/>
    </xf>
    <xf numFmtId="2" fontId="99" fillId="0" borderId="11" xfId="0" applyNumberFormat="1" applyFont="1" applyBorder="1" applyAlignment="1" applyProtection="1">
      <alignment vertical="center" wrapText="1"/>
    </xf>
    <xf numFmtId="2" fontId="100" fillId="60" borderId="11" xfId="0" applyNumberFormat="1" applyFont="1" applyFill="1" applyBorder="1" applyAlignment="1" applyProtection="1">
      <alignment vertical="center" wrapText="1"/>
    </xf>
    <xf numFmtId="2" fontId="99" fillId="0" borderId="11" xfId="0" applyNumberFormat="1" applyFont="1" applyBorder="1" applyAlignment="1" applyProtection="1">
      <alignment horizontal="left" vertical="center" wrapText="1"/>
    </xf>
    <xf numFmtId="2" fontId="100" fillId="40" borderId="11" xfId="0" applyNumberFormat="1" applyFont="1" applyFill="1" applyBorder="1" applyAlignment="1" applyProtection="1">
      <alignment horizontal="left" vertical="center" wrapText="1"/>
    </xf>
    <xf numFmtId="2" fontId="99" fillId="24" borderId="11" xfId="0" applyNumberFormat="1" applyFont="1" applyFill="1" applyBorder="1" applyAlignment="1" applyProtection="1">
      <alignment vertical="center" wrapText="1"/>
    </xf>
    <xf numFmtId="2" fontId="100" fillId="20" borderId="11" xfId="0" applyNumberFormat="1" applyFont="1" applyFill="1" applyBorder="1" applyAlignment="1" applyProtection="1">
      <alignment vertical="center"/>
    </xf>
    <xf numFmtId="2" fontId="99" fillId="24" borderId="116" xfId="0" applyNumberFormat="1" applyFont="1" applyFill="1" applyBorder="1" applyAlignment="1" applyProtection="1">
      <alignment vertical="center"/>
    </xf>
    <xf numFmtId="0" fontId="99" fillId="0" borderId="10" xfId="0" applyFont="1" applyBorder="1" applyAlignment="1" applyProtection="1">
      <alignment vertical="center" wrapText="1"/>
    </xf>
    <xf numFmtId="0" fontId="100" fillId="40" borderId="10" xfId="0" applyFont="1" applyFill="1" applyBorder="1" applyAlignment="1" applyProtection="1">
      <alignment vertical="center" wrapText="1"/>
    </xf>
    <xf numFmtId="0" fontId="101" fillId="45" borderId="10" xfId="0" applyFont="1" applyFill="1" applyBorder="1" applyAlignment="1" applyProtection="1">
      <alignment vertical="center" wrapText="1"/>
    </xf>
    <xf numFmtId="0" fontId="99" fillId="0" borderId="10" xfId="0" applyFont="1" applyBorder="1" applyAlignment="1" applyProtection="1">
      <alignment horizontal="left" vertical="center" wrapText="1"/>
    </xf>
    <xf numFmtId="0" fontId="100" fillId="63" borderId="10" xfId="0" applyFont="1" applyFill="1" applyBorder="1" applyAlignment="1" applyProtection="1">
      <alignment vertical="center" wrapText="1"/>
    </xf>
    <xf numFmtId="0" fontId="99" fillId="0" borderId="10" xfId="0" applyFont="1" applyFill="1" applyBorder="1" applyAlignment="1" applyProtection="1">
      <alignment vertical="center" wrapText="1"/>
    </xf>
    <xf numFmtId="0" fontId="99" fillId="45" borderId="10" xfId="0" applyFont="1" applyFill="1" applyBorder="1" applyAlignment="1" applyProtection="1">
      <alignment vertical="center" wrapText="1"/>
    </xf>
    <xf numFmtId="0" fontId="100" fillId="61" borderId="10" xfId="0" applyFont="1" applyFill="1" applyBorder="1" applyAlignment="1" applyProtection="1">
      <alignment vertical="center" wrapText="1"/>
    </xf>
    <xf numFmtId="0" fontId="99" fillId="45" borderId="10" xfId="0" applyFont="1" applyFill="1" applyBorder="1" applyAlignment="1" applyProtection="1">
      <alignment horizontal="left" vertical="center" wrapText="1"/>
    </xf>
    <xf numFmtId="0" fontId="99" fillId="24" borderId="10" xfId="0" applyFont="1" applyFill="1" applyBorder="1" applyAlignment="1" applyProtection="1">
      <alignment horizontal="left" vertical="center" wrapText="1"/>
    </xf>
    <xf numFmtId="0" fontId="100" fillId="63" borderId="10" xfId="0" applyFont="1" applyFill="1" applyBorder="1" applyAlignment="1" applyProtection="1">
      <alignment horizontal="left" vertical="center" wrapText="1"/>
    </xf>
    <xf numFmtId="0" fontId="99" fillId="0" borderId="10" xfId="0" applyFont="1" applyFill="1" applyBorder="1" applyAlignment="1" applyProtection="1">
      <alignment horizontal="left" vertical="center" wrapText="1"/>
    </xf>
    <xf numFmtId="0" fontId="99" fillId="62" borderId="10" xfId="0" applyFont="1" applyFill="1" applyBorder="1" applyAlignment="1" applyProtection="1">
      <alignment horizontal="left" vertical="center" wrapText="1"/>
    </xf>
    <xf numFmtId="0" fontId="99" fillId="62" borderId="10" xfId="0" applyFont="1" applyFill="1" applyBorder="1" applyAlignment="1" applyProtection="1">
      <alignment vertical="center" wrapText="1"/>
    </xf>
    <xf numFmtId="0" fontId="99" fillId="0" borderId="10" xfId="0" applyFont="1" applyBorder="1" applyAlignment="1" applyProtection="1">
      <alignment vertical="center"/>
    </xf>
    <xf numFmtId="164" fontId="99" fillId="0" borderId="10" xfId="30" applyFont="1" applyFill="1" applyBorder="1" applyAlignment="1" applyProtection="1">
      <alignment vertical="center"/>
    </xf>
    <xf numFmtId="164" fontId="100" fillId="0" borderId="10" xfId="30" applyFont="1" applyFill="1" applyBorder="1" applyAlignment="1" applyProtection="1">
      <alignment vertical="center"/>
    </xf>
    <xf numFmtId="164" fontId="100" fillId="0" borderId="10" xfId="30" applyFont="1" applyFill="1" applyBorder="1" applyAlignment="1" applyProtection="1">
      <alignment vertical="center" wrapText="1"/>
    </xf>
    <xf numFmtId="0" fontId="99" fillId="0" borderId="0" xfId="0" applyFont="1" applyBorder="1" applyAlignment="1" applyProtection="1">
      <alignment vertical="center"/>
    </xf>
    <xf numFmtId="0" fontId="102" fillId="7" borderId="124" xfId="44" applyFont="1" applyFill="1" applyBorder="1" applyAlignment="1" applyProtection="1">
      <alignment vertical="center"/>
      <protection locked="0"/>
    </xf>
    <xf numFmtId="0" fontId="103" fillId="7" borderId="125" xfId="44" applyFont="1" applyFill="1" applyBorder="1" applyAlignment="1" applyProtection="1">
      <alignment horizontal="right" vertical="center"/>
      <protection locked="0"/>
    </xf>
    <xf numFmtId="0" fontId="94" fillId="0" borderId="0" xfId="0" applyFont="1" applyBorder="1" applyAlignment="1" applyProtection="1">
      <alignment vertical="center"/>
    </xf>
    <xf numFmtId="0" fontId="102" fillId="7" borderId="43" xfId="44" applyFont="1" applyFill="1" applyBorder="1" applyAlignment="1" applyProtection="1">
      <alignment vertical="center"/>
      <protection locked="0"/>
    </xf>
    <xf numFmtId="0" fontId="102" fillId="7" borderId="127" xfId="44" applyFont="1" applyFill="1" applyBorder="1" applyAlignment="1" applyProtection="1">
      <alignment vertical="center"/>
      <protection locked="0"/>
    </xf>
    <xf numFmtId="0" fontId="102" fillId="7" borderId="122" xfId="44" applyFont="1" applyFill="1" applyBorder="1" applyAlignment="1" applyProtection="1">
      <alignment horizontal="center" vertical="center"/>
    </xf>
    <xf numFmtId="177" fontId="104" fillId="47" borderId="118" xfId="0" applyNumberFormat="1" applyFont="1" applyFill="1" applyBorder="1" applyAlignment="1" applyProtection="1">
      <alignment horizontal="center" vertical="center"/>
    </xf>
    <xf numFmtId="0" fontId="104" fillId="47" borderId="118" xfId="0" applyFont="1" applyFill="1" applyBorder="1" applyAlignment="1" applyProtection="1">
      <alignment horizontal="center" vertical="center"/>
    </xf>
    <xf numFmtId="0" fontId="104" fillId="47" borderId="119" xfId="0" applyFont="1" applyFill="1" applyBorder="1" applyAlignment="1" applyProtection="1">
      <alignment horizontal="center" vertical="center"/>
    </xf>
    <xf numFmtId="0" fontId="104" fillId="47" borderId="121" xfId="0" applyFont="1" applyFill="1" applyBorder="1" applyAlignment="1" applyProtection="1">
      <alignment horizontal="center" vertical="center"/>
    </xf>
    <xf numFmtId="175" fontId="104" fillId="47" borderId="121" xfId="0" applyNumberFormat="1" applyFont="1" applyFill="1" applyBorder="1" applyAlignment="1" applyProtection="1">
      <alignment horizontal="center" vertical="center"/>
      <protection locked="0"/>
    </xf>
    <xf numFmtId="0" fontId="104" fillId="47" borderId="60" xfId="0" applyFont="1" applyFill="1" applyBorder="1" applyAlignment="1" applyProtection="1">
      <alignment horizontal="center" vertical="center"/>
    </xf>
    <xf numFmtId="2" fontId="94" fillId="0" borderId="116" xfId="30" applyNumberFormat="1" applyFont="1" applyFill="1" applyBorder="1" applyAlignment="1" applyProtection="1">
      <alignment horizontal="right" vertical="center"/>
    </xf>
    <xf numFmtId="0" fontId="60" fillId="0" borderId="0" xfId="0" applyFont="1" applyFill="1" applyBorder="1" applyAlignment="1" applyProtection="1">
      <alignment horizontal="left" vertical="center"/>
    </xf>
    <xf numFmtId="2" fontId="94" fillId="0" borderId="10" xfId="30" applyNumberFormat="1" applyFont="1" applyFill="1" applyBorder="1" applyAlignment="1" applyProtection="1">
      <alignment horizontal="right" vertical="center"/>
    </xf>
    <xf numFmtId="0" fontId="94" fillId="0" borderId="0" xfId="0" applyFont="1" applyFill="1" applyBorder="1" applyAlignment="1" applyProtection="1">
      <alignment horizontal="left" vertical="center"/>
    </xf>
    <xf numFmtId="2" fontId="104" fillId="40" borderId="18" xfId="30" applyNumberFormat="1" applyFont="1" applyFill="1" applyBorder="1" applyAlignment="1" applyProtection="1">
      <alignment horizontal="right" vertical="center"/>
    </xf>
    <xf numFmtId="2" fontId="94" fillId="47" borderId="18" xfId="30" applyNumberFormat="1" applyFont="1" applyFill="1" applyBorder="1" applyAlignment="1" applyProtection="1">
      <alignment horizontal="right" vertical="center"/>
    </xf>
    <xf numFmtId="0" fontId="94" fillId="47" borderId="0" xfId="0" applyFont="1" applyFill="1" applyBorder="1" applyAlignment="1" applyProtection="1">
      <alignment horizontal="left" vertical="center"/>
    </xf>
    <xf numFmtId="2" fontId="104" fillId="20" borderId="11" xfId="30" applyNumberFormat="1" applyFont="1" applyFill="1" applyBorder="1" applyAlignment="1" applyProtection="1">
      <alignment horizontal="right" vertical="center"/>
    </xf>
    <xf numFmtId="0" fontId="104" fillId="20" borderId="11" xfId="30" applyNumberFormat="1" applyFont="1" applyFill="1" applyBorder="1" applyAlignment="1" applyProtection="1">
      <alignment horizontal="left" vertical="center" wrapText="1"/>
      <protection locked="0"/>
    </xf>
    <xf numFmtId="2" fontId="94" fillId="0" borderId="11" xfId="30" applyNumberFormat="1" applyFont="1" applyFill="1" applyBorder="1" applyAlignment="1" applyProtection="1">
      <alignment horizontal="right" vertical="center"/>
    </xf>
    <xf numFmtId="2" fontId="102" fillId="60" borderId="11" xfId="30" applyNumberFormat="1" applyFont="1" applyFill="1" applyBorder="1" applyAlignment="1" applyProtection="1">
      <alignment horizontal="right" vertical="center"/>
    </xf>
    <xf numFmtId="0" fontId="94" fillId="0" borderId="0" xfId="0" applyFont="1" applyFill="1" applyBorder="1" applyAlignment="1" applyProtection="1">
      <alignment vertical="center"/>
    </xf>
    <xf numFmtId="2" fontId="104" fillId="60" borderId="11" xfId="30" applyNumberFormat="1" applyFont="1" applyFill="1" applyBorder="1" applyAlignment="1" applyProtection="1">
      <alignment horizontal="right" vertical="center"/>
    </xf>
    <xf numFmtId="165" fontId="94" fillId="0" borderId="0" xfId="0" applyNumberFormat="1" applyFont="1" applyBorder="1" applyAlignment="1" applyProtection="1">
      <alignment vertical="center"/>
    </xf>
    <xf numFmtId="2" fontId="104" fillId="40" borderId="11" xfId="30" applyNumberFormat="1" applyFont="1" applyFill="1" applyBorder="1" applyAlignment="1" applyProtection="1">
      <alignment horizontal="right" vertical="center"/>
    </xf>
    <xf numFmtId="2" fontId="94" fillId="0" borderId="0" xfId="0" applyNumberFormat="1" applyFont="1" applyBorder="1" applyAlignment="1" applyProtection="1">
      <alignment vertical="center"/>
    </xf>
    <xf numFmtId="2" fontId="94" fillId="59" borderId="11" xfId="30" applyNumberFormat="1" applyFont="1" applyFill="1" applyBorder="1" applyAlignment="1" applyProtection="1">
      <alignment horizontal="right" vertical="center"/>
    </xf>
    <xf numFmtId="0" fontId="94" fillId="59" borderId="0" xfId="0" applyFont="1" applyFill="1" applyBorder="1" applyAlignment="1" applyProtection="1">
      <alignment vertical="center"/>
    </xf>
    <xf numFmtId="2" fontId="104" fillId="20" borderId="11" xfId="0" applyNumberFormat="1" applyFont="1" applyFill="1" applyBorder="1" applyAlignment="1" applyProtection="1">
      <alignment horizontal="right" vertical="center"/>
    </xf>
    <xf numFmtId="2" fontId="104" fillId="0" borderId="11" xfId="30" applyNumberFormat="1" applyFont="1" applyFill="1" applyBorder="1" applyAlignment="1" applyProtection="1">
      <alignment horizontal="right" vertical="center"/>
    </xf>
    <xf numFmtId="166" fontId="94" fillId="0" borderId="0" xfId="0" applyNumberFormat="1" applyFont="1" applyBorder="1" applyAlignment="1" applyProtection="1">
      <alignment vertical="center"/>
    </xf>
    <xf numFmtId="2" fontId="94" fillId="24" borderId="116" xfId="0" applyNumberFormat="1" applyFont="1" applyFill="1" applyBorder="1" applyAlignment="1" applyProtection="1">
      <alignment horizontal="center" vertical="center"/>
    </xf>
    <xf numFmtId="2" fontId="94" fillId="24" borderId="116" xfId="30" applyNumberFormat="1" applyFont="1" applyFill="1" applyBorder="1" applyAlignment="1" applyProtection="1">
      <alignment horizontal="center" vertical="center"/>
    </xf>
    <xf numFmtId="0" fontId="94" fillId="24" borderId="0" xfId="0" applyFont="1" applyFill="1" applyBorder="1" applyAlignment="1" applyProtection="1">
      <alignment vertical="center"/>
    </xf>
    <xf numFmtId="0" fontId="102" fillId="20" borderId="10" xfId="0" applyFont="1" applyFill="1" applyBorder="1" applyAlignment="1" applyProtection="1">
      <alignment horizontal="center" vertical="center"/>
    </xf>
    <xf numFmtId="0" fontId="104" fillId="0" borderId="0" xfId="0" applyFont="1" applyBorder="1" applyAlignment="1" applyProtection="1">
      <alignment vertical="center"/>
    </xf>
    <xf numFmtId="175" fontId="104" fillId="0" borderId="10" xfId="0" applyNumberFormat="1" applyFont="1" applyBorder="1" applyAlignment="1" applyProtection="1">
      <alignment horizontal="center" vertical="center"/>
      <protection locked="0"/>
    </xf>
    <xf numFmtId="2" fontId="104" fillId="40" borderId="10" xfId="30" applyNumberFormat="1" applyFont="1" applyFill="1" applyBorder="1" applyAlignment="1" applyProtection="1">
      <alignment horizontal="right" vertical="center"/>
    </xf>
    <xf numFmtId="2" fontId="94" fillId="47" borderId="10" xfId="30" applyNumberFormat="1" applyFont="1" applyFill="1" applyBorder="1" applyAlignment="1" applyProtection="1">
      <alignment horizontal="right" vertical="center"/>
    </xf>
    <xf numFmtId="4" fontId="94" fillId="0" borderId="0" xfId="0" applyNumberFormat="1" applyFont="1" applyBorder="1" applyAlignment="1" applyProtection="1">
      <alignment vertical="center"/>
    </xf>
    <xf numFmtId="2" fontId="103" fillId="45" borderId="10" xfId="30" applyNumberFormat="1" applyFont="1" applyFill="1" applyBorder="1" applyAlignment="1" applyProtection="1">
      <alignment horizontal="right" vertical="center"/>
    </xf>
    <xf numFmtId="2" fontId="94" fillId="31" borderId="10" xfId="30" applyNumberFormat="1" applyFont="1" applyFill="1" applyBorder="1" applyAlignment="1" applyProtection="1">
      <alignment horizontal="right" vertical="center"/>
    </xf>
    <xf numFmtId="2" fontId="104" fillId="63" borderId="10" xfId="30" applyNumberFormat="1" applyFont="1" applyFill="1" applyBorder="1" applyAlignment="1" applyProtection="1">
      <alignment horizontal="right" vertical="center"/>
    </xf>
    <xf numFmtId="2" fontId="104" fillId="47" borderId="10" xfId="30" applyNumberFormat="1" applyFont="1" applyFill="1" applyBorder="1" applyAlignment="1" applyProtection="1">
      <alignment horizontal="right" vertical="center"/>
    </xf>
    <xf numFmtId="2" fontId="94" fillId="45" borderId="10" xfId="30" applyNumberFormat="1" applyFont="1" applyFill="1" applyBorder="1" applyAlignment="1" applyProtection="1">
      <alignment horizontal="right" vertical="center"/>
    </xf>
    <xf numFmtId="2" fontId="104" fillId="61" borderId="10" xfId="30" applyNumberFormat="1" applyFont="1" applyFill="1" applyBorder="1" applyAlignment="1" applyProtection="1">
      <alignment horizontal="right" vertical="center"/>
    </xf>
    <xf numFmtId="2" fontId="94" fillId="35" borderId="10" xfId="30" applyNumberFormat="1" applyFont="1" applyFill="1" applyBorder="1" applyAlignment="1" applyProtection="1">
      <alignment horizontal="right" vertical="center"/>
    </xf>
    <xf numFmtId="2" fontId="94" fillId="62" borderId="10" xfId="30" applyNumberFormat="1" applyFont="1" applyFill="1" applyBorder="1" applyAlignment="1" applyProtection="1">
      <alignment horizontal="right" vertical="center"/>
    </xf>
    <xf numFmtId="2" fontId="94" fillId="62" borderId="10" xfId="0" applyNumberFormat="1" applyFont="1" applyFill="1" applyBorder="1" applyAlignment="1" applyProtection="1">
      <alignment horizontal="right" vertical="center"/>
    </xf>
    <xf numFmtId="2" fontId="104" fillId="61" borderId="10" xfId="0" applyNumberFormat="1" applyFont="1" applyFill="1" applyBorder="1" applyAlignment="1" applyProtection="1">
      <alignment horizontal="right" vertical="center"/>
    </xf>
    <xf numFmtId="0" fontId="94" fillId="0" borderId="10" xfId="0" applyFont="1" applyBorder="1" applyAlignment="1" applyProtection="1">
      <alignment vertical="center"/>
    </xf>
    <xf numFmtId="164" fontId="94" fillId="31" borderId="10" xfId="30" applyFont="1" applyFill="1" applyBorder="1" applyAlignment="1" applyProtection="1">
      <alignment horizontal="right" vertical="center"/>
    </xf>
    <xf numFmtId="164" fontId="94" fillId="0" borderId="10" xfId="30" applyFont="1" applyFill="1" applyBorder="1" applyAlignment="1" applyProtection="1">
      <alignment vertical="center"/>
    </xf>
    <xf numFmtId="164" fontId="94" fillId="0" borderId="10" xfId="30" applyFont="1" applyFill="1" applyBorder="1" applyAlignment="1" applyProtection="1">
      <alignment horizontal="center" vertical="center"/>
    </xf>
    <xf numFmtId="164" fontId="94" fillId="31" borderId="10" xfId="30" applyFont="1" applyFill="1" applyBorder="1" applyAlignment="1" applyProtection="1">
      <alignment horizontal="center" vertical="center"/>
    </xf>
    <xf numFmtId="164" fontId="94" fillId="31" borderId="10" xfId="30" applyFont="1" applyFill="1" applyBorder="1" applyAlignment="1" applyProtection="1">
      <alignment vertical="center"/>
    </xf>
    <xf numFmtId="164" fontId="104" fillId="31" borderId="10" xfId="30" applyFont="1" applyFill="1" applyBorder="1" applyAlignment="1" applyProtection="1">
      <alignment vertical="center"/>
    </xf>
    <xf numFmtId="164" fontId="104" fillId="0" borderId="10" xfId="30" applyFont="1" applyFill="1" applyBorder="1" applyAlignment="1" applyProtection="1">
      <alignment vertical="center"/>
    </xf>
    <xf numFmtId="164" fontId="104" fillId="31" borderId="10" xfId="30" applyFont="1" applyFill="1" applyBorder="1" applyAlignment="1" applyProtection="1">
      <alignment horizontal="right" vertical="center"/>
    </xf>
    <xf numFmtId="0" fontId="65" fillId="0" borderId="11" xfId="53" applyFont="1" applyBorder="1" applyAlignment="1">
      <alignment vertical="center"/>
    </xf>
    <xf numFmtId="0" fontId="91" fillId="0" borderId="156" xfId="53" applyFont="1" applyBorder="1" applyAlignment="1">
      <alignment vertical="center"/>
    </xf>
    <xf numFmtId="0" fontId="85" fillId="57" borderId="11" xfId="55" applyFont="1" applyFill="1" applyBorder="1" applyAlignment="1">
      <alignment horizontal="center" vertical="center" wrapText="1"/>
    </xf>
    <xf numFmtId="0" fontId="85" fillId="57" borderId="28" xfId="55" applyFont="1" applyFill="1" applyBorder="1" applyAlignment="1">
      <alignment horizontal="center" vertical="center" wrapText="1"/>
    </xf>
    <xf numFmtId="179" fontId="67" fillId="53" borderId="28" xfId="55" applyNumberFormat="1" applyFont="1" applyFill="1" applyBorder="1" applyAlignment="1">
      <alignment horizontal="right" vertical="center" wrapText="1"/>
    </xf>
    <xf numFmtId="170" fontId="67" fillId="53" borderId="11" xfId="56" applyNumberFormat="1" applyFont="1" applyFill="1" applyBorder="1" applyAlignment="1">
      <alignment horizontal="right" vertical="center" wrapText="1"/>
    </xf>
    <xf numFmtId="3" fontId="70" fillId="0" borderId="11" xfId="55" applyNumberFormat="1" applyFont="1" applyBorder="1" applyAlignment="1">
      <alignment horizontal="right" vertical="center" wrapText="1"/>
    </xf>
    <xf numFmtId="3" fontId="70" fillId="0" borderId="11" xfId="56" applyNumberFormat="1" applyFont="1" applyBorder="1" applyAlignment="1">
      <alignment horizontal="right" vertical="center" wrapText="1"/>
    </xf>
    <xf numFmtId="170" fontId="70" fillId="0" borderId="11" xfId="55" applyNumberFormat="1" applyFont="1" applyBorder="1" applyAlignment="1">
      <alignment horizontal="right" vertical="center" wrapText="1"/>
    </xf>
    <xf numFmtId="0" fontId="23" fillId="57" borderId="24" xfId="54" applyFont="1" applyFill="1" applyBorder="1" applyAlignment="1">
      <alignment horizontal="center" vertical="center" wrapText="1"/>
    </xf>
    <xf numFmtId="0" fontId="23" fillId="57" borderId="20" xfId="54" applyFont="1" applyFill="1" applyBorder="1" applyAlignment="1">
      <alignment horizontal="center" vertical="center"/>
    </xf>
    <xf numFmtId="179" fontId="4" fillId="0" borderId="11" xfId="47" applyNumberFormat="1" applyBorder="1" applyAlignment="1">
      <alignment horizontal="right" vertical="center" wrapText="1"/>
    </xf>
    <xf numFmtId="179" fontId="4" fillId="0" borderId="28" xfId="47" applyNumberFormat="1" applyBorder="1" applyAlignment="1">
      <alignment horizontal="right" vertical="center" wrapText="1"/>
    </xf>
    <xf numFmtId="181" fontId="85" fillId="57" borderId="28" xfId="55" applyNumberFormat="1" applyFont="1" applyFill="1" applyBorder="1" applyAlignment="1">
      <alignment horizontal="center" vertical="center" wrapText="1"/>
    </xf>
    <xf numFmtId="181" fontId="85" fillId="57" borderId="11" xfId="55" applyNumberFormat="1" applyFont="1" applyFill="1" applyBorder="1" applyAlignment="1">
      <alignment horizontal="center" vertical="center" wrapText="1"/>
    </xf>
    <xf numFmtId="179" fontId="70" fillId="0" borderId="11" xfId="55" applyNumberFormat="1" applyFont="1" applyBorder="1" applyAlignment="1">
      <alignment horizontal="right" vertical="center" wrapText="1"/>
    </xf>
    <xf numFmtId="0" fontId="28" fillId="0" borderId="10" xfId="0" applyFont="1" applyBorder="1" applyAlignment="1" applyProtection="1">
      <alignment horizontal="left"/>
      <protection locked="0"/>
    </xf>
    <xf numFmtId="0" fontId="28" fillId="0" borderId="10" xfId="0" applyFont="1" applyBorder="1" applyProtection="1">
      <protection locked="0"/>
    </xf>
    <xf numFmtId="167" fontId="29" fillId="20" borderId="10" xfId="28" applyNumberFormat="1" applyFont="1" applyFill="1" applyBorder="1" applyAlignment="1" applyProtection="1">
      <alignment horizontal="left" vertical="top"/>
      <protection locked="0"/>
    </xf>
    <xf numFmtId="0" fontId="29" fillId="0" borderId="18" xfId="0" applyFont="1" applyBorder="1" applyProtection="1">
      <protection locked="0"/>
    </xf>
    <xf numFmtId="1" fontId="28" fillId="0" borderId="18" xfId="0" applyNumberFormat="1" applyFont="1" applyBorder="1" applyProtection="1">
      <protection locked="0"/>
    </xf>
    <xf numFmtId="0" fontId="64" fillId="57" borderId="11" xfId="61" applyFont="1" applyFill="1" applyBorder="1" applyAlignment="1">
      <alignment vertical="center"/>
    </xf>
    <xf numFmtId="3" fontId="4" fillId="0" borderId="11" xfId="61" applyNumberFormat="1" applyBorder="1" applyAlignment="1">
      <alignment horizontal="right"/>
    </xf>
    <xf numFmtId="3" fontId="4" fillId="0" borderId="28" xfId="61" applyNumberFormat="1" applyBorder="1" applyAlignment="1">
      <alignment horizontal="right"/>
    </xf>
    <xf numFmtId="3" fontId="23" fillId="57" borderId="11" xfId="61" applyNumberFormat="1" applyFont="1" applyFill="1" applyBorder="1" applyAlignment="1">
      <alignment horizontal="right"/>
    </xf>
    <xf numFmtId="3" fontId="64" fillId="57" borderId="28" xfId="61" applyNumberFormat="1" applyFont="1" applyFill="1" applyBorder="1" applyAlignment="1">
      <alignment horizontal="right"/>
    </xf>
    <xf numFmtId="0" fontId="23" fillId="57" borderId="17" xfId="61" applyFont="1" applyFill="1" applyBorder="1"/>
    <xf numFmtId="0" fontId="23" fillId="57" borderId="29" xfId="61" applyFont="1" applyFill="1" applyBorder="1"/>
    <xf numFmtId="3" fontId="23" fillId="57" borderId="29" xfId="61" applyNumberFormat="1" applyFont="1" applyFill="1" applyBorder="1" applyAlignment="1">
      <alignment horizontal="right"/>
    </xf>
    <xf numFmtId="3" fontId="23" fillId="57" borderId="32" xfId="61" applyNumberFormat="1" applyFont="1" applyFill="1" applyBorder="1" applyAlignment="1">
      <alignment horizontal="right"/>
    </xf>
    <xf numFmtId="0" fontId="4" fillId="0" borderId="0" xfId="47" applyNumberFormat="1" applyProtection="1">
      <protection locked="0" hidden="1"/>
    </xf>
    <xf numFmtId="0" fontId="67" fillId="57" borderId="41" xfId="57" applyFont="1" applyFill="1" applyBorder="1" applyAlignment="1">
      <alignment horizontal="right" vertical="center"/>
    </xf>
    <xf numFmtId="0" fontId="70" fillId="34" borderId="11" xfId="57" applyFont="1" applyFill="1" applyBorder="1" applyAlignment="1">
      <alignment horizontal="right" vertical="center"/>
    </xf>
    <xf numFmtId="164" fontId="94" fillId="0" borderId="116" xfId="30" applyNumberFormat="1" applyFont="1" applyFill="1" applyBorder="1" applyAlignment="1" applyProtection="1">
      <alignment horizontal="right" vertical="center"/>
      <protection locked="0"/>
    </xf>
    <xf numFmtId="0" fontId="67" fillId="57" borderId="163" xfId="57" applyFont="1" applyFill="1" applyBorder="1" applyAlignment="1">
      <alignment vertical="center"/>
    </xf>
    <xf numFmtId="0" fontId="70" fillId="34" borderId="163" xfId="57" applyFont="1" applyFill="1" applyBorder="1" applyAlignment="1">
      <alignment horizontal="right" vertical="center"/>
    </xf>
    <xf numFmtId="0" fontId="60" fillId="34" borderId="0" xfId="53" applyFont="1" applyFill="1"/>
    <xf numFmtId="0" fontId="61" fillId="34" borderId="0" xfId="53" applyFont="1" applyFill="1"/>
    <xf numFmtId="0" fontId="61" fillId="34" borderId="156" xfId="53" applyFont="1" applyFill="1" applyBorder="1"/>
    <xf numFmtId="0" fontId="60" fillId="34" borderId="0" xfId="53" applyFont="1" applyFill="1" applyAlignment="1">
      <alignment vertical="center"/>
    </xf>
    <xf numFmtId="0" fontId="61" fillId="34" borderId="0" xfId="53" applyFont="1" applyFill="1" applyAlignment="1">
      <alignment vertical="center"/>
    </xf>
    <xf numFmtId="0" fontId="61" fillId="34" borderId="156" xfId="53" applyFont="1" applyFill="1" applyBorder="1" applyAlignment="1">
      <alignment vertical="center"/>
    </xf>
    <xf numFmtId="0" fontId="96" fillId="34" borderId="0" xfId="53" applyFont="1" applyFill="1"/>
    <xf numFmtId="0" fontId="105" fillId="34" borderId="0" xfId="53" applyFont="1" applyFill="1"/>
    <xf numFmtId="0" fontId="105" fillId="34" borderId="156" xfId="53" applyFont="1" applyFill="1" applyBorder="1"/>
    <xf numFmtId="17" fontId="64" fillId="51" borderId="170" xfId="53" applyNumberFormat="1" applyFont="1" applyFill="1" applyBorder="1" applyAlignment="1">
      <alignment horizontal="center" vertical="center" wrapText="1"/>
    </xf>
    <xf numFmtId="0" fontId="64" fillId="51" borderId="163" xfId="53" applyFont="1" applyFill="1" applyBorder="1" applyAlignment="1">
      <alignment horizontal="center" vertical="center" wrapText="1"/>
    </xf>
    <xf numFmtId="0" fontId="64" fillId="51" borderId="164" xfId="53" applyFont="1" applyFill="1" applyBorder="1" applyAlignment="1">
      <alignment horizontal="center" vertical="center" wrapText="1"/>
    </xf>
    <xf numFmtId="17" fontId="64" fillId="51" borderId="170" xfId="53" applyNumberFormat="1" applyFont="1" applyFill="1" applyBorder="1" applyAlignment="1">
      <alignment horizontal="center" vertical="center"/>
    </xf>
    <xf numFmtId="0" fontId="64" fillId="51" borderId="163" xfId="53" applyFont="1" applyFill="1" applyBorder="1" applyAlignment="1">
      <alignment horizontal="center" vertical="center"/>
    </xf>
    <xf numFmtId="17" fontId="64" fillId="51" borderId="31" xfId="53" applyNumberFormat="1" applyFont="1" applyFill="1" applyBorder="1" applyAlignment="1">
      <alignment horizontal="center" vertical="center"/>
    </xf>
    <xf numFmtId="0" fontId="64" fillId="51" borderId="164" xfId="53" applyFont="1" applyFill="1" applyBorder="1" applyAlignment="1">
      <alignment horizontal="center" vertical="center"/>
    </xf>
    <xf numFmtId="0" fontId="61" fillId="34" borderId="169" xfId="53" applyFont="1" applyFill="1" applyBorder="1" applyAlignment="1">
      <alignment vertical="center"/>
    </xf>
    <xf numFmtId="0" fontId="61" fillId="34" borderId="20" xfId="53" applyFont="1" applyFill="1" applyBorder="1" applyAlignment="1">
      <alignment vertical="center"/>
    </xf>
    <xf numFmtId="3" fontId="61" fillId="34" borderId="20" xfId="53" applyNumberFormat="1" applyFont="1" applyFill="1" applyBorder="1" applyAlignment="1">
      <alignment vertical="center"/>
    </xf>
    <xf numFmtId="3" fontId="94" fillId="0" borderId="171" xfId="53" applyNumberFormat="1" applyFont="1" applyBorder="1" applyAlignment="1">
      <alignment vertical="center"/>
    </xf>
    <xf numFmtId="14" fontId="61" fillId="34" borderId="20" xfId="53" applyNumberFormat="1" applyFont="1" applyFill="1" applyBorder="1" applyAlignment="1">
      <alignment vertical="center"/>
    </xf>
    <xf numFmtId="1" fontId="61" fillId="65" borderId="20" xfId="53" applyNumberFormat="1" applyFont="1" applyFill="1" applyBorder="1" applyAlignment="1">
      <alignment vertical="center"/>
    </xf>
    <xf numFmtId="0" fontId="61" fillId="34" borderId="20" xfId="53" applyFont="1" applyFill="1" applyBorder="1" applyAlignment="1">
      <alignment horizontal="center" vertical="center"/>
    </xf>
    <xf numFmtId="0" fontId="61" fillId="65" borderId="20" xfId="53" applyFont="1" applyFill="1" applyBorder="1" applyAlignment="1">
      <alignment vertical="center"/>
    </xf>
    <xf numFmtId="171" fontId="61" fillId="65" borderId="20" xfId="53" applyNumberFormat="1" applyFont="1" applyFill="1" applyBorder="1" applyAlignment="1">
      <alignment vertical="center"/>
    </xf>
    <xf numFmtId="3" fontId="61" fillId="65" borderId="20" xfId="53" applyNumberFormat="1" applyFont="1" applyFill="1" applyBorder="1" applyAlignment="1">
      <alignment vertical="center"/>
    </xf>
    <xf numFmtId="3" fontId="61" fillId="65" borderId="49" xfId="53" applyNumberFormat="1" applyFont="1" applyFill="1" applyBorder="1" applyAlignment="1">
      <alignment vertical="center"/>
    </xf>
    <xf numFmtId="0" fontId="61" fillId="34" borderId="44" xfId="53" applyFont="1" applyFill="1" applyBorder="1" applyAlignment="1">
      <alignment vertical="center"/>
    </xf>
    <xf numFmtId="0" fontId="61" fillId="34" borderId="49" xfId="53" applyFont="1" applyFill="1" applyBorder="1" applyAlignment="1">
      <alignment vertical="center"/>
    </xf>
    <xf numFmtId="3" fontId="61" fillId="34" borderId="49" xfId="53" applyNumberFormat="1" applyFont="1" applyFill="1" applyBorder="1" applyAlignment="1">
      <alignment vertical="center"/>
    </xf>
    <xf numFmtId="3" fontId="94" fillId="0" borderId="0" xfId="53" applyNumberFormat="1" applyFont="1" applyAlignment="1">
      <alignment vertical="center"/>
    </xf>
    <xf numFmtId="14" fontId="61" fillId="34" borderId="49" xfId="53" applyNumberFormat="1" applyFont="1" applyFill="1" applyBorder="1" applyAlignment="1">
      <alignment vertical="center"/>
    </xf>
    <xf numFmtId="0" fontId="61" fillId="34" borderId="49" xfId="53" applyFont="1" applyFill="1" applyBorder="1" applyAlignment="1">
      <alignment horizontal="center" vertical="center"/>
    </xf>
    <xf numFmtId="0" fontId="61" fillId="34" borderId="39" xfId="53" applyFont="1" applyFill="1" applyBorder="1" applyAlignment="1">
      <alignment vertical="center"/>
    </xf>
    <xf numFmtId="3" fontId="0" fillId="57" borderId="172" xfId="0" applyNumberFormat="1" applyFill="1" applyBorder="1" applyAlignment="1">
      <alignment vertical="center"/>
    </xf>
    <xf numFmtId="0" fontId="2" fillId="57" borderId="179" xfId="0" applyFont="1" applyFill="1" applyBorder="1" applyAlignment="1">
      <alignment vertical="center"/>
    </xf>
    <xf numFmtId="0" fontId="2" fillId="57" borderId="172" xfId="0" applyFont="1" applyFill="1" applyBorder="1" applyAlignment="1">
      <alignment vertical="center"/>
    </xf>
    <xf numFmtId="171" fontId="2" fillId="57" borderId="172" xfId="0" applyNumberFormat="1" applyFont="1" applyFill="1" applyBorder="1" applyAlignment="1">
      <alignment vertical="center"/>
    </xf>
    <xf numFmtId="3" fontId="2" fillId="57" borderId="172" xfId="0" applyNumberFormat="1" applyFont="1" applyFill="1" applyBorder="1" applyAlignment="1">
      <alignment vertical="center"/>
    </xf>
    <xf numFmtId="3" fontId="2" fillId="57" borderId="101" xfId="0" applyNumberFormat="1" applyFont="1" applyFill="1" applyBorder="1" applyAlignment="1">
      <alignment vertical="center"/>
    </xf>
    <xf numFmtId="171" fontId="2" fillId="57" borderId="173" xfId="0" applyNumberFormat="1" applyFont="1" applyFill="1" applyBorder="1" applyAlignment="1">
      <alignment vertical="center"/>
    </xf>
    <xf numFmtId="0" fontId="70" fillId="34" borderId="28" xfId="51" applyFont="1" applyFill="1" applyBorder="1" applyAlignment="1">
      <alignment horizontal="right" vertical="center"/>
    </xf>
    <xf numFmtId="0" fontId="23" fillId="57" borderId="11" xfId="61" applyFont="1" applyFill="1" applyBorder="1" applyAlignment="1">
      <alignment horizontal="center" vertical="center" wrapText="1"/>
    </xf>
    <xf numFmtId="0" fontId="87" fillId="48" borderId="160" xfId="54" applyFont="1" applyFill="1" applyBorder="1" applyAlignment="1">
      <alignment horizontal="center" vertical="center"/>
    </xf>
    <xf numFmtId="0" fontId="87" fillId="48" borderId="161" xfId="54" applyFont="1" applyFill="1" applyBorder="1" applyAlignment="1">
      <alignment horizontal="center" vertical="center"/>
    </xf>
    <xf numFmtId="0" fontId="87" fillId="48" borderId="50" xfId="54" applyFont="1" applyFill="1" applyBorder="1" applyAlignment="1">
      <alignment horizontal="center" vertical="center"/>
    </xf>
    <xf numFmtId="0" fontId="23" fillId="57" borderId="24" xfId="54" applyFont="1" applyFill="1" applyBorder="1" applyAlignment="1">
      <alignment horizontal="left" vertical="center"/>
    </xf>
    <xf numFmtId="0" fontId="23" fillId="57" borderId="20" xfId="54" applyFont="1" applyFill="1" applyBorder="1" applyAlignment="1">
      <alignment horizontal="left" vertical="center"/>
    </xf>
    <xf numFmtId="0" fontId="88" fillId="0" borderId="20" xfId="53" applyFont="1" applyBorder="1" applyAlignment="1">
      <alignment horizontal="right" vertical="center" wrapText="1"/>
    </xf>
    <xf numFmtId="0" fontId="88" fillId="0" borderId="21" xfId="53" applyFont="1" applyBorder="1" applyAlignment="1">
      <alignment horizontal="right" vertical="center" wrapText="1"/>
    </xf>
    <xf numFmtId="0" fontId="23" fillId="57" borderId="16" xfId="54" applyFont="1" applyFill="1" applyBorder="1" applyAlignment="1">
      <alignment horizontal="left" vertical="center"/>
    </xf>
    <xf numFmtId="0" fontId="23" fillId="57" borderId="11" xfId="54" applyFont="1" applyFill="1" applyBorder="1" applyAlignment="1">
      <alignment horizontal="left" vertical="center"/>
    </xf>
    <xf numFmtId="0" fontId="88" fillId="0" borderId="11" xfId="53" applyFont="1" applyBorder="1" applyAlignment="1">
      <alignment horizontal="right" vertical="center" wrapText="1"/>
    </xf>
    <xf numFmtId="0" fontId="88" fillId="0" borderId="28" xfId="53" applyFont="1" applyBorder="1" applyAlignment="1">
      <alignment horizontal="right" vertical="center" wrapText="1"/>
    </xf>
    <xf numFmtId="0" fontId="23" fillId="57" borderId="37" xfId="54" applyFont="1" applyFill="1" applyBorder="1" applyAlignment="1">
      <alignment horizontal="left" vertical="center"/>
    </xf>
    <xf numFmtId="0" fontId="23" fillId="57" borderId="38" xfId="54" applyFont="1" applyFill="1" applyBorder="1" applyAlignment="1">
      <alignment horizontal="left" vertical="center"/>
    </xf>
    <xf numFmtId="172" fontId="88" fillId="0" borderId="11" xfId="53" applyNumberFormat="1" applyFont="1" applyBorder="1" applyAlignment="1">
      <alignment horizontal="right" vertical="center" wrapText="1"/>
    </xf>
    <xf numFmtId="172" fontId="88" fillId="0" borderId="28" xfId="53" applyNumberFormat="1" applyFont="1" applyBorder="1" applyAlignment="1">
      <alignment horizontal="right" vertical="center" wrapText="1"/>
    </xf>
    <xf numFmtId="14" fontId="4" fillId="0" borderId="11" xfId="54" applyNumberFormat="1" applyFont="1" applyBorder="1" applyAlignment="1">
      <alignment horizontal="right" vertical="center" wrapText="1"/>
    </xf>
    <xf numFmtId="0" fontId="4" fillId="0" borderId="11" xfId="54" applyFont="1" applyBorder="1" applyAlignment="1">
      <alignment horizontal="right" vertical="center" wrapText="1"/>
    </xf>
    <xf numFmtId="0" fontId="4" fillId="0" borderId="28" xfId="54" applyFont="1" applyBorder="1" applyAlignment="1">
      <alignment horizontal="right" vertical="center" wrapText="1"/>
    </xf>
    <xf numFmtId="0" fontId="23" fillId="57" borderId="33" xfId="54" applyFont="1" applyFill="1" applyBorder="1" applyAlignment="1">
      <alignment horizontal="left" vertical="center"/>
    </xf>
    <xf numFmtId="0" fontId="23" fillId="57" borderId="35" xfId="54" applyFont="1" applyFill="1" applyBorder="1" applyAlignment="1">
      <alignment horizontal="left" vertical="center"/>
    </xf>
    <xf numFmtId="22" fontId="88" fillId="0" borderId="11" xfId="53" applyNumberFormat="1" applyFont="1" applyBorder="1" applyAlignment="1">
      <alignment horizontal="right" vertical="center" wrapText="1"/>
    </xf>
    <xf numFmtId="22" fontId="88" fillId="0" borderId="28" xfId="53" applyNumberFormat="1" applyFont="1" applyBorder="1" applyAlignment="1">
      <alignment horizontal="right" vertical="center" wrapText="1"/>
    </xf>
    <xf numFmtId="0" fontId="89" fillId="54" borderId="24" xfId="54" applyFont="1" applyFill="1" applyBorder="1" applyAlignment="1">
      <alignment horizontal="center" vertical="center"/>
    </xf>
    <xf numFmtId="0" fontId="89" fillId="54" borderId="20" xfId="54" applyFont="1" applyFill="1" applyBorder="1" applyAlignment="1">
      <alignment horizontal="center" vertical="center"/>
    </xf>
    <xf numFmtId="0" fontId="89" fillId="54" borderId="21" xfId="54" applyFont="1" applyFill="1" applyBorder="1" applyAlignment="1">
      <alignment horizontal="center" vertical="center"/>
    </xf>
    <xf numFmtId="0" fontId="23" fillId="57" borderId="65" xfId="54" applyFont="1" applyFill="1" applyBorder="1" applyAlignment="1">
      <alignment horizontal="left" vertical="center"/>
    </xf>
    <xf numFmtId="0" fontId="23" fillId="57" borderId="66" xfId="54" applyFont="1" applyFill="1" applyBorder="1" applyAlignment="1">
      <alignment horizontal="left" vertical="center"/>
    </xf>
    <xf numFmtId="0" fontId="4" fillId="0" borderId="11" xfId="54" applyFont="1" applyBorder="1" applyAlignment="1">
      <alignment horizontal="left" vertical="center" wrapText="1"/>
    </xf>
    <xf numFmtId="0" fontId="4" fillId="0" borderId="28" xfId="54" applyFont="1" applyBorder="1" applyAlignment="1">
      <alignment horizontal="left" vertical="center" wrapText="1"/>
    </xf>
    <xf numFmtId="172" fontId="4" fillId="0" borderId="11" xfId="54" applyNumberFormat="1" applyFont="1" applyBorder="1" applyAlignment="1">
      <alignment horizontal="right" vertical="center" wrapText="1"/>
    </xf>
    <xf numFmtId="172" fontId="4" fillId="0" borderId="28" xfId="54" applyNumberFormat="1" applyFont="1" applyBorder="1" applyAlignment="1">
      <alignment horizontal="right" vertical="center" wrapText="1"/>
    </xf>
    <xf numFmtId="178" fontId="4" fillId="0" borderId="11" xfId="54" applyNumberFormat="1" applyFont="1" applyBorder="1" applyAlignment="1">
      <alignment horizontal="right" vertical="center"/>
    </xf>
    <xf numFmtId="178" fontId="4" fillId="0" borderId="28" xfId="54" applyNumberFormat="1" applyFont="1" applyBorder="1" applyAlignment="1">
      <alignment horizontal="right" vertical="center"/>
    </xf>
    <xf numFmtId="0" fontId="23" fillId="57" borderId="31" xfId="54" applyFont="1" applyFill="1" applyBorder="1" applyAlignment="1">
      <alignment horizontal="left" vertical="center"/>
    </xf>
    <xf numFmtId="0" fontId="23" fillId="57" borderId="163" xfId="54" applyFont="1" applyFill="1" applyBorder="1" applyAlignment="1">
      <alignment horizontal="left" vertical="center"/>
    </xf>
    <xf numFmtId="178" fontId="4" fillId="0" borderId="163" xfId="54" applyNumberFormat="1" applyFont="1" applyBorder="1" applyAlignment="1">
      <alignment horizontal="right" vertical="center"/>
    </xf>
    <xf numFmtId="178" fontId="4" fillId="0" borderId="164" xfId="54" applyNumberFormat="1" applyFont="1" applyBorder="1" applyAlignment="1">
      <alignment horizontal="right" vertical="center"/>
    </xf>
    <xf numFmtId="0" fontId="89" fillId="48" borderId="160" xfId="54" applyFont="1" applyFill="1" applyBorder="1" applyAlignment="1">
      <alignment horizontal="center" vertical="center"/>
    </xf>
    <xf numFmtId="0" fontId="89" fillId="48" borderId="161" xfId="54" applyFont="1" applyFill="1" applyBorder="1" applyAlignment="1">
      <alignment horizontal="center" vertical="center"/>
    </xf>
    <xf numFmtId="0" fontId="89" fillId="48" borderId="50" xfId="54" applyFont="1" applyFill="1" applyBorder="1" applyAlignment="1">
      <alignment horizontal="center" vertical="center"/>
    </xf>
    <xf numFmtId="0" fontId="65" fillId="0" borderId="11" xfId="53" applyFont="1" applyBorder="1" applyAlignment="1">
      <alignment vertical="center"/>
    </xf>
    <xf numFmtId="0" fontId="65" fillId="0" borderId="28" xfId="53" applyFont="1" applyBorder="1" applyAlignment="1">
      <alignment vertical="center"/>
    </xf>
    <xf numFmtId="0" fontId="65" fillId="0" borderId="11" xfId="53" applyFont="1" applyBorder="1" applyAlignment="1">
      <alignment vertical="center" wrapText="1"/>
    </xf>
    <xf numFmtId="0" fontId="65" fillId="0" borderId="28" xfId="53" applyFont="1" applyBorder="1" applyAlignment="1">
      <alignment vertical="center" wrapText="1"/>
    </xf>
    <xf numFmtId="0" fontId="23" fillId="57" borderId="17" xfId="54" applyFont="1" applyFill="1" applyBorder="1" applyAlignment="1">
      <alignment horizontal="left" vertical="center"/>
    </xf>
    <xf numFmtId="0" fontId="23" fillId="57" borderId="29" xfId="54" applyFont="1" applyFill="1" applyBorder="1" applyAlignment="1">
      <alignment horizontal="left" vertical="center"/>
    </xf>
    <xf numFmtId="0" fontId="65" fillId="0" borderId="29" xfId="55" applyFont="1" applyBorder="1" applyAlignment="1">
      <alignment vertical="center"/>
    </xf>
    <xf numFmtId="0" fontId="65" fillId="0" borderId="32" xfId="55" applyFont="1" applyBorder="1" applyAlignment="1">
      <alignment vertical="center"/>
    </xf>
    <xf numFmtId="0" fontId="65" fillId="0" borderId="37" xfId="53" applyFont="1" applyBorder="1" applyAlignment="1">
      <alignment horizontal="right" vertical="center"/>
    </xf>
    <xf numFmtId="0" fontId="65" fillId="0" borderId="81" xfId="53" applyFont="1" applyBorder="1" applyAlignment="1">
      <alignment horizontal="right" vertical="center"/>
    </xf>
    <xf numFmtId="0" fontId="65" fillId="0" borderId="38" xfId="53" applyFont="1" applyBorder="1" applyAlignment="1">
      <alignment horizontal="right" vertical="center"/>
    </xf>
    <xf numFmtId="0" fontId="69" fillId="48" borderId="51" xfId="54" applyFont="1" applyFill="1" applyBorder="1" applyAlignment="1">
      <alignment horizontal="center" vertical="center"/>
    </xf>
    <xf numFmtId="0" fontId="69" fillId="48" borderId="52" xfId="54" applyFont="1" applyFill="1" applyBorder="1" applyAlignment="1">
      <alignment horizontal="center" vertical="center"/>
    </xf>
    <xf numFmtId="0" fontId="69" fillId="48" borderId="62" xfId="54" applyFont="1" applyFill="1" applyBorder="1" applyAlignment="1">
      <alignment horizontal="center" vertical="center"/>
    </xf>
    <xf numFmtId="172" fontId="65" fillId="0" borderId="33" xfId="53" applyNumberFormat="1" applyFont="1" applyBorder="1" applyAlignment="1">
      <alignment horizontal="right" vertical="center"/>
    </xf>
    <xf numFmtId="172" fontId="65" fillId="0" borderId="34" xfId="53" applyNumberFormat="1" applyFont="1" applyBorder="1" applyAlignment="1">
      <alignment horizontal="right" vertical="center"/>
    </xf>
    <xf numFmtId="172" fontId="65" fillId="0" borderId="35" xfId="53" applyNumberFormat="1" applyFont="1" applyBorder="1" applyAlignment="1">
      <alignment horizontal="right" vertical="center"/>
    </xf>
    <xf numFmtId="180" fontId="65" fillId="0" borderId="65" xfId="53" applyNumberFormat="1" applyFont="1" applyBorder="1" applyAlignment="1">
      <alignment vertical="center"/>
    </xf>
    <xf numFmtId="180" fontId="65" fillId="0" borderId="67" xfId="53" applyNumberFormat="1" applyFont="1" applyBorder="1" applyAlignment="1">
      <alignment vertical="center"/>
    </xf>
    <xf numFmtId="180" fontId="65" fillId="0" borderId="66" xfId="53" applyNumberFormat="1" applyFont="1" applyBorder="1" applyAlignment="1">
      <alignment vertical="center"/>
    </xf>
    <xf numFmtId="0" fontId="23" fillId="57" borderId="31" xfId="54" applyFont="1" applyFill="1" applyBorder="1" applyAlignment="1">
      <alignment horizontal="center" vertical="center" wrapText="1"/>
    </xf>
    <xf numFmtId="0" fontId="23" fillId="57" borderId="24" xfId="54" applyFont="1" applyFill="1" applyBorder="1" applyAlignment="1">
      <alignment horizontal="center" vertical="center" wrapText="1"/>
    </xf>
    <xf numFmtId="0" fontId="23" fillId="57" borderId="163" xfId="54" applyFont="1" applyFill="1" applyBorder="1" applyAlignment="1">
      <alignment horizontal="center" vertical="center"/>
    </xf>
    <xf numFmtId="0" fontId="23" fillId="57" borderId="20" xfId="54" applyFont="1" applyFill="1" applyBorder="1" applyAlignment="1">
      <alignment horizontal="center" vertical="center"/>
    </xf>
    <xf numFmtId="181" fontId="71" fillId="57" borderId="33" xfId="54" applyNumberFormat="1" applyFont="1" applyFill="1" applyBorder="1" applyAlignment="1">
      <alignment horizontal="center" vertical="center"/>
    </xf>
    <xf numFmtId="181" fontId="71" fillId="57" borderId="35" xfId="54" applyNumberFormat="1" applyFont="1" applyFill="1" applyBorder="1" applyAlignment="1">
      <alignment horizontal="center" vertical="center"/>
    </xf>
    <xf numFmtId="0" fontId="89" fillId="54" borderId="16" xfId="54" applyFont="1" applyFill="1" applyBorder="1" applyAlignment="1">
      <alignment horizontal="center" vertical="center"/>
    </xf>
    <xf numFmtId="0" fontId="89" fillId="54" borderId="11" xfId="54" applyFont="1" applyFill="1" applyBorder="1" applyAlignment="1">
      <alignment horizontal="center" vertical="center"/>
    </xf>
    <xf numFmtId="0" fontId="89" fillId="54" borderId="28" xfId="54" applyFont="1" applyFill="1" applyBorder="1" applyAlignment="1">
      <alignment horizontal="center" vertical="center"/>
    </xf>
    <xf numFmtId="0" fontId="23" fillId="53" borderId="16" xfId="54" applyFont="1" applyFill="1" applyBorder="1" applyAlignment="1">
      <alignment horizontal="center" vertical="center"/>
    </xf>
    <xf numFmtId="0" fontId="23" fillId="53" borderId="11" xfId="54" applyFont="1" applyFill="1" applyBorder="1" applyAlignment="1">
      <alignment horizontal="center" vertical="center"/>
    </xf>
    <xf numFmtId="181" fontId="71" fillId="57" borderId="165" xfId="54" applyNumberFormat="1" applyFont="1" applyFill="1" applyBorder="1" applyAlignment="1">
      <alignment horizontal="center" vertical="center"/>
    </xf>
    <xf numFmtId="0" fontId="23" fillId="57" borderId="155" xfId="54" applyFont="1" applyFill="1" applyBorder="1" applyAlignment="1">
      <alignment horizontal="left" vertical="center"/>
    </xf>
    <xf numFmtId="0" fontId="65" fillId="0" borderId="65" xfId="55" applyFont="1" applyBorder="1" applyAlignment="1">
      <alignment horizontal="right" vertical="center" wrapText="1"/>
    </xf>
    <xf numFmtId="0" fontId="65" fillId="0" borderId="67" xfId="55" applyFont="1" applyBorder="1" applyAlignment="1">
      <alignment horizontal="right" vertical="center" wrapText="1"/>
    </xf>
    <xf numFmtId="0" fontId="65" fillId="0" borderId="74" xfId="55" applyFont="1" applyBorder="1" applyAlignment="1">
      <alignment horizontal="right" vertical="center" wrapText="1"/>
    </xf>
    <xf numFmtId="0" fontId="85" fillId="57" borderId="33" xfId="55" applyFont="1" applyFill="1" applyBorder="1" applyAlignment="1">
      <alignment horizontal="center" vertical="center" wrapText="1"/>
    </xf>
    <xf numFmtId="0" fontId="85" fillId="57" borderId="35" xfId="55" applyFont="1" applyFill="1" applyBorder="1" applyAlignment="1">
      <alignment horizontal="center" vertical="center" wrapText="1"/>
    </xf>
    <xf numFmtId="179" fontId="4" fillId="0" borderId="33" xfId="47" applyNumberFormat="1" applyBorder="1" applyAlignment="1">
      <alignment horizontal="right" vertical="center" wrapText="1"/>
    </xf>
    <xf numFmtId="179" fontId="4" fillId="0" borderId="35" xfId="47" applyNumberFormat="1" applyBorder="1" applyAlignment="1">
      <alignment horizontal="right" vertical="center" wrapText="1"/>
    </xf>
    <xf numFmtId="179" fontId="67" fillId="53" borderId="33" xfId="56" applyNumberFormat="1" applyFont="1" applyFill="1" applyBorder="1" applyAlignment="1">
      <alignment horizontal="right" vertical="center" wrapText="1"/>
    </xf>
    <xf numFmtId="179" fontId="67" fillId="53" borderId="35" xfId="56" applyNumberFormat="1" applyFont="1" applyFill="1" applyBorder="1" applyAlignment="1">
      <alignment horizontal="right" vertical="center" wrapText="1"/>
    </xf>
    <xf numFmtId="0" fontId="70" fillId="0" borderId="17" xfId="57" applyFont="1" applyBorder="1"/>
    <xf numFmtId="0" fontId="70" fillId="0" borderId="29" xfId="57" applyFont="1" applyBorder="1"/>
    <xf numFmtId="0" fontId="70" fillId="0" borderId="32" xfId="57" applyFont="1" applyBorder="1"/>
    <xf numFmtId="0" fontId="70" fillId="34" borderId="31" xfId="57" applyFont="1" applyFill="1" applyBorder="1" applyAlignment="1">
      <alignment horizontal="center"/>
    </xf>
    <xf numFmtId="0" fontId="70" fillId="34" borderId="174" xfId="57" applyFont="1" applyFill="1" applyBorder="1" applyAlignment="1">
      <alignment horizontal="center"/>
    </xf>
    <xf numFmtId="0" fontId="70" fillId="34" borderId="24" xfId="57" applyFont="1" applyFill="1" applyBorder="1" applyAlignment="1">
      <alignment horizontal="center"/>
    </xf>
    <xf numFmtId="0" fontId="70" fillId="34" borderId="33" xfId="57" applyFont="1" applyFill="1" applyBorder="1" applyAlignment="1">
      <alignment horizontal="right" vertical="center"/>
    </xf>
    <xf numFmtId="0" fontId="70" fillId="34" borderId="35" xfId="57" applyFont="1" applyFill="1" applyBorder="1" applyAlignment="1">
      <alignment horizontal="right" vertical="center"/>
    </xf>
    <xf numFmtId="0" fontId="70" fillId="34" borderId="165" xfId="57" applyFont="1" applyFill="1" applyBorder="1" applyAlignment="1">
      <alignment horizontal="right" vertical="center"/>
    </xf>
    <xf numFmtId="0" fontId="59" fillId="48" borderId="160" xfId="57" applyFont="1" applyFill="1" applyBorder="1" applyAlignment="1">
      <alignment horizontal="center" vertical="center"/>
    </xf>
    <xf numFmtId="0" fontId="59" fillId="48" borderId="161" xfId="57" applyFont="1" applyFill="1" applyBorder="1" applyAlignment="1">
      <alignment horizontal="center" vertical="center"/>
    </xf>
    <xf numFmtId="0" fontId="59" fillId="48" borderId="50" xfId="57" applyFont="1" applyFill="1" applyBorder="1" applyAlignment="1">
      <alignment horizontal="center" vertical="center"/>
    </xf>
    <xf numFmtId="0" fontId="67" fillId="57" borderId="30" xfId="57" applyFont="1" applyFill="1" applyBorder="1" applyAlignment="1">
      <alignment horizontal="left" vertical="center"/>
    </xf>
    <xf numFmtId="0" fontId="67" fillId="57" borderId="41" xfId="57" applyFont="1" applyFill="1" applyBorder="1" applyAlignment="1">
      <alignment horizontal="left" vertical="center"/>
    </xf>
    <xf numFmtId="0" fontId="70" fillId="34" borderId="41" xfId="57" applyFont="1" applyFill="1" applyBorder="1" applyAlignment="1">
      <alignment horizontal="center" vertical="center"/>
    </xf>
    <xf numFmtId="0" fontId="70" fillId="34" borderId="42" xfId="57" applyFont="1" applyFill="1" applyBorder="1" applyAlignment="1">
      <alignment horizontal="center" vertical="center"/>
    </xf>
    <xf numFmtId="0" fontId="70" fillId="0" borderId="16" xfId="57" applyFont="1" applyBorder="1"/>
    <xf numFmtId="0" fontId="70" fillId="0" borderId="11" xfId="57" applyFont="1" applyBorder="1"/>
    <xf numFmtId="0" fontId="70" fillId="0" borderId="28" xfId="57" applyFont="1" applyBorder="1"/>
    <xf numFmtId="0" fontId="70" fillId="34" borderId="11" xfId="57" applyFont="1" applyFill="1" applyBorder="1" applyAlignment="1">
      <alignment horizontal="center" vertical="top"/>
    </xf>
    <xf numFmtId="49" fontId="70" fillId="34" borderId="11" xfId="57" applyNumberFormat="1" applyFont="1" applyFill="1" applyBorder="1" applyAlignment="1">
      <alignment horizontal="center" vertical="top"/>
    </xf>
    <xf numFmtId="49" fontId="70" fillId="34" borderId="28" xfId="57" applyNumberFormat="1" applyFont="1" applyFill="1" applyBorder="1" applyAlignment="1">
      <alignment horizontal="center" vertical="top"/>
    </xf>
    <xf numFmtId="0" fontId="67" fillId="57" borderId="24" xfId="57" applyFont="1" applyFill="1" applyBorder="1" applyAlignment="1">
      <alignment horizontal="left" vertical="center"/>
    </xf>
    <xf numFmtId="0" fontId="67" fillId="57" borderId="20" xfId="57" applyFont="1" applyFill="1" applyBorder="1" applyAlignment="1">
      <alignment horizontal="left" vertical="center"/>
    </xf>
    <xf numFmtId="0" fontId="70" fillId="34" borderId="20" xfId="57" applyFont="1" applyFill="1" applyBorder="1" applyAlignment="1">
      <alignment horizontal="center" vertical="center"/>
    </xf>
    <xf numFmtId="0" fontId="70" fillId="34" borderId="21" xfId="57" applyFont="1" applyFill="1" applyBorder="1" applyAlignment="1">
      <alignment horizontal="center" vertical="center"/>
    </xf>
    <xf numFmtId="0" fontId="71" fillId="56" borderId="11" xfId="57" applyFont="1" applyFill="1" applyBorder="1" applyAlignment="1">
      <alignment horizontal="center" vertical="center"/>
    </xf>
    <xf numFmtId="0" fontId="71" fillId="56" borderId="28" xfId="57" applyFont="1" applyFill="1" applyBorder="1" applyAlignment="1">
      <alignment horizontal="center" vertical="center"/>
    </xf>
    <xf numFmtId="0" fontId="70" fillId="34" borderId="11" xfId="57" applyFont="1" applyFill="1" applyBorder="1" applyAlignment="1">
      <alignment horizontal="right" vertical="center"/>
    </xf>
    <xf numFmtId="0" fontId="70" fillId="34" borderId="28" xfId="57" applyFont="1" applyFill="1" applyBorder="1" applyAlignment="1">
      <alignment horizontal="right" vertical="center"/>
    </xf>
    <xf numFmtId="0" fontId="70" fillId="34" borderId="11" xfId="57" applyFont="1" applyFill="1" applyBorder="1" applyAlignment="1">
      <alignment horizontal="right" vertical="center" wrapText="1"/>
    </xf>
    <xf numFmtId="0" fontId="70" fillId="34" borderId="28" xfId="57" applyFont="1" applyFill="1" applyBorder="1" applyAlignment="1">
      <alignment horizontal="right" vertical="center" wrapText="1"/>
    </xf>
    <xf numFmtId="14" fontId="70" fillId="34" borderId="11" xfId="57" applyNumberFormat="1" applyFont="1" applyFill="1" applyBorder="1" applyAlignment="1">
      <alignment horizontal="right" vertical="center"/>
    </xf>
    <xf numFmtId="14" fontId="70" fillId="34" borderId="28" xfId="57" applyNumberFormat="1" applyFont="1" applyFill="1" applyBorder="1" applyAlignment="1">
      <alignment horizontal="right" vertical="center"/>
    </xf>
    <xf numFmtId="22" fontId="70" fillId="34" borderId="11" xfId="57" applyNumberFormat="1" applyFont="1" applyFill="1" applyBorder="1" applyAlignment="1">
      <alignment horizontal="right" vertical="center"/>
    </xf>
    <xf numFmtId="22" fontId="70" fillId="34" borderId="28" xfId="57" applyNumberFormat="1" applyFont="1" applyFill="1" applyBorder="1" applyAlignment="1">
      <alignment horizontal="right" vertical="center"/>
    </xf>
    <xf numFmtId="15" fontId="70" fillId="34" borderId="11" xfId="57" applyNumberFormat="1" applyFont="1" applyFill="1" applyBorder="1" applyAlignment="1">
      <alignment horizontal="right" vertical="center"/>
    </xf>
    <xf numFmtId="15" fontId="70" fillId="34" borderId="28" xfId="57" applyNumberFormat="1" applyFont="1" applyFill="1" applyBorder="1" applyAlignment="1">
      <alignment horizontal="right" vertical="center"/>
    </xf>
    <xf numFmtId="0" fontId="70" fillId="34" borderId="13" xfId="52" applyFont="1" applyFill="1" applyBorder="1" applyAlignment="1" applyProtection="1">
      <alignment wrapText="1"/>
      <protection locked="0"/>
    </xf>
    <xf numFmtId="0" fontId="70" fillId="34" borderId="0" xfId="52" applyFont="1" applyFill="1" applyAlignment="1" applyProtection="1">
      <alignment wrapText="1"/>
      <protection locked="0"/>
    </xf>
    <xf numFmtId="0" fontId="70" fillId="34" borderId="114" xfId="52" applyFont="1" applyFill="1" applyBorder="1" applyAlignment="1" applyProtection="1">
      <alignment wrapText="1"/>
      <protection locked="0"/>
    </xf>
    <xf numFmtId="0" fontId="70" fillId="34" borderId="40" xfId="52" applyFont="1" applyFill="1" applyBorder="1" applyAlignment="1" applyProtection="1">
      <alignment wrapText="1"/>
      <protection locked="0"/>
    </xf>
    <xf numFmtId="0" fontId="70" fillId="34" borderId="22" xfId="52" applyFont="1" applyFill="1" applyBorder="1" applyAlignment="1" applyProtection="1">
      <alignment wrapText="1"/>
      <protection locked="0"/>
    </xf>
    <xf numFmtId="0" fontId="70" fillId="34" borderId="115" xfId="52" applyFont="1" applyFill="1" applyBorder="1" applyAlignment="1" applyProtection="1">
      <alignment wrapText="1"/>
      <protection locked="0"/>
    </xf>
    <xf numFmtId="0" fontId="65" fillId="34" borderId="13" xfId="0" applyFont="1" applyFill="1" applyBorder="1" applyProtection="1">
      <protection locked="0"/>
    </xf>
    <xf numFmtId="0" fontId="65" fillId="34" borderId="0" xfId="0" applyFont="1" applyFill="1" applyProtection="1">
      <protection locked="0"/>
    </xf>
    <xf numFmtId="0" fontId="65" fillId="34" borderId="14" xfId="0" applyFont="1" applyFill="1" applyBorder="1" applyProtection="1">
      <protection locked="0"/>
    </xf>
    <xf numFmtId="0" fontId="83" fillId="56" borderId="111" xfId="0" applyFont="1" applyFill="1" applyBorder="1" applyAlignment="1" applyProtection="1">
      <alignment horizontal="left"/>
      <protection locked="0"/>
    </xf>
    <xf numFmtId="0" fontId="83" fillId="56" borderId="112" xfId="0" applyFont="1" applyFill="1" applyBorder="1" applyAlignment="1" applyProtection="1">
      <alignment horizontal="left"/>
      <protection locked="0"/>
    </xf>
    <xf numFmtId="0" fontId="83" fillId="56" borderId="113" xfId="0" applyFont="1" applyFill="1" applyBorder="1" applyAlignment="1" applyProtection="1">
      <alignment horizontal="left"/>
      <protection locked="0"/>
    </xf>
    <xf numFmtId="0" fontId="70" fillId="34" borderId="13" xfId="52" applyFont="1" applyFill="1" applyBorder="1" applyAlignment="1" applyProtection="1">
      <protection locked="0"/>
    </xf>
    <xf numFmtId="0" fontId="70" fillId="34" borderId="0" xfId="52" applyFont="1" applyFill="1" applyAlignment="1" applyProtection="1">
      <protection locked="0"/>
    </xf>
    <xf numFmtId="0" fontId="70" fillId="34" borderId="114" xfId="52" applyFont="1" applyFill="1" applyBorder="1" applyAlignment="1" applyProtection="1">
      <protection locked="0"/>
    </xf>
    <xf numFmtId="0" fontId="68" fillId="48" borderId="99" xfId="0" applyFont="1" applyFill="1" applyBorder="1" applyAlignment="1" applyProtection="1">
      <alignment horizontal="center" vertical="center"/>
      <protection locked="0"/>
    </xf>
    <xf numFmtId="0" fontId="68" fillId="48" borderId="54" xfId="0" applyFont="1" applyFill="1" applyBorder="1" applyAlignment="1" applyProtection="1">
      <alignment horizontal="center" vertical="center"/>
      <protection locked="0"/>
    </xf>
    <xf numFmtId="0" fontId="68" fillId="48" borderId="55" xfId="0" applyFont="1" applyFill="1" applyBorder="1" applyAlignment="1" applyProtection="1">
      <alignment horizontal="center" vertical="center"/>
      <protection locked="0"/>
    </xf>
    <xf numFmtId="0" fontId="69" fillId="54" borderId="100" xfId="0" applyFont="1" applyFill="1" applyBorder="1" applyAlignment="1" applyProtection="1">
      <alignment vertical="center"/>
      <protection locked="0"/>
    </xf>
    <xf numFmtId="0" fontId="69" fillId="54" borderId="101" xfId="0" applyFont="1" applyFill="1" applyBorder="1" applyAlignment="1" applyProtection="1">
      <alignment vertical="center"/>
      <protection locked="0"/>
    </xf>
    <xf numFmtId="0" fontId="69" fillId="54" borderId="102" xfId="0" applyFont="1" applyFill="1" applyBorder="1" applyAlignment="1" applyProtection="1">
      <alignment vertical="center"/>
      <protection locked="0"/>
    </xf>
    <xf numFmtId="0" fontId="4" fillId="34" borderId="13" xfId="0" applyFont="1" applyFill="1" applyBorder="1" applyAlignment="1" applyProtection="1">
      <alignment wrapText="1"/>
      <protection locked="0"/>
    </xf>
    <xf numFmtId="0" fontId="4" fillId="34" borderId="0" xfId="0" applyFont="1" applyFill="1" applyAlignment="1" applyProtection="1">
      <alignment wrapText="1"/>
      <protection locked="0"/>
    </xf>
    <xf numFmtId="0" fontId="4" fillId="34" borderId="114" xfId="0" applyFont="1" applyFill="1" applyBorder="1" applyAlignment="1" applyProtection="1">
      <alignment wrapText="1"/>
      <protection locked="0"/>
    </xf>
    <xf numFmtId="0" fontId="73" fillId="34" borderId="15" xfId="52" applyFont="1" applyFill="1" applyBorder="1" applyAlignment="1" applyProtection="1">
      <alignment wrapText="1"/>
      <protection locked="0"/>
    </xf>
    <xf numFmtId="0" fontId="73" fillId="34" borderId="91" xfId="52" applyFont="1" applyFill="1" applyBorder="1" applyAlignment="1" applyProtection="1">
      <alignment wrapText="1"/>
      <protection locked="0"/>
    </xf>
    <xf numFmtId="0" fontId="73" fillId="34" borderId="0" xfId="52" applyFont="1" applyFill="1" applyAlignment="1" applyProtection="1">
      <alignment wrapText="1"/>
      <protection locked="0"/>
    </xf>
    <xf numFmtId="0" fontId="73" fillId="34" borderId="90" xfId="52" applyFont="1" applyFill="1" applyBorder="1" applyAlignment="1" applyProtection="1">
      <alignment wrapText="1"/>
      <protection locked="0"/>
    </xf>
    <xf numFmtId="0" fontId="72" fillId="55" borderId="0" xfId="41" applyFont="1" applyFill="1" applyAlignment="1" applyProtection="1">
      <alignment wrapText="1"/>
      <protection locked="0"/>
    </xf>
    <xf numFmtId="0" fontId="18" fillId="55" borderId="0" xfId="41" applyFill="1" applyAlignment="1" applyProtection="1">
      <alignment wrapText="1"/>
      <protection locked="0"/>
    </xf>
    <xf numFmtId="0" fontId="18" fillId="55" borderId="90" xfId="41" applyFill="1" applyBorder="1" applyAlignment="1" applyProtection="1">
      <alignment wrapText="1"/>
      <protection locked="0"/>
    </xf>
    <xf numFmtId="0" fontId="27" fillId="53" borderId="51" xfId="0" applyFont="1" applyFill="1" applyBorder="1" applyAlignment="1" applyProtection="1">
      <alignment horizontal="left"/>
      <protection locked="0"/>
    </xf>
    <xf numFmtId="0" fontId="27" fillId="53" borderId="52" xfId="0" applyFont="1" applyFill="1" applyBorder="1" applyAlignment="1" applyProtection="1">
      <alignment horizontal="left"/>
      <protection locked="0"/>
    </xf>
    <xf numFmtId="0" fontId="27" fillId="53" borderId="107" xfId="0" applyFont="1" applyFill="1" applyBorder="1" applyAlignment="1" applyProtection="1">
      <alignment horizontal="left"/>
      <protection locked="0"/>
    </xf>
    <xf numFmtId="0" fontId="27" fillId="57" borderId="93" xfId="0" applyFont="1" applyFill="1" applyBorder="1" applyAlignment="1" applyProtection="1">
      <alignment horizontal="left"/>
      <protection locked="0"/>
    </xf>
    <xf numFmtId="0" fontId="27" fillId="57" borderId="94" xfId="0" applyFont="1" applyFill="1" applyBorder="1" applyAlignment="1" applyProtection="1">
      <alignment horizontal="left"/>
      <protection locked="0"/>
    </xf>
    <xf numFmtId="0" fontId="25" fillId="55" borderId="108" xfId="41" applyFont="1" applyFill="1" applyBorder="1" applyAlignment="1" applyProtection="1">
      <alignment wrapText="1"/>
      <protection locked="0"/>
    </xf>
    <xf numFmtId="0" fontId="25" fillId="55" borderId="109" xfId="41" applyFont="1" applyFill="1" applyBorder="1" applyAlignment="1" applyProtection="1">
      <alignment wrapText="1"/>
      <protection locked="0"/>
    </xf>
    <xf numFmtId="0" fontId="27" fillId="53" borderId="93" xfId="0" applyFont="1" applyFill="1" applyBorder="1" applyAlignment="1" applyProtection="1">
      <alignment horizontal="left"/>
      <protection locked="0"/>
    </xf>
    <xf numFmtId="0" fontId="27" fillId="53" borderId="94" xfId="0" applyFont="1" applyFill="1" applyBorder="1" applyAlignment="1" applyProtection="1">
      <alignment horizontal="left"/>
      <protection locked="0"/>
    </xf>
    <xf numFmtId="0" fontId="65" fillId="34" borderId="75" xfId="0" applyFont="1" applyFill="1" applyBorder="1" applyProtection="1">
      <protection locked="0"/>
    </xf>
    <xf numFmtId="0" fontId="65" fillId="34" borderId="12" xfId="0" applyFont="1" applyFill="1" applyBorder="1" applyProtection="1">
      <protection locked="0"/>
    </xf>
    <xf numFmtId="0" fontId="65" fillId="34" borderId="25" xfId="0" applyFont="1" applyFill="1" applyBorder="1" applyProtection="1">
      <protection locked="0"/>
    </xf>
    <xf numFmtId="0" fontId="71" fillId="34" borderId="13" xfId="0" applyFont="1" applyFill="1" applyBorder="1" applyAlignment="1" applyProtection="1">
      <alignment horizontal="left"/>
      <protection locked="0"/>
    </xf>
    <xf numFmtId="0" fontId="71" fillId="34" borderId="0" xfId="0" applyFont="1" applyFill="1" applyAlignment="1" applyProtection="1">
      <alignment horizontal="left"/>
      <protection locked="0"/>
    </xf>
    <xf numFmtId="0" fontId="65" fillId="34" borderId="40" xfId="0" applyFont="1" applyFill="1" applyBorder="1" applyProtection="1">
      <protection locked="0"/>
    </xf>
    <xf numFmtId="0" fontId="25" fillId="55" borderId="15" xfId="0" applyFont="1" applyFill="1" applyBorder="1" applyAlignment="1" applyProtection="1">
      <alignment horizontal="left" wrapText="1"/>
      <protection locked="0"/>
    </xf>
    <xf numFmtId="0" fontId="25" fillId="55" borderId="91" xfId="0" applyFont="1" applyFill="1" applyBorder="1" applyAlignment="1" applyProtection="1">
      <alignment horizontal="left" wrapText="1"/>
      <protection locked="0"/>
    </xf>
    <xf numFmtId="0" fontId="25" fillId="55" borderId="0" xfId="0" applyFont="1" applyFill="1" applyAlignment="1" applyProtection="1">
      <alignment horizontal="left" wrapText="1"/>
      <protection locked="0"/>
    </xf>
    <xf numFmtId="0" fontId="25" fillId="55" borderId="90" xfId="0" applyFont="1" applyFill="1" applyBorder="1" applyAlignment="1" applyProtection="1">
      <alignment horizontal="left" wrapText="1"/>
      <protection locked="0"/>
    </xf>
    <xf numFmtId="0" fontId="73" fillId="34" borderId="0" xfId="52" applyFont="1" applyFill="1" applyAlignment="1" applyProtection="1">
      <alignment horizontal="left" wrapText="1"/>
      <protection locked="0"/>
    </xf>
    <xf numFmtId="0" fontId="73" fillId="34" borderId="90" xfId="52" applyFont="1" applyFill="1" applyBorder="1" applyAlignment="1" applyProtection="1">
      <alignment horizontal="left" wrapText="1"/>
      <protection locked="0"/>
    </xf>
    <xf numFmtId="1" fontId="73" fillId="58" borderId="15" xfId="0" applyNumberFormat="1" applyFont="1" applyFill="1" applyBorder="1" applyProtection="1">
      <protection locked="0"/>
    </xf>
    <xf numFmtId="1" fontId="73" fillId="58" borderId="91" xfId="0" applyNumberFormat="1" applyFont="1" applyFill="1" applyBorder="1" applyProtection="1">
      <protection locked="0"/>
    </xf>
    <xf numFmtId="1" fontId="73" fillId="58" borderId="0" xfId="0" applyNumberFormat="1" applyFont="1" applyFill="1" applyProtection="1">
      <protection locked="0"/>
    </xf>
    <xf numFmtId="1" fontId="73" fillId="58" borderId="90" xfId="0" applyNumberFormat="1" applyFont="1" applyFill="1" applyBorder="1" applyProtection="1">
      <protection locked="0"/>
    </xf>
    <xf numFmtId="0" fontId="77" fillId="56" borderId="104" xfId="0" applyFont="1" applyFill="1" applyBorder="1" applyAlignment="1" applyProtection="1">
      <alignment horizontal="left"/>
      <protection locked="0"/>
    </xf>
    <xf numFmtId="0" fontId="77" fillId="56" borderId="105" xfId="0" applyFont="1" applyFill="1" applyBorder="1" applyAlignment="1" applyProtection="1">
      <alignment horizontal="left"/>
      <protection locked="0"/>
    </xf>
    <xf numFmtId="0" fontId="77" fillId="56" borderId="106" xfId="0" applyFont="1" applyFill="1" applyBorder="1" applyAlignment="1" applyProtection="1">
      <alignment horizontal="left"/>
      <protection locked="0"/>
    </xf>
    <xf numFmtId="0" fontId="71" fillId="34" borderId="75" xfId="0" applyFont="1" applyFill="1" applyBorder="1" applyAlignment="1" applyProtection="1">
      <alignment horizontal="left"/>
      <protection locked="0"/>
    </xf>
    <xf numFmtId="0" fontId="71" fillId="34" borderId="12" xfId="0" applyFont="1" applyFill="1" applyBorder="1" applyAlignment="1" applyProtection="1">
      <alignment horizontal="left"/>
      <protection locked="0"/>
    </xf>
    <xf numFmtId="0" fontId="71" fillId="34" borderId="40" xfId="0" applyFont="1" applyFill="1" applyBorder="1" applyAlignment="1" applyProtection="1">
      <alignment horizontal="left"/>
      <protection locked="0"/>
    </xf>
    <xf numFmtId="0" fontId="4" fillId="55" borderId="15" xfId="41" applyFont="1" applyFill="1" applyBorder="1" applyAlignment="1" applyProtection="1">
      <alignment wrapText="1"/>
      <protection locked="0"/>
    </xf>
    <xf numFmtId="0" fontId="4" fillId="55" borderId="91" xfId="41" applyFont="1" applyFill="1" applyBorder="1" applyAlignment="1" applyProtection="1">
      <alignment wrapText="1"/>
      <protection locked="0"/>
    </xf>
    <xf numFmtId="0" fontId="25" fillId="55" borderId="0" xfId="41" applyFont="1" applyFill="1" applyAlignment="1" applyProtection="1">
      <alignment wrapText="1"/>
      <protection locked="0"/>
    </xf>
    <xf numFmtId="0" fontId="25" fillId="55" borderId="90" xfId="41" applyFont="1" applyFill="1" applyBorder="1" applyAlignment="1" applyProtection="1">
      <alignment wrapText="1"/>
      <protection locked="0"/>
    </xf>
    <xf numFmtId="0" fontId="73" fillId="34" borderId="15" xfId="52" applyFont="1" applyFill="1" applyBorder="1" applyAlignment="1" applyProtection="1">
      <alignment horizontal="left" wrapText="1"/>
      <protection locked="0"/>
    </xf>
    <xf numFmtId="0" fontId="73" fillId="34" borderId="91" xfId="52" applyFont="1" applyFill="1" applyBorder="1" applyAlignment="1" applyProtection="1">
      <alignment horizontal="left" wrapText="1"/>
      <protection locked="0"/>
    </xf>
    <xf numFmtId="0" fontId="73" fillId="34" borderId="22" xfId="52" applyFont="1" applyFill="1" applyBorder="1" applyAlignment="1" applyProtection="1">
      <alignment horizontal="left" wrapText="1"/>
      <protection locked="0"/>
    </xf>
    <xf numFmtId="0" fontId="73" fillId="34" borderId="92" xfId="52" applyFont="1" applyFill="1" applyBorder="1" applyAlignment="1" applyProtection="1">
      <alignment horizontal="left" wrapText="1"/>
      <protection locked="0"/>
    </xf>
    <xf numFmtId="0" fontId="25" fillId="55" borderId="15" xfId="41" applyFont="1" applyFill="1" applyBorder="1" applyAlignment="1" applyProtection="1">
      <alignment wrapText="1"/>
      <protection locked="0"/>
    </xf>
    <xf numFmtId="0" fontId="25" fillId="55" borderId="91" xfId="41" applyFont="1" applyFill="1" applyBorder="1" applyAlignment="1" applyProtection="1">
      <alignment wrapText="1"/>
      <protection locked="0"/>
    </xf>
    <xf numFmtId="0" fontId="25" fillId="55" borderId="22" xfId="41" applyFont="1" applyFill="1" applyBorder="1" applyAlignment="1" applyProtection="1">
      <alignment horizontal="left" wrapText="1"/>
      <protection locked="0"/>
    </xf>
    <xf numFmtId="0" fontId="25" fillId="55" borderId="92" xfId="41" applyFont="1" applyFill="1" applyBorder="1" applyAlignment="1" applyProtection="1">
      <alignment horizontal="left" wrapText="1"/>
      <protection locked="0"/>
    </xf>
    <xf numFmtId="0" fontId="73" fillId="34" borderId="0" xfId="0" applyFont="1" applyFill="1" applyProtection="1">
      <protection locked="0"/>
    </xf>
    <xf numFmtId="0" fontId="73" fillId="34" borderId="90" xfId="0" applyFont="1" applyFill="1" applyBorder="1" applyProtection="1">
      <protection locked="0"/>
    </xf>
    <xf numFmtId="0" fontId="73" fillId="34" borderId="0" xfId="0" applyFont="1" applyFill="1" applyAlignment="1" applyProtection="1">
      <alignment horizontal="left"/>
      <protection locked="0"/>
    </xf>
    <xf numFmtId="0" fontId="73" fillId="34" borderId="90" xfId="0" applyFont="1" applyFill="1" applyBorder="1" applyAlignment="1" applyProtection="1">
      <alignment horizontal="left"/>
      <protection locked="0"/>
    </xf>
    <xf numFmtId="0" fontId="25" fillId="55" borderId="0" xfId="41" applyFont="1" applyFill="1" applyAlignment="1" applyProtection="1">
      <alignment horizontal="left" wrapText="1"/>
      <protection locked="0"/>
    </xf>
    <xf numFmtId="0" fontId="25" fillId="55" borderId="90" xfId="41" applyFont="1" applyFill="1" applyBorder="1" applyAlignment="1" applyProtection="1">
      <alignment horizontal="left" wrapText="1"/>
      <protection locked="0"/>
    </xf>
    <xf numFmtId="0" fontId="72" fillId="55" borderId="22" xfId="41" applyFont="1" applyFill="1" applyBorder="1" applyAlignment="1" applyProtection="1">
      <alignment wrapText="1"/>
      <protection locked="0"/>
    </xf>
    <xf numFmtId="0" fontId="18" fillId="55" borderId="22" xfId="41" applyFill="1" applyBorder="1" applyAlignment="1" applyProtection="1">
      <alignment wrapText="1"/>
      <protection locked="0"/>
    </xf>
    <xf numFmtId="0" fontId="18" fillId="55" borderId="92" xfId="41" applyFill="1" applyBorder="1" applyAlignment="1" applyProtection="1">
      <alignment wrapText="1"/>
      <protection locked="0"/>
    </xf>
    <xf numFmtId="0" fontId="27" fillId="53" borderId="96" xfId="0" applyFont="1" applyFill="1" applyBorder="1" applyAlignment="1" applyProtection="1">
      <alignment horizontal="left"/>
      <protection locked="0"/>
    </xf>
    <xf numFmtId="0" fontId="27" fillId="53" borderId="97" xfId="0" applyFont="1" applyFill="1" applyBorder="1" applyAlignment="1" applyProtection="1">
      <alignment horizontal="left"/>
      <protection locked="0"/>
    </xf>
    <xf numFmtId="0" fontId="70" fillId="34" borderId="13" xfId="0" applyFont="1" applyFill="1" applyBorder="1" applyProtection="1">
      <protection locked="0"/>
    </xf>
    <xf numFmtId="0" fontId="70" fillId="34" borderId="0" xfId="0" applyFont="1" applyFill="1" applyProtection="1">
      <protection locked="0"/>
    </xf>
    <xf numFmtId="0" fontId="70" fillId="34" borderId="14" xfId="0" applyFont="1" applyFill="1" applyBorder="1" applyProtection="1">
      <protection locked="0"/>
    </xf>
    <xf numFmtId="0" fontId="25" fillId="55" borderId="15" xfId="41" applyFont="1" applyFill="1" applyBorder="1" applyAlignment="1" applyProtection="1">
      <alignment horizontal="left" wrapText="1"/>
      <protection locked="0"/>
    </xf>
    <xf numFmtId="0" fontId="25" fillId="55" borderId="91" xfId="41" applyFont="1" applyFill="1" applyBorder="1" applyAlignment="1" applyProtection="1">
      <alignment horizontal="left" wrapText="1"/>
      <protection locked="0"/>
    </xf>
    <xf numFmtId="0" fontId="25" fillId="55" borderId="22" xfId="41" applyFont="1" applyFill="1" applyBorder="1" applyAlignment="1" applyProtection="1">
      <alignment wrapText="1"/>
      <protection locked="0"/>
    </xf>
    <xf numFmtId="0" fontId="25" fillId="55" borderId="92" xfId="41" applyFont="1" applyFill="1" applyBorder="1" applyAlignment="1" applyProtection="1">
      <alignment wrapText="1"/>
      <protection locked="0"/>
    </xf>
    <xf numFmtId="0" fontId="77" fillId="56" borderId="75" xfId="0" applyFont="1" applyFill="1" applyBorder="1" applyAlignment="1" applyProtection="1">
      <alignment horizontal="left"/>
      <protection locked="0"/>
    </xf>
    <xf numFmtId="0" fontId="77" fillId="56" borderId="12" xfId="0" applyFont="1" applyFill="1" applyBorder="1" applyAlignment="1" applyProtection="1">
      <alignment horizontal="left"/>
      <protection locked="0"/>
    </xf>
    <xf numFmtId="0" fontId="77" fillId="56" borderId="25" xfId="0" applyFont="1" applyFill="1" applyBorder="1" applyAlignment="1" applyProtection="1">
      <alignment horizontal="left"/>
      <protection locked="0"/>
    </xf>
    <xf numFmtId="0" fontId="65" fillId="34" borderId="0" xfId="0" applyFont="1" applyFill="1" applyAlignment="1" applyProtection="1">
      <alignment horizontal="left"/>
      <protection locked="0"/>
    </xf>
    <xf numFmtId="0" fontId="65" fillId="34" borderId="90" xfId="0" applyFont="1" applyFill="1" applyBorder="1" applyAlignment="1" applyProtection="1">
      <alignment horizontal="left"/>
      <protection locked="0"/>
    </xf>
    <xf numFmtId="0" fontId="70" fillId="34" borderId="40" xfId="0" applyFont="1" applyFill="1" applyBorder="1" applyProtection="1">
      <protection locked="0"/>
    </xf>
    <xf numFmtId="0" fontId="23" fillId="34" borderId="13" xfId="41" applyFont="1" applyFill="1" applyBorder="1" applyAlignment="1" applyProtection="1">
      <alignment wrapText="1"/>
      <protection locked="0"/>
    </xf>
    <xf numFmtId="0" fontId="23" fillId="34" borderId="0" xfId="41" applyFont="1" applyFill="1" applyAlignment="1" applyProtection="1">
      <alignment wrapText="1"/>
      <protection locked="0"/>
    </xf>
    <xf numFmtId="0" fontId="23" fillId="34" borderId="90" xfId="41" applyFont="1" applyFill="1" applyBorder="1" applyAlignment="1" applyProtection="1">
      <alignment wrapText="1"/>
      <protection locked="0"/>
    </xf>
    <xf numFmtId="0" fontId="74" fillId="34" borderId="13" xfId="0" applyFont="1" applyFill="1" applyBorder="1" applyProtection="1">
      <protection locked="0"/>
    </xf>
    <xf numFmtId="14" fontId="75" fillId="34" borderId="0" xfId="41" applyNumberFormat="1" applyFont="1" applyFill="1" applyAlignment="1" applyProtection="1">
      <alignment wrapText="1"/>
      <protection locked="0"/>
    </xf>
    <xf numFmtId="14" fontId="75" fillId="34" borderId="90" xfId="41" applyNumberFormat="1" applyFont="1" applyFill="1" applyBorder="1" applyAlignment="1" applyProtection="1">
      <alignment wrapText="1"/>
      <protection locked="0"/>
    </xf>
    <xf numFmtId="0" fontId="75" fillId="34" borderId="0" xfId="0" applyFont="1" applyFill="1" applyProtection="1">
      <protection locked="0"/>
    </xf>
    <xf numFmtId="0" fontId="75" fillId="34" borderId="90" xfId="0" applyFont="1" applyFill="1" applyBorder="1" applyProtection="1">
      <protection locked="0"/>
    </xf>
    <xf numFmtId="0" fontId="72" fillId="55" borderId="22" xfId="41" applyFont="1" applyFill="1" applyBorder="1" applyAlignment="1" applyProtection="1">
      <alignment horizontal="left" wrapText="1"/>
      <protection locked="0"/>
    </xf>
    <xf numFmtId="0" fontId="18" fillId="55" borderId="22" xfId="41" applyFill="1" applyBorder="1" applyAlignment="1" applyProtection="1">
      <alignment horizontal="left" wrapText="1"/>
      <protection locked="0"/>
    </xf>
    <xf numFmtId="0" fontId="18" fillId="55" borderId="92" xfId="41" applyFill="1" applyBorder="1" applyAlignment="1" applyProtection="1">
      <alignment horizontal="left" wrapText="1"/>
      <protection locked="0"/>
    </xf>
    <xf numFmtId="0" fontId="70" fillId="34" borderId="0" xfId="0" applyFont="1" applyFill="1" applyAlignment="1" applyProtection="1">
      <alignment horizontal="left"/>
      <protection locked="0"/>
    </xf>
    <xf numFmtId="0" fontId="70" fillId="34" borderId="90" xfId="0" applyFont="1" applyFill="1" applyBorder="1" applyAlignment="1" applyProtection="1">
      <alignment horizontal="left"/>
      <protection locked="0"/>
    </xf>
    <xf numFmtId="0" fontId="73" fillId="34" borderId="15" xfId="0" applyFont="1" applyFill="1" applyBorder="1" applyProtection="1">
      <protection locked="0"/>
    </xf>
    <xf numFmtId="0" fontId="73" fillId="34" borderId="22" xfId="0" applyFont="1" applyFill="1" applyBorder="1" applyProtection="1">
      <protection locked="0"/>
    </xf>
    <xf numFmtId="0" fontId="72" fillId="55" borderId="0" xfId="41" applyFont="1" applyFill="1" applyAlignment="1" applyProtection="1">
      <alignment horizontal="left" wrapText="1"/>
      <protection locked="0"/>
    </xf>
    <xf numFmtId="0" fontId="18" fillId="55" borderId="90" xfId="41" applyFill="1" applyBorder="1" applyAlignment="1" applyProtection="1">
      <alignment horizontal="left" wrapText="1"/>
      <protection locked="0"/>
    </xf>
    <xf numFmtId="0" fontId="73" fillId="34" borderId="0" xfId="0" applyFont="1" applyFill="1" applyAlignment="1" applyProtection="1">
      <alignment horizontal="center"/>
      <protection locked="0"/>
    </xf>
    <xf numFmtId="0" fontId="71" fillId="34" borderId="13" xfId="0" applyFont="1" applyFill="1" applyBorder="1" applyProtection="1">
      <protection locked="0"/>
    </xf>
    <xf numFmtId="0" fontId="71" fillId="34" borderId="0" xfId="0" applyFont="1" applyFill="1" applyProtection="1">
      <protection locked="0"/>
    </xf>
    <xf numFmtId="0" fontId="70" fillId="34" borderId="13" xfId="0" applyFont="1" applyFill="1" applyBorder="1" applyAlignment="1" applyProtection="1">
      <alignment horizontal="center"/>
      <protection locked="0"/>
    </xf>
    <xf numFmtId="0" fontId="70" fillId="34" borderId="40" xfId="0" applyFont="1" applyFill="1" applyBorder="1" applyAlignment="1" applyProtection="1">
      <alignment horizontal="center"/>
      <protection locked="0"/>
    </xf>
    <xf numFmtId="0" fontId="72" fillId="55" borderId="15" xfId="41" applyFont="1" applyFill="1" applyBorder="1" applyAlignment="1" applyProtection="1">
      <alignment horizontal="left" wrapText="1"/>
      <protection locked="0"/>
    </xf>
    <xf numFmtId="0" fontId="18" fillId="55" borderId="91" xfId="41" applyFill="1" applyBorder="1" applyAlignment="1" applyProtection="1">
      <alignment horizontal="left" wrapText="1"/>
      <protection locked="0"/>
    </xf>
    <xf numFmtId="0" fontId="66" fillId="48" borderId="75" xfId="0" applyFont="1" applyFill="1" applyBorder="1" applyAlignment="1" applyProtection="1">
      <alignment horizontal="center" vertical="center"/>
      <protection locked="0"/>
    </xf>
    <xf numFmtId="0" fontId="66" fillId="48" borderId="12" xfId="0" applyFont="1" applyFill="1" applyBorder="1" applyAlignment="1" applyProtection="1">
      <alignment horizontal="center" vertical="center"/>
      <protection locked="0"/>
    </xf>
    <xf numFmtId="0" fontId="66" fillId="48" borderId="25" xfId="0" applyFont="1" applyFill="1" applyBorder="1" applyAlignment="1" applyProtection="1">
      <alignment horizontal="center" vertical="center"/>
      <protection locked="0"/>
    </xf>
    <xf numFmtId="0" fontId="67" fillId="53" borderId="22" xfId="0" applyFont="1" applyFill="1" applyBorder="1" applyProtection="1">
      <protection locked="0"/>
    </xf>
    <xf numFmtId="0" fontId="68" fillId="48" borderId="75" xfId="0" applyFont="1" applyFill="1" applyBorder="1" applyAlignment="1" applyProtection="1">
      <alignment horizontal="center" vertical="center"/>
      <protection locked="0"/>
    </xf>
    <xf numFmtId="0" fontId="68" fillId="48" borderId="12" xfId="0" applyFont="1" applyFill="1" applyBorder="1" applyAlignment="1" applyProtection="1">
      <alignment horizontal="center" vertical="center"/>
      <protection locked="0"/>
    </xf>
    <xf numFmtId="0" fontId="68" fillId="48" borderId="25" xfId="0" applyFont="1" applyFill="1" applyBorder="1" applyAlignment="1" applyProtection="1">
      <alignment horizontal="center" vertical="center"/>
      <protection locked="0"/>
    </xf>
    <xf numFmtId="0" fontId="69" fillId="54" borderId="77" xfId="0" applyFont="1" applyFill="1" applyBorder="1" applyAlignment="1" applyProtection="1">
      <alignment vertical="center"/>
      <protection locked="0"/>
    </xf>
    <xf numFmtId="0" fontId="69" fillId="54" borderId="78" xfId="0" applyFont="1" applyFill="1" applyBorder="1" applyAlignment="1" applyProtection="1">
      <alignment vertical="center"/>
      <protection locked="0"/>
    </xf>
    <xf numFmtId="0" fontId="72" fillId="55" borderId="15" xfId="41" applyFont="1" applyFill="1" applyBorder="1" applyAlignment="1" applyProtection="1">
      <alignment wrapText="1"/>
      <protection locked="0"/>
    </xf>
    <xf numFmtId="0" fontId="18" fillId="55" borderId="91" xfId="41" applyFill="1" applyBorder="1" applyAlignment="1" applyProtection="1">
      <alignment wrapText="1"/>
      <protection locked="0"/>
    </xf>
    <xf numFmtId="17" fontId="4" fillId="0" borderId="45" xfId="61" applyNumberFormat="1" applyBorder="1"/>
    <xf numFmtId="17" fontId="4" fillId="0" borderId="35" xfId="61" applyNumberFormat="1" applyBorder="1"/>
    <xf numFmtId="0" fontId="23" fillId="57" borderId="45" xfId="61" applyFont="1" applyFill="1" applyBorder="1"/>
    <xf numFmtId="0" fontId="23" fillId="57" borderId="35" xfId="61" applyFont="1" applyFill="1" applyBorder="1"/>
    <xf numFmtId="0" fontId="67" fillId="57" borderId="16" xfId="51" applyFont="1" applyFill="1" applyBorder="1" applyAlignment="1">
      <alignment vertical="center"/>
    </xf>
    <xf numFmtId="0" fontId="67" fillId="57" borderId="11" xfId="51" applyFont="1" applyFill="1" applyBorder="1" applyAlignment="1">
      <alignment vertical="center"/>
    </xf>
    <xf numFmtId="22" fontId="70" fillId="34" borderId="11" xfId="51" applyNumberFormat="1" applyFont="1" applyFill="1" applyBorder="1" applyAlignment="1">
      <alignment horizontal="right" vertical="center"/>
    </xf>
    <xf numFmtId="0" fontId="70" fillId="34" borderId="11" xfId="51" applyFont="1" applyFill="1" applyBorder="1" applyAlignment="1">
      <alignment horizontal="right" vertical="center"/>
    </xf>
    <xf numFmtId="0" fontId="70" fillId="34" borderId="28" xfId="51" applyFont="1" applyFill="1" applyBorder="1" applyAlignment="1">
      <alignment horizontal="right" vertical="center"/>
    </xf>
    <xf numFmtId="0" fontId="59" fillId="48" borderId="160" xfId="51" applyFont="1" applyFill="1" applyBorder="1" applyAlignment="1">
      <alignment horizontal="center" vertical="center"/>
    </xf>
    <xf numFmtId="0" fontId="59" fillId="48" borderId="161" xfId="51" applyFont="1" applyFill="1" applyBorder="1" applyAlignment="1">
      <alignment horizontal="center" vertical="center"/>
    </xf>
    <xf numFmtId="0" fontId="59" fillId="48" borderId="50" xfId="51" applyFont="1" applyFill="1" applyBorder="1" applyAlignment="1">
      <alignment horizontal="center" vertical="center"/>
    </xf>
    <xf numFmtId="0" fontId="64" fillId="57" borderId="24" xfId="61" applyFont="1" applyFill="1" applyBorder="1" applyAlignment="1">
      <alignment horizontal="center" vertical="center"/>
    </xf>
    <xf numFmtId="0" fontId="64" fillId="57" borderId="20" xfId="61" applyFont="1" applyFill="1" applyBorder="1" applyAlignment="1">
      <alignment horizontal="center" vertical="center"/>
    </xf>
    <xf numFmtId="0" fontId="64" fillId="57" borderId="16" xfId="61" applyFont="1" applyFill="1" applyBorder="1" applyAlignment="1">
      <alignment horizontal="center" vertical="center"/>
    </xf>
    <xf numFmtId="0" fontId="64" fillId="57" borderId="11" xfId="61" applyFont="1" applyFill="1" applyBorder="1" applyAlignment="1">
      <alignment horizontal="center" vertical="center"/>
    </xf>
    <xf numFmtId="0" fontId="23" fillId="57" borderId="16" xfId="61" applyFont="1" applyFill="1" applyBorder="1" applyAlignment="1">
      <alignment horizontal="center" vertical="center"/>
    </xf>
    <xf numFmtId="0" fontId="23" fillId="57" borderId="11" xfId="61" applyFont="1" applyFill="1" applyBorder="1" applyAlignment="1">
      <alignment horizontal="center" vertical="center"/>
    </xf>
    <xf numFmtId="0" fontId="23" fillId="57" borderId="11" xfId="61" applyFont="1" applyFill="1" applyBorder="1" applyAlignment="1">
      <alignment horizontal="center" vertical="center" wrapText="1"/>
    </xf>
    <xf numFmtId="0" fontId="23" fillId="57" borderId="28" xfId="61" applyFont="1" applyFill="1" applyBorder="1" applyAlignment="1">
      <alignment horizontal="center" vertical="center"/>
    </xf>
    <xf numFmtId="14" fontId="70" fillId="34" borderId="11" xfId="51" applyNumberFormat="1" applyFont="1" applyFill="1" applyBorder="1" applyAlignment="1">
      <alignment horizontal="right" vertical="center"/>
    </xf>
    <xf numFmtId="0" fontId="67" fillId="57" borderId="24" xfId="51" applyFont="1" applyFill="1" applyBorder="1" applyAlignment="1">
      <alignment vertical="center"/>
    </xf>
    <xf numFmtId="0" fontId="67" fillId="57" borderId="20" xfId="51" applyFont="1" applyFill="1" applyBorder="1" applyAlignment="1">
      <alignment vertical="center"/>
    </xf>
    <xf numFmtId="0" fontId="70" fillId="34" borderId="20" xfId="51" applyFont="1" applyFill="1" applyBorder="1" applyAlignment="1">
      <alignment horizontal="right" vertical="center"/>
    </xf>
    <xf numFmtId="0" fontId="70" fillId="34" borderId="21" xfId="51" applyFont="1" applyFill="1" applyBorder="1" applyAlignment="1">
      <alignment horizontal="right" vertical="center"/>
    </xf>
    <xf numFmtId="0" fontId="67" fillId="57" borderId="16" xfId="51" applyFont="1" applyFill="1" applyBorder="1" applyAlignment="1">
      <alignment vertical="center" wrapText="1"/>
    </xf>
    <xf numFmtId="0" fontId="67" fillId="57" borderId="11" xfId="51" applyFont="1" applyFill="1" applyBorder="1" applyAlignment="1">
      <alignment vertical="center" wrapText="1"/>
    </xf>
    <xf numFmtId="0" fontId="70" fillId="34" borderId="11" xfId="51" applyFont="1" applyFill="1" applyBorder="1" applyAlignment="1">
      <alignment horizontal="right" vertical="center" wrapText="1"/>
    </xf>
    <xf numFmtId="0" fontId="70" fillId="34" borderId="28" xfId="51" applyFont="1" applyFill="1" applyBorder="1" applyAlignment="1">
      <alignment horizontal="right" vertical="center" wrapText="1"/>
    </xf>
    <xf numFmtId="0" fontId="4" fillId="24" borderId="76" xfId="41" applyFont="1" applyFill="1" applyBorder="1" applyAlignment="1" applyProtection="1">
      <alignment wrapText="1"/>
      <protection hidden="1"/>
    </xf>
    <xf numFmtId="0" fontId="70" fillId="34" borderId="142" xfId="0" applyFont="1" applyFill="1" applyBorder="1" applyProtection="1">
      <protection hidden="1"/>
    </xf>
    <xf numFmtId="0" fontId="70" fillId="34" borderId="143" xfId="0" applyFont="1" applyFill="1" applyBorder="1" applyProtection="1">
      <protection hidden="1"/>
    </xf>
    <xf numFmtId="0" fontId="73" fillId="34" borderId="152" xfId="0" applyFont="1" applyFill="1" applyBorder="1" applyProtection="1">
      <protection hidden="1"/>
    </xf>
    <xf numFmtId="0" fontId="73" fillId="34" borderId="146" xfId="0" applyFont="1" applyFill="1" applyBorder="1" applyProtection="1">
      <protection hidden="1"/>
    </xf>
    <xf numFmtId="0" fontId="73" fillId="34" borderId="150" xfId="0" applyFont="1" applyFill="1" applyBorder="1" applyProtection="1">
      <protection hidden="1"/>
    </xf>
    <xf numFmtId="0" fontId="73" fillId="34" borderId="114" xfId="0" applyFont="1" applyFill="1" applyBorder="1" applyProtection="1">
      <protection hidden="1"/>
    </xf>
    <xf numFmtId="0" fontId="27" fillId="53" borderId="104" xfId="0" applyFont="1" applyFill="1" applyBorder="1" applyAlignment="1" applyProtection="1">
      <alignment horizontal="left"/>
      <protection hidden="1"/>
    </xf>
    <xf numFmtId="0" fontId="27" fillId="53" borderId="105" xfId="0" applyFont="1" applyFill="1" applyBorder="1" applyAlignment="1" applyProtection="1">
      <alignment horizontal="left"/>
      <protection hidden="1"/>
    </xf>
    <xf numFmtId="0" fontId="27" fillId="53" borderId="135" xfId="0" applyFont="1" applyFill="1" applyBorder="1" applyAlignment="1" applyProtection="1">
      <alignment horizontal="left"/>
      <protection hidden="1"/>
    </xf>
    <xf numFmtId="0" fontId="67" fillId="34" borderId="13" xfId="0" applyFont="1" applyFill="1" applyBorder="1" applyProtection="1">
      <protection hidden="1"/>
    </xf>
    <xf numFmtId="0" fontId="67" fillId="34" borderId="0" xfId="0" applyFont="1" applyFill="1" applyProtection="1">
      <protection hidden="1"/>
    </xf>
    <xf numFmtId="0" fontId="67" fillId="34" borderId="14" xfId="0" applyFont="1" applyFill="1" applyBorder="1" applyProtection="1">
      <protection hidden="1"/>
    </xf>
    <xf numFmtId="0" fontId="70" fillId="34" borderId="13" xfId="0" applyFont="1" applyFill="1" applyBorder="1" applyProtection="1">
      <protection hidden="1"/>
    </xf>
    <xf numFmtId="0" fontId="70" fillId="34" borderId="0" xfId="0" applyFont="1" applyFill="1" applyProtection="1">
      <protection hidden="1"/>
    </xf>
    <xf numFmtId="0" fontId="70" fillId="34" borderId="40" xfId="0" applyFont="1" applyFill="1" applyBorder="1" applyProtection="1">
      <protection hidden="1"/>
    </xf>
    <xf numFmtId="0" fontId="70" fillId="34" borderId="22" xfId="0" applyFont="1" applyFill="1" applyBorder="1" applyProtection="1">
      <protection hidden="1"/>
    </xf>
    <xf numFmtId="0" fontId="27" fillId="53" borderId="104" xfId="0" applyFont="1" applyFill="1" applyBorder="1" applyAlignment="1" applyProtection="1">
      <alignment horizontal="left" wrapText="1"/>
      <protection hidden="1"/>
    </xf>
    <xf numFmtId="0" fontId="27" fillId="53" borderId="105" xfId="0" applyFont="1" applyFill="1" applyBorder="1" applyAlignment="1" applyProtection="1">
      <alignment horizontal="left" wrapText="1"/>
      <protection hidden="1"/>
    </xf>
    <xf numFmtId="0" fontId="27" fillId="53" borderId="135" xfId="0" applyFont="1" applyFill="1" applyBorder="1" applyAlignment="1" applyProtection="1">
      <alignment horizontal="left" wrapText="1"/>
      <protection hidden="1"/>
    </xf>
    <xf numFmtId="0" fontId="71" fillId="34" borderId="13" xfId="0" applyFont="1" applyFill="1" applyBorder="1" applyAlignment="1" applyProtection="1">
      <alignment horizontal="left"/>
      <protection hidden="1"/>
    </xf>
    <xf numFmtId="0" fontId="71" fillId="34" borderId="0" xfId="0" applyFont="1" applyFill="1" applyAlignment="1" applyProtection="1">
      <alignment horizontal="left"/>
      <protection hidden="1"/>
    </xf>
    <xf numFmtId="0" fontId="70" fillId="34" borderId="149" xfId="0" applyFont="1" applyFill="1" applyBorder="1" applyProtection="1">
      <protection hidden="1"/>
    </xf>
    <xf numFmtId="0" fontId="4" fillId="55" borderId="0" xfId="41" applyFont="1" applyFill="1" applyAlignment="1" applyProtection="1">
      <alignment horizontal="left" wrapText="1"/>
      <protection hidden="1"/>
    </xf>
    <xf numFmtId="0" fontId="4" fillId="55" borderId="114" xfId="41" applyFont="1" applyFill="1" applyBorder="1" applyAlignment="1" applyProtection="1">
      <alignment horizontal="left" wrapText="1"/>
      <protection hidden="1"/>
    </xf>
    <xf numFmtId="0" fontId="4" fillId="55" borderId="151" xfId="41" applyFont="1" applyFill="1" applyBorder="1" applyAlignment="1" applyProtection="1">
      <alignment horizontal="left" wrapText="1"/>
      <protection hidden="1"/>
    </xf>
    <xf numFmtId="0" fontId="4" fillId="55" borderId="134" xfId="41" applyFont="1" applyFill="1" applyBorder="1" applyAlignment="1" applyProtection="1">
      <alignment horizontal="left" wrapText="1"/>
      <protection hidden="1"/>
    </xf>
    <xf numFmtId="0" fontId="65" fillId="0" borderId="137" xfId="0" applyFont="1" applyBorder="1" applyProtection="1">
      <protection hidden="1"/>
    </xf>
    <xf numFmtId="0" fontId="65" fillId="0" borderId="138" xfId="0" applyFont="1" applyBorder="1" applyProtection="1">
      <protection hidden="1"/>
    </xf>
    <xf numFmtId="0" fontId="65" fillId="0" borderId="139" xfId="0" applyFont="1" applyBorder="1" applyProtection="1">
      <protection hidden="1"/>
    </xf>
    <xf numFmtId="0" fontId="27" fillId="34" borderId="104" xfId="0" applyFont="1" applyFill="1" applyBorder="1" applyAlignment="1" applyProtection="1">
      <alignment horizontal="left"/>
      <protection hidden="1"/>
    </xf>
    <xf numFmtId="0" fontId="27" fillId="34" borderId="105" xfId="0" applyFont="1" applyFill="1" applyBorder="1" applyAlignment="1" applyProtection="1">
      <alignment horizontal="left"/>
      <protection hidden="1"/>
    </xf>
    <xf numFmtId="0" fontId="27" fillId="34" borderId="135" xfId="0" applyFont="1" applyFill="1" applyBorder="1" applyAlignment="1" applyProtection="1">
      <alignment horizontal="left"/>
      <protection hidden="1"/>
    </xf>
    <xf numFmtId="0" fontId="70" fillId="34" borderId="148" xfId="0" applyFont="1" applyFill="1" applyBorder="1" applyProtection="1">
      <protection hidden="1"/>
    </xf>
    <xf numFmtId="0" fontId="24" fillId="34" borderId="0" xfId="0" applyFont="1" applyFill="1" applyProtection="1">
      <protection hidden="1"/>
    </xf>
    <xf numFmtId="0" fontId="24" fillId="34" borderId="114" xfId="0" applyFont="1" applyFill="1" applyBorder="1" applyProtection="1">
      <protection hidden="1"/>
    </xf>
    <xf numFmtId="0" fontId="25" fillId="55" borderId="0" xfId="41" applyFont="1" applyFill="1" applyAlignment="1" applyProtection="1">
      <alignment horizontal="left" wrapText="1"/>
      <protection hidden="1"/>
    </xf>
    <xf numFmtId="0" fontId="25" fillId="55" borderId="114" xfId="41" applyFont="1" applyFill="1" applyBorder="1" applyAlignment="1" applyProtection="1">
      <alignment horizontal="left" wrapText="1"/>
      <protection hidden="1"/>
    </xf>
    <xf numFmtId="0" fontId="70" fillId="34" borderId="114" xfId="0" applyFont="1" applyFill="1" applyBorder="1" applyProtection="1">
      <protection hidden="1"/>
    </xf>
    <xf numFmtId="0" fontId="27" fillId="34" borderId="104" xfId="0" applyFont="1" applyFill="1" applyBorder="1" applyAlignment="1" applyProtection="1">
      <alignment horizontal="left" wrapText="1"/>
      <protection hidden="1"/>
    </xf>
    <xf numFmtId="0" fontId="27" fillId="34" borderId="105" xfId="0" applyFont="1" applyFill="1" applyBorder="1" applyAlignment="1" applyProtection="1">
      <alignment horizontal="left" wrapText="1"/>
      <protection hidden="1"/>
    </xf>
    <xf numFmtId="0" fontId="27" fillId="34" borderId="135" xfId="0" applyFont="1" applyFill="1" applyBorder="1" applyAlignment="1" applyProtection="1">
      <alignment horizontal="left" wrapText="1"/>
      <protection hidden="1"/>
    </xf>
    <xf numFmtId="0" fontId="70" fillId="34" borderId="131" xfId="0" applyFont="1" applyFill="1" applyBorder="1" applyProtection="1">
      <protection hidden="1"/>
    </xf>
    <xf numFmtId="0" fontId="70" fillId="34" borderId="132" xfId="0" applyFont="1" applyFill="1" applyBorder="1" applyProtection="1">
      <protection hidden="1"/>
    </xf>
    <xf numFmtId="0" fontId="70" fillId="34" borderId="147" xfId="0" applyFont="1" applyFill="1" applyBorder="1" applyProtection="1">
      <protection hidden="1"/>
    </xf>
    <xf numFmtId="0" fontId="24" fillId="34" borderId="140" xfId="0" applyFont="1" applyFill="1" applyBorder="1" applyProtection="1">
      <protection hidden="1"/>
    </xf>
    <xf numFmtId="0" fontId="24" fillId="34" borderId="141" xfId="0" applyFont="1" applyFill="1" applyBorder="1" applyProtection="1">
      <protection hidden="1"/>
    </xf>
    <xf numFmtId="0" fontId="73" fillId="34" borderId="145" xfId="0" applyFont="1" applyFill="1" applyBorder="1" applyProtection="1">
      <protection hidden="1"/>
    </xf>
    <xf numFmtId="0" fontId="24" fillId="34" borderId="133" xfId="0" applyFont="1" applyFill="1" applyBorder="1" applyProtection="1">
      <protection hidden="1"/>
    </xf>
    <xf numFmtId="0" fontId="24" fillId="34" borderId="134" xfId="0" applyFont="1" applyFill="1" applyBorder="1" applyProtection="1">
      <protection hidden="1"/>
    </xf>
    <xf numFmtId="0" fontId="68" fillId="48" borderId="75" xfId="0" applyFont="1" applyFill="1" applyBorder="1" applyAlignment="1" applyProtection="1">
      <alignment horizontal="center" vertical="center"/>
      <protection hidden="1"/>
    </xf>
    <xf numFmtId="0" fontId="68" fillId="48" borderId="12" xfId="0" applyFont="1" applyFill="1" applyBorder="1" applyAlignment="1" applyProtection="1">
      <alignment horizontal="center" vertical="center"/>
      <protection hidden="1"/>
    </xf>
    <xf numFmtId="0" fontId="68" fillId="48" borderId="25" xfId="0" applyFont="1" applyFill="1" applyBorder="1" applyAlignment="1" applyProtection="1">
      <alignment horizontal="center" vertical="center"/>
      <protection hidden="1"/>
    </xf>
    <xf numFmtId="0" fontId="69" fillId="64" borderId="100" xfId="0" applyFont="1" applyFill="1" applyBorder="1" applyAlignment="1" applyProtection="1">
      <alignment vertical="center"/>
      <protection hidden="1"/>
    </xf>
    <xf numFmtId="0" fontId="69" fillId="64" borderId="101" xfId="0" applyFont="1" applyFill="1" applyBorder="1" applyAlignment="1" applyProtection="1">
      <alignment vertical="center"/>
      <protection hidden="1"/>
    </xf>
    <xf numFmtId="0" fontId="69" fillId="64" borderId="128" xfId="0" applyFont="1" applyFill="1" applyBorder="1" applyAlignment="1" applyProtection="1">
      <alignment vertical="center"/>
      <protection hidden="1"/>
    </xf>
    <xf numFmtId="0" fontId="65" fillId="0" borderId="104" xfId="0" applyFont="1" applyBorder="1" applyProtection="1">
      <protection hidden="1"/>
    </xf>
    <xf numFmtId="0" fontId="65" fillId="0" borderId="105" xfId="0" applyFont="1" applyBorder="1" applyProtection="1">
      <protection hidden="1"/>
    </xf>
    <xf numFmtId="0" fontId="65" fillId="0" borderId="106" xfId="0" applyFont="1" applyBorder="1" applyProtection="1">
      <protection hidden="1"/>
    </xf>
    <xf numFmtId="0" fontId="67" fillId="34" borderId="80" xfId="0" applyFont="1" applyFill="1" applyBorder="1" applyAlignment="1" applyProtection="1">
      <alignment horizontal="right"/>
      <protection locked="0"/>
    </xf>
    <xf numFmtId="0" fontId="67" fillId="34" borderId="81" xfId="0" applyFont="1" applyFill="1" applyBorder="1" applyAlignment="1" applyProtection="1">
      <alignment horizontal="right"/>
      <protection locked="0"/>
    </xf>
    <xf numFmtId="0" fontId="67" fillId="34" borderId="38" xfId="0" applyFont="1" applyFill="1" applyBorder="1" applyAlignment="1" applyProtection="1">
      <alignment horizontal="right"/>
      <protection locked="0"/>
    </xf>
    <xf numFmtId="0" fontId="67" fillId="34" borderId="45" xfId="0" applyFont="1" applyFill="1" applyBorder="1" applyAlignment="1" applyProtection="1">
      <alignment horizontal="right" vertical="center"/>
      <protection locked="0"/>
    </xf>
    <xf numFmtId="0" fontId="67" fillId="34" borderId="34" xfId="0" applyFont="1" applyFill="1" applyBorder="1" applyAlignment="1" applyProtection="1">
      <alignment horizontal="right" vertical="center"/>
      <protection locked="0"/>
    </xf>
    <xf numFmtId="0" fontId="67" fillId="34" borderId="35" xfId="0" applyFont="1" applyFill="1" applyBorder="1" applyAlignment="1" applyProtection="1">
      <alignment horizontal="right" vertical="center"/>
      <protection locked="0"/>
    </xf>
    <xf numFmtId="0" fontId="67" fillId="34" borderId="85" xfId="0" applyFont="1" applyFill="1" applyBorder="1" applyAlignment="1" applyProtection="1">
      <alignment horizontal="right" vertical="center"/>
      <protection locked="0"/>
    </xf>
    <xf numFmtId="0" fontId="67" fillId="34" borderId="86" xfId="0" applyFont="1" applyFill="1" applyBorder="1" applyAlignment="1" applyProtection="1">
      <alignment horizontal="right" vertical="center"/>
      <protection locked="0"/>
    </xf>
    <xf numFmtId="0" fontId="67" fillId="34" borderId="87" xfId="0" applyFont="1" applyFill="1" applyBorder="1" applyAlignment="1" applyProtection="1">
      <alignment horizontal="right" vertical="center"/>
      <protection locked="0"/>
    </xf>
    <xf numFmtId="0" fontId="48" fillId="41" borderId="11" xfId="42" applyFont="1" applyFill="1" applyBorder="1" applyAlignment="1">
      <alignment horizontal="center"/>
    </xf>
    <xf numFmtId="0" fontId="29" fillId="0" borderId="11" xfId="0" applyFont="1" applyBorder="1" applyAlignment="1">
      <alignment horizontal="left" wrapText="1"/>
    </xf>
    <xf numFmtId="0" fontId="29" fillId="0" borderId="11" xfId="0" applyFont="1" applyBorder="1" applyAlignment="1">
      <alignment horizontal="left" vertical="top" wrapText="1"/>
    </xf>
    <xf numFmtId="0" fontId="102" fillId="7" borderId="175" xfId="44" applyFont="1" applyFill="1" applyBorder="1" applyAlignment="1" applyProtection="1">
      <alignment horizontal="center" vertical="center"/>
      <protection locked="0"/>
    </xf>
    <xf numFmtId="164" fontId="102" fillId="20" borderId="10" xfId="30" applyFont="1" applyFill="1" applyBorder="1" applyAlignment="1" applyProtection="1">
      <alignment horizontal="center" vertical="center"/>
    </xf>
    <xf numFmtId="2" fontId="98" fillId="20" borderId="117" xfId="0" applyNumberFormat="1" applyFont="1" applyFill="1" applyBorder="1" applyAlignment="1" applyProtection="1">
      <alignment horizontal="left" vertical="center"/>
    </xf>
    <xf numFmtId="2" fontId="98" fillId="20" borderId="120" xfId="0" applyNumberFormat="1" applyFont="1" applyFill="1" applyBorder="1" applyAlignment="1" applyProtection="1">
      <alignment horizontal="left" vertical="center"/>
    </xf>
    <xf numFmtId="2" fontId="98" fillId="20" borderId="10" xfId="0" applyNumberFormat="1" applyFont="1" applyFill="1" applyBorder="1" applyAlignment="1" applyProtection="1">
      <alignment horizontal="left" vertical="center"/>
    </xf>
    <xf numFmtId="177" fontId="104" fillId="47" borderId="18" xfId="0" applyNumberFormat="1" applyFont="1" applyFill="1" applyBorder="1" applyAlignment="1" applyProtection="1">
      <alignment horizontal="center" vertical="center"/>
      <protection locked="0"/>
    </xf>
    <xf numFmtId="177" fontId="104" fillId="47" borderId="116" xfId="0" applyNumberFormat="1" applyFont="1" applyFill="1" applyBorder="1" applyAlignment="1" applyProtection="1">
      <alignment horizontal="center" vertical="center"/>
      <protection locked="0"/>
    </xf>
    <xf numFmtId="0" fontId="58" fillId="34" borderId="0" xfId="43" applyFont="1" applyFill="1" applyAlignment="1" applyProtection="1">
      <alignment horizontal="left" wrapText="1"/>
    </xf>
    <xf numFmtId="0" fontId="46" fillId="41" borderId="33" xfId="43" applyFont="1" applyFill="1" applyBorder="1" applyAlignment="1" applyProtection="1">
      <alignment horizontal="center" wrapText="1"/>
      <protection locked="0"/>
    </xf>
    <xf numFmtId="0" fontId="46" fillId="41" borderId="34" xfId="43" applyFont="1" applyFill="1" applyBorder="1" applyAlignment="1" applyProtection="1">
      <alignment horizontal="center" wrapText="1"/>
      <protection locked="0"/>
    </xf>
    <xf numFmtId="0" fontId="46" fillId="41" borderId="35" xfId="43" applyFont="1" applyFill="1" applyBorder="1" applyAlignment="1" applyProtection="1">
      <alignment horizontal="center" wrapText="1"/>
      <protection locked="0"/>
    </xf>
    <xf numFmtId="0" fontId="28" fillId="33" borderId="11" xfId="43" applyFont="1" applyFill="1" applyBorder="1" applyAlignment="1" applyProtection="1">
      <alignment horizontal="center" wrapText="1"/>
      <protection locked="0"/>
    </xf>
    <xf numFmtId="0" fontId="34" fillId="0" borderId="0" xfId="43" applyFont="1" applyAlignment="1" applyProtection="1">
      <alignment horizontal="center" wrapText="1"/>
    </xf>
    <xf numFmtId="0" fontId="46" fillId="41" borderId="44" xfId="43" applyFont="1" applyFill="1" applyBorder="1" applyAlignment="1" applyProtection="1">
      <alignment horizontal="center" vertical="center" wrapText="1"/>
    </xf>
    <xf numFmtId="0" fontId="46" fillId="41" borderId="43" xfId="43" applyFont="1" applyFill="1" applyBorder="1" applyAlignment="1" applyProtection="1">
      <alignment horizontal="center" vertical="center" wrapText="1"/>
    </xf>
    <xf numFmtId="0" fontId="34" fillId="34" borderId="0" xfId="43" applyFont="1" applyFill="1" applyAlignment="1" applyProtection="1">
      <alignment horizontal="center" vertical="center" wrapText="1"/>
    </xf>
    <xf numFmtId="0" fontId="61" fillId="34" borderId="11" xfId="42" applyFont="1" applyFill="1" applyBorder="1" applyAlignment="1">
      <alignment vertical="center"/>
    </xf>
    <xf numFmtId="3" fontId="61" fillId="34" borderId="33" xfId="42" applyNumberFormat="1" applyFont="1" applyFill="1" applyBorder="1" applyAlignment="1">
      <alignment horizontal="center" vertical="center"/>
    </xf>
    <xf numFmtId="3" fontId="61" fillId="34" borderId="34" xfId="42" applyNumberFormat="1" applyFont="1" applyFill="1" applyBorder="1" applyAlignment="1">
      <alignment horizontal="center" vertical="center"/>
    </xf>
    <xf numFmtId="3" fontId="61" fillId="34" borderId="35" xfId="42" applyNumberFormat="1" applyFont="1" applyFill="1" applyBorder="1" applyAlignment="1">
      <alignment horizontal="center" vertical="center"/>
    </xf>
    <xf numFmtId="0" fontId="59" fillId="49" borderId="51" xfId="42" applyFont="1" applyFill="1" applyBorder="1" applyAlignment="1">
      <alignment horizontal="center" vertical="center"/>
    </xf>
    <xf numFmtId="0" fontId="59" fillId="48" borderId="52" xfId="42" applyFont="1" applyFill="1" applyBorder="1" applyAlignment="1">
      <alignment horizontal="center" vertical="center"/>
    </xf>
    <xf numFmtId="0" fontId="59" fillId="48" borderId="53" xfId="42" applyFont="1" applyFill="1" applyBorder="1" applyAlignment="1">
      <alignment horizontal="center" vertical="center"/>
    </xf>
    <xf numFmtId="0" fontId="61" fillId="34" borderId="33" xfId="42" applyFont="1" applyFill="1" applyBorder="1" applyAlignment="1">
      <alignment horizontal="left" vertical="center"/>
    </xf>
    <xf numFmtId="0" fontId="61" fillId="34" borderId="35" xfId="42" applyFont="1" applyFill="1" applyBorder="1" applyAlignment="1">
      <alignment horizontal="left" vertical="center"/>
    </xf>
    <xf numFmtId="0" fontId="61" fillId="34" borderId="65" xfId="42" applyFont="1" applyFill="1" applyBorder="1" applyAlignment="1">
      <alignment horizontal="left" vertical="center"/>
    </xf>
    <xf numFmtId="0" fontId="61" fillId="34" borderId="66" xfId="42" applyFont="1" applyFill="1" applyBorder="1" applyAlignment="1">
      <alignment horizontal="left" vertical="center"/>
    </xf>
    <xf numFmtId="3" fontId="61" fillId="34" borderId="65" xfId="42" applyNumberFormat="1" applyFont="1" applyFill="1" applyBorder="1" applyAlignment="1">
      <alignment horizontal="center" vertical="center"/>
    </xf>
    <xf numFmtId="3" fontId="61" fillId="34" borderId="67" xfId="42" applyNumberFormat="1" applyFont="1" applyFill="1" applyBorder="1" applyAlignment="1">
      <alignment horizontal="center" vertical="center"/>
    </xf>
    <xf numFmtId="3" fontId="61" fillId="34" borderId="66" xfId="42" applyNumberFormat="1" applyFont="1" applyFill="1" applyBorder="1" applyAlignment="1">
      <alignment horizontal="center" vertical="center"/>
    </xf>
    <xf numFmtId="0" fontId="64" fillId="50" borderId="51" xfId="0" applyFont="1" applyFill="1" applyBorder="1" applyAlignment="1">
      <alignment horizontal="center" vertical="center"/>
    </xf>
    <xf numFmtId="0" fontId="64" fillId="50" borderId="62" xfId="0" applyFont="1" applyFill="1" applyBorder="1" applyAlignment="1">
      <alignment horizontal="center" vertical="center"/>
    </xf>
    <xf numFmtId="3" fontId="64" fillId="50" borderId="63" xfId="0" applyNumberFormat="1" applyFont="1" applyFill="1" applyBorder="1" applyAlignment="1">
      <alignment horizontal="center" vertical="center"/>
    </xf>
    <xf numFmtId="3" fontId="64" fillId="50" borderId="52" xfId="0" applyNumberFormat="1" applyFont="1" applyFill="1" applyBorder="1" applyAlignment="1">
      <alignment horizontal="center" vertical="center"/>
    </xf>
    <xf numFmtId="3" fontId="64" fillId="50" borderId="62" xfId="0" applyNumberFormat="1" applyFont="1" applyFill="1" applyBorder="1" applyAlignment="1">
      <alignment horizontal="center" vertical="center"/>
    </xf>
    <xf numFmtId="3" fontId="61" fillId="34" borderId="11" xfId="42" applyNumberFormat="1" applyFont="1" applyFill="1" applyBorder="1" applyAlignment="1">
      <alignment horizontal="center" vertical="center"/>
    </xf>
    <xf numFmtId="169" fontId="64" fillId="50" borderId="30" xfId="42" applyNumberFormat="1" applyFont="1" applyFill="1" applyBorder="1" applyAlignment="1">
      <alignment horizontal="center" vertical="center"/>
    </xf>
    <xf numFmtId="169" fontId="64" fillId="51" borderId="41" xfId="42" applyNumberFormat="1" applyFont="1" applyFill="1" applyBorder="1" applyAlignment="1">
      <alignment horizontal="center" vertical="center"/>
    </xf>
    <xf numFmtId="169" fontId="64" fillId="51" borderId="42" xfId="42" applyNumberFormat="1" applyFont="1" applyFill="1" applyBorder="1" applyAlignment="1">
      <alignment horizontal="center" vertical="center"/>
    </xf>
    <xf numFmtId="0" fontId="64" fillId="50" borderId="30" xfId="42" applyFont="1" applyFill="1" applyBorder="1" applyAlignment="1">
      <alignment horizontal="center" vertical="center" wrapText="1"/>
    </xf>
    <xf numFmtId="0" fontId="64" fillId="51" borderId="16" xfId="42" applyFont="1" applyFill="1" applyBorder="1" applyAlignment="1">
      <alignment horizontal="center" vertical="center" wrapText="1"/>
    </xf>
    <xf numFmtId="0" fontId="64" fillId="50" borderId="56" xfId="42" applyFont="1" applyFill="1" applyBorder="1" applyAlignment="1">
      <alignment horizontal="center" vertical="center"/>
    </xf>
    <xf numFmtId="0" fontId="64" fillId="51" borderId="57" xfId="42" applyFont="1" applyFill="1" applyBorder="1" applyAlignment="1">
      <alignment horizontal="center" vertical="center"/>
    </xf>
    <xf numFmtId="0" fontId="64" fillId="51" borderId="44" xfId="42" applyFont="1" applyFill="1" applyBorder="1" applyAlignment="1">
      <alignment horizontal="center" vertical="center"/>
    </xf>
    <xf numFmtId="0" fontId="64" fillId="51" borderId="60" xfId="42" applyFont="1" applyFill="1" applyBorder="1" applyAlignment="1">
      <alignment horizontal="center" vertical="center"/>
    </xf>
    <xf numFmtId="0" fontId="64" fillId="51" borderId="12" xfId="42" applyFont="1" applyFill="1" applyBorder="1" applyAlignment="1">
      <alignment horizontal="center" vertical="center"/>
    </xf>
    <xf numFmtId="0" fontId="64" fillId="51" borderId="25" xfId="42" applyFont="1" applyFill="1" applyBorder="1" applyAlignment="1">
      <alignment horizontal="center" vertical="center"/>
    </xf>
    <xf numFmtId="0" fontId="64" fillId="51" borderId="43" xfId="42" applyFont="1" applyFill="1" applyBorder="1" applyAlignment="1">
      <alignment horizontal="center" vertical="center"/>
    </xf>
    <xf numFmtId="0" fontId="64" fillId="51" borderId="64" xfId="42" applyFont="1" applyFill="1" applyBorder="1" applyAlignment="1">
      <alignment horizontal="center" vertical="center"/>
    </xf>
    <xf numFmtId="17" fontId="64" fillId="50" borderId="30" xfId="42" applyNumberFormat="1" applyFont="1" applyFill="1" applyBorder="1" applyAlignment="1">
      <alignment horizontal="center" vertical="center"/>
    </xf>
    <xf numFmtId="17" fontId="64" fillId="51" borderId="42" xfId="42" applyNumberFormat="1" applyFont="1" applyFill="1" applyBorder="1" applyAlignment="1">
      <alignment horizontal="center" vertical="center"/>
    </xf>
    <xf numFmtId="169" fontId="64" fillId="50" borderId="38" xfId="42" applyNumberFormat="1" applyFont="1" applyFill="1" applyBorder="1" applyAlignment="1">
      <alignment horizontal="center" vertical="center"/>
    </xf>
    <xf numFmtId="169" fontId="64" fillId="50" borderId="24" xfId="42" applyNumberFormat="1" applyFont="1" applyFill="1" applyBorder="1" applyAlignment="1">
      <alignment horizontal="center" vertical="center"/>
    </xf>
    <xf numFmtId="169" fontId="64" fillId="51" borderId="20" xfId="42" applyNumberFormat="1" applyFont="1" applyFill="1" applyBorder="1" applyAlignment="1">
      <alignment horizontal="center" vertical="center"/>
    </xf>
    <xf numFmtId="0" fontId="61" fillId="34" borderId="33" xfId="42" applyFont="1" applyFill="1" applyBorder="1" applyAlignment="1">
      <alignment vertical="center"/>
    </xf>
    <xf numFmtId="0" fontId="61" fillId="34" borderId="35" xfId="42" applyFont="1" applyFill="1" applyBorder="1" applyAlignment="1">
      <alignment vertical="center"/>
    </xf>
    <xf numFmtId="0" fontId="59" fillId="49" borderId="52" xfId="42" applyFont="1" applyFill="1" applyBorder="1" applyAlignment="1">
      <alignment horizontal="center" vertical="center"/>
    </xf>
    <xf numFmtId="0" fontId="59" fillId="49" borderId="12" xfId="42" applyFont="1" applyFill="1" applyBorder="1" applyAlignment="1">
      <alignment horizontal="center" vertical="center"/>
    </xf>
    <xf numFmtId="0" fontId="59" fillId="48" borderId="12" xfId="42" applyFont="1" applyFill="1" applyBorder="1" applyAlignment="1">
      <alignment horizontal="center" vertical="center"/>
    </xf>
    <xf numFmtId="0" fontId="59" fillId="48" borderId="54" xfId="42" applyFont="1" applyFill="1" applyBorder="1" applyAlignment="1">
      <alignment horizontal="center" vertical="center"/>
    </xf>
    <xf numFmtId="0" fontId="59" fillId="48" borderId="55" xfId="42" applyFont="1" applyFill="1" applyBorder="1" applyAlignment="1">
      <alignment horizontal="center" vertical="center"/>
    </xf>
    <xf numFmtId="0" fontId="64" fillId="50" borderId="41" xfId="42" applyFont="1" applyFill="1" applyBorder="1" applyAlignment="1">
      <alignment horizontal="center" vertical="center"/>
    </xf>
    <xf numFmtId="0" fontId="64" fillId="51" borderId="11" xfId="42" applyFont="1" applyFill="1" applyBorder="1" applyAlignment="1">
      <alignment horizontal="center" vertical="center"/>
    </xf>
    <xf numFmtId="0" fontId="64" fillId="50" borderId="58" xfId="42" applyFont="1" applyFill="1" applyBorder="1" applyAlignment="1">
      <alignment horizontal="center" vertical="center"/>
    </xf>
    <xf numFmtId="0" fontId="64" fillId="51" borderId="21" xfId="42" applyFont="1" applyFill="1" applyBorder="1" applyAlignment="1">
      <alignment horizontal="center" vertical="center"/>
    </xf>
    <xf numFmtId="0" fontId="64" fillId="50" borderId="59" xfId="42" applyFont="1" applyFill="1" applyBorder="1" applyAlignment="1">
      <alignment horizontal="center" vertical="center"/>
    </xf>
    <xf numFmtId="0" fontId="64" fillId="51" borderId="61" xfId="42" applyFont="1" applyFill="1" applyBorder="1" applyAlignment="1">
      <alignment horizontal="center" vertical="center"/>
    </xf>
    <xf numFmtId="0" fontId="59" fillId="49" borderId="53" xfId="42" applyFont="1" applyFill="1" applyBorder="1" applyAlignment="1">
      <alignment horizontal="center" vertical="center"/>
    </xf>
    <xf numFmtId="0" fontId="64" fillId="50" borderId="37" xfId="42" applyFont="1" applyFill="1" applyBorder="1" applyAlignment="1">
      <alignment horizontal="center" vertical="center" wrapText="1"/>
    </xf>
    <xf numFmtId="0" fontId="64" fillId="50" borderId="71" xfId="42" applyFont="1" applyFill="1" applyBorder="1" applyAlignment="1">
      <alignment horizontal="center" vertical="center" wrapText="1"/>
    </xf>
    <xf numFmtId="3" fontId="61" fillId="34" borderId="65" xfId="42" applyNumberFormat="1" applyFont="1" applyFill="1" applyBorder="1" applyAlignment="1">
      <alignment vertical="center"/>
    </xf>
    <xf numFmtId="3" fontId="61" fillId="34" borderId="74" xfId="42" applyNumberFormat="1" applyFont="1" applyFill="1" applyBorder="1" applyAlignment="1">
      <alignment vertical="center"/>
    </xf>
    <xf numFmtId="169" fontId="64" fillId="51" borderId="21" xfId="42" applyNumberFormat="1" applyFont="1" applyFill="1" applyBorder="1" applyAlignment="1">
      <alignment horizontal="center" vertical="center"/>
    </xf>
    <xf numFmtId="0" fontId="64" fillId="50" borderId="24" xfId="42" applyFont="1" applyFill="1" applyBorder="1" applyAlignment="1">
      <alignment horizontal="center" vertical="center" wrapText="1"/>
    </xf>
    <xf numFmtId="0" fontId="64" fillId="50" borderId="39" xfId="42" applyFont="1" applyFill="1" applyBorder="1" applyAlignment="1">
      <alignment horizontal="center" vertical="center"/>
    </xf>
    <xf numFmtId="0" fontId="64" fillId="51" borderId="70" xfId="42" applyFont="1" applyFill="1" applyBorder="1" applyAlignment="1">
      <alignment horizontal="center" vertical="center"/>
    </xf>
    <xf numFmtId="17" fontId="64" fillId="50" borderId="60" xfId="42" applyNumberFormat="1" applyFont="1" applyFill="1" applyBorder="1" applyAlignment="1">
      <alignment horizontal="center" vertical="center"/>
    </xf>
    <xf numFmtId="17" fontId="64" fillId="51" borderId="20" xfId="42" applyNumberFormat="1" applyFont="1" applyFill="1" applyBorder="1" applyAlignment="1">
      <alignment horizontal="center" vertical="center"/>
    </xf>
    <xf numFmtId="169" fontId="64" fillId="50" borderId="60" xfId="42" applyNumberFormat="1" applyFont="1" applyFill="1" applyBorder="1" applyAlignment="1">
      <alignment horizontal="center" vertical="center"/>
    </xf>
    <xf numFmtId="169" fontId="64" fillId="51" borderId="24" xfId="53" applyNumberFormat="1" applyFont="1" applyFill="1" applyBorder="1" applyAlignment="1">
      <alignment horizontal="center" vertical="center"/>
    </xf>
    <xf numFmtId="169" fontId="64" fillId="51" borderId="20" xfId="53" applyNumberFormat="1" applyFont="1" applyFill="1" applyBorder="1" applyAlignment="1">
      <alignment horizontal="center" vertical="center"/>
    </xf>
    <xf numFmtId="169" fontId="64" fillId="51" borderId="21" xfId="53" applyNumberFormat="1" applyFont="1" applyFill="1" applyBorder="1" applyAlignment="1">
      <alignment horizontal="center" vertical="center"/>
    </xf>
    <xf numFmtId="0" fontId="64" fillId="51" borderId="59" xfId="53" applyFont="1" applyFill="1" applyBorder="1" applyAlignment="1">
      <alignment horizontal="center" vertical="center"/>
    </xf>
    <xf numFmtId="0" fontId="92" fillId="48" borderId="176" xfId="53" applyFont="1" applyFill="1" applyBorder="1" applyAlignment="1">
      <alignment horizontal="center" vertical="center"/>
    </xf>
    <xf numFmtId="0" fontId="92" fillId="48" borderId="101" xfId="53" applyFont="1" applyFill="1" applyBorder="1" applyAlignment="1">
      <alignment horizontal="center" vertical="center"/>
    </xf>
    <xf numFmtId="0" fontId="92" fillId="48" borderId="177" xfId="53" applyFont="1" applyFill="1" applyBorder="1" applyAlignment="1">
      <alignment horizontal="center" vertical="center"/>
    </xf>
    <xf numFmtId="0" fontId="64" fillId="51" borderId="24" xfId="53" applyFont="1" applyFill="1" applyBorder="1" applyAlignment="1">
      <alignment horizontal="center" vertical="center" wrapText="1"/>
    </xf>
    <xf numFmtId="0" fontId="64" fillId="51" borderId="31" xfId="53" applyFont="1" applyFill="1" applyBorder="1" applyAlignment="1">
      <alignment horizontal="center" vertical="center" wrapText="1"/>
    </xf>
    <xf numFmtId="0" fontId="64" fillId="51" borderId="20" xfId="53" applyFont="1" applyFill="1" applyBorder="1" applyAlignment="1">
      <alignment horizontal="center" vertical="center"/>
    </xf>
    <xf numFmtId="0" fontId="64" fillId="51" borderId="163" xfId="53" applyFont="1" applyFill="1" applyBorder="1" applyAlignment="1">
      <alignment horizontal="center" vertical="center"/>
    </xf>
    <xf numFmtId="0" fontId="64" fillId="51" borderId="20" xfId="53" applyFont="1" applyFill="1" applyBorder="1" applyAlignment="1">
      <alignment horizontal="center" vertical="center" wrapText="1"/>
    </xf>
    <xf numFmtId="0" fontId="64" fillId="51" borderId="163" xfId="53" applyFont="1" applyFill="1" applyBorder="1" applyAlignment="1">
      <alignment horizontal="center" vertical="center" wrapText="1"/>
    </xf>
    <xf numFmtId="0" fontId="64" fillId="51" borderId="178" xfId="53" applyFont="1" applyFill="1" applyBorder="1" applyAlignment="1">
      <alignment horizontal="center" vertical="center"/>
    </xf>
    <xf numFmtId="0" fontId="64" fillId="51" borderId="49" xfId="53" applyFont="1" applyFill="1" applyBorder="1" applyAlignment="1">
      <alignment horizontal="center" vertical="center"/>
    </xf>
    <xf numFmtId="0" fontId="64" fillId="51" borderId="178" xfId="53" applyFont="1" applyFill="1" applyBorder="1" applyAlignment="1">
      <alignment horizontal="center" vertical="center" wrapText="1"/>
    </xf>
    <xf numFmtId="0" fontId="64" fillId="51" borderId="49" xfId="53" applyFont="1" applyFill="1" applyBorder="1" applyAlignment="1">
      <alignment horizontal="center" vertical="center" wrapText="1"/>
    </xf>
    <xf numFmtId="0" fontId="64" fillId="51" borderId="39" xfId="53" applyFont="1" applyFill="1" applyBorder="1" applyAlignment="1">
      <alignment horizontal="center" vertical="center" wrapText="1"/>
    </xf>
    <xf numFmtId="0" fontId="64" fillId="51" borderId="70" xfId="53" applyFont="1" applyFill="1" applyBorder="1" applyAlignment="1">
      <alignment horizontal="center" vertical="center" wrapText="1"/>
    </xf>
    <xf numFmtId="0" fontId="64" fillId="51" borderId="21" xfId="53" applyFont="1" applyFill="1" applyBorder="1" applyAlignment="1">
      <alignment horizontal="center" vertical="center" wrapText="1"/>
    </xf>
    <xf numFmtId="0" fontId="64" fillId="51" borderId="164" xfId="53" applyFont="1" applyFill="1" applyBorder="1" applyAlignment="1">
      <alignment horizontal="center" vertical="center" wrapText="1"/>
    </xf>
    <xf numFmtId="17" fontId="64" fillId="51" borderId="169" xfId="53" applyNumberFormat="1" applyFont="1" applyFill="1" applyBorder="1" applyAlignment="1">
      <alignment horizontal="center" vertical="center"/>
    </xf>
    <xf numFmtId="17" fontId="64" fillId="51" borderId="20" xfId="53" applyNumberFormat="1" applyFont="1" applyFill="1" applyBorder="1" applyAlignment="1">
      <alignment horizontal="center" vertical="center"/>
    </xf>
    <xf numFmtId="17" fontId="64" fillId="51" borderId="21" xfId="53" applyNumberFormat="1" applyFont="1" applyFill="1" applyBorder="1" applyAlignment="1">
      <alignment horizontal="center" vertical="center"/>
    </xf>
    <xf numFmtId="169" fontId="64" fillId="51" borderId="169" xfId="53" applyNumberFormat="1" applyFont="1" applyFill="1" applyBorder="1" applyAlignment="1">
      <alignment horizontal="center" vertical="center"/>
    </xf>
    <xf numFmtId="0" fontId="97" fillId="57" borderId="16" xfId="53" applyFont="1" applyFill="1" applyBorder="1" applyAlignment="1">
      <alignment vertical="center"/>
    </xf>
    <xf numFmtId="0" fontId="97" fillId="57" borderId="11" xfId="53" applyFont="1" applyFill="1" applyBorder="1" applyAlignment="1">
      <alignment vertical="center"/>
    </xf>
    <xf numFmtId="49" fontId="61" fillId="34" borderId="11" xfId="53" applyNumberFormat="1" applyFont="1" applyFill="1" applyBorder="1" applyAlignment="1">
      <alignment horizontal="right" vertical="center"/>
    </xf>
    <xf numFmtId="49" fontId="61" fillId="34" borderId="28" xfId="53" applyNumberFormat="1" applyFont="1" applyFill="1" applyBorder="1" applyAlignment="1">
      <alignment horizontal="right" vertical="center"/>
    </xf>
    <xf numFmtId="0" fontId="97" fillId="57" borderId="17" xfId="53" applyFont="1" applyFill="1" applyBorder="1" applyAlignment="1">
      <alignment vertical="center"/>
    </xf>
    <xf numFmtId="0" fontId="97" fillId="57" borderId="29" xfId="53" applyFont="1" applyFill="1" applyBorder="1" applyAlignment="1">
      <alignment vertical="center"/>
    </xf>
    <xf numFmtId="0" fontId="61" fillId="34" borderId="29" xfId="53" applyFont="1" applyFill="1" applyBorder="1" applyAlignment="1">
      <alignment horizontal="right" vertical="center"/>
    </xf>
    <xf numFmtId="0" fontId="61" fillId="34" borderId="32" xfId="53" applyFont="1" applyFill="1" applyBorder="1" applyAlignment="1">
      <alignment horizontal="right" vertical="center"/>
    </xf>
    <xf numFmtId="0" fontId="61" fillId="34" borderId="11" xfId="53" applyFont="1" applyFill="1" applyBorder="1" applyAlignment="1">
      <alignment horizontal="right" vertical="center"/>
    </xf>
    <xf numFmtId="0" fontId="61" fillId="34" borderId="28" xfId="53" applyFont="1" applyFill="1" applyBorder="1" applyAlignment="1">
      <alignment horizontal="right" vertical="center"/>
    </xf>
    <xf numFmtId="3" fontId="61" fillId="34" borderId="11" xfId="53" applyNumberFormat="1" applyFont="1" applyFill="1" applyBorder="1" applyAlignment="1">
      <alignment horizontal="right" vertical="center"/>
    </xf>
    <xf numFmtId="3" fontId="61" fillId="34" borderId="28" xfId="53" applyNumberFormat="1" applyFont="1" applyFill="1" applyBorder="1" applyAlignment="1">
      <alignment horizontal="right" vertical="center"/>
    </xf>
    <xf numFmtId="9" fontId="61" fillId="31" borderId="11" xfId="47" applyFont="1" applyFill="1" applyBorder="1" applyAlignment="1">
      <alignment horizontal="right" vertical="center"/>
    </xf>
    <xf numFmtId="9" fontId="61" fillId="31" borderId="28" xfId="47" applyFont="1" applyFill="1" applyBorder="1" applyAlignment="1">
      <alignment horizontal="right" vertical="center"/>
    </xf>
    <xf numFmtId="0" fontId="105" fillId="34" borderId="11" xfId="53" applyFont="1" applyFill="1" applyBorder="1" applyAlignment="1">
      <alignment horizontal="right" vertical="center"/>
    </xf>
    <xf numFmtId="0" fontId="105" fillId="34" borderId="28" xfId="53" applyFont="1" applyFill="1" applyBorder="1" applyAlignment="1">
      <alignment horizontal="right" vertical="center"/>
    </xf>
    <xf numFmtId="182" fontId="61" fillId="34" borderId="11" xfId="53" applyNumberFormat="1" applyFont="1" applyFill="1" applyBorder="1" applyAlignment="1">
      <alignment horizontal="right" vertical="center"/>
    </xf>
    <xf numFmtId="182" fontId="61" fillId="34" borderId="28" xfId="53" applyNumberFormat="1" applyFont="1" applyFill="1" applyBorder="1" applyAlignment="1">
      <alignment horizontal="right" vertical="center"/>
    </xf>
    <xf numFmtId="0" fontId="95" fillId="48" borderId="160" xfId="53" applyFont="1" applyFill="1" applyBorder="1" applyAlignment="1">
      <alignment horizontal="center" vertical="center"/>
    </xf>
    <xf numFmtId="0" fontId="95" fillId="48" borderId="161" xfId="53" applyFont="1" applyFill="1" applyBorder="1" applyAlignment="1">
      <alignment horizontal="center" vertical="center"/>
    </xf>
    <xf numFmtId="0" fontId="95" fillId="48" borderId="50" xfId="53" applyFont="1" applyFill="1" applyBorder="1" applyAlignment="1">
      <alignment horizontal="center" vertical="center"/>
    </xf>
    <xf numFmtId="0" fontId="96" fillId="54" borderId="24" xfId="53" applyFont="1" applyFill="1" applyBorder="1" applyAlignment="1">
      <alignment vertical="center"/>
    </xf>
    <xf numFmtId="0" fontId="96" fillId="54" borderId="20" xfId="53" applyFont="1" applyFill="1" applyBorder="1" applyAlignment="1">
      <alignment vertical="center"/>
    </xf>
    <xf numFmtId="0" fontId="96" fillId="54" borderId="20" xfId="53" applyFont="1" applyFill="1" applyBorder="1" applyAlignment="1">
      <alignment horizontal="center" vertical="center"/>
    </xf>
    <xf numFmtId="0" fontId="96" fillId="54" borderId="21" xfId="53" applyFont="1" applyFill="1" applyBorder="1" applyAlignment="1">
      <alignment horizontal="center" vertical="center"/>
    </xf>
    <xf numFmtId="0" fontId="29" fillId="35" borderId="39" xfId="0" applyFont="1" applyFill="1" applyBorder="1" applyAlignment="1" applyProtection="1">
      <alignment horizontal="center"/>
      <protection locked="0"/>
    </xf>
    <xf numFmtId="0" fontId="29" fillId="35" borderId="0" xfId="0" applyFont="1" applyFill="1" applyBorder="1" applyAlignment="1" applyProtection="1">
      <alignment horizontal="center"/>
      <protection locked="0"/>
    </xf>
    <xf numFmtId="0" fontId="29" fillId="35" borderId="47" xfId="0" applyFont="1" applyFill="1" applyBorder="1" applyAlignment="1" applyProtection="1">
      <alignment horizontal="center"/>
      <protection locked="0"/>
    </xf>
    <xf numFmtId="0" fontId="29" fillId="35" borderId="46" xfId="0" applyFont="1" applyFill="1" applyBorder="1" applyAlignment="1" applyProtection="1">
      <alignment horizontal="center"/>
      <protection locked="0"/>
    </xf>
    <xf numFmtId="0" fontId="29" fillId="33" borderId="33" xfId="0" applyFont="1" applyFill="1" applyBorder="1" applyAlignment="1" applyProtection="1">
      <alignment horizontal="left"/>
      <protection locked="0"/>
    </xf>
    <xf numFmtId="0" fontId="29" fillId="33" borderId="34" xfId="0" applyFont="1" applyFill="1" applyBorder="1" applyAlignment="1" applyProtection="1">
      <alignment horizontal="left"/>
      <protection locked="0"/>
    </xf>
    <xf numFmtId="0" fontId="29" fillId="33" borderId="35" xfId="0" applyFont="1" applyFill="1" applyBorder="1" applyAlignment="1" applyProtection="1">
      <alignment horizontal="left"/>
      <protection locked="0"/>
    </xf>
    <xf numFmtId="0" fontId="28" fillId="0" borderId="33" xfId="0" applyFont="1" applyBorder="1" applyAlignment="1" applyProtection="1">
      <alignment horizontal="left"/>
    </xf>
    <xf numFmtId="0" fontId="28" fillId="0" borderId="34" xfId="0" applyFont="1" applyBorder="1" applyAlignment="1" applyProtection="1">
      <alignment horizontal="left"/>
    </xf>
    <xf numFmtId="0" fontId="28" fillId="0" borderId="35" xfId="0" applyFont="1" applyBorder="1" applyAlignment="1" applyProtection="1">
      <alignment horizontal="left"/>
    </xf>
    <xf numFmtId="167" fontId="29" fillId="0" borderId="10" xfId="28" applyNumberFormat="1" applyFont="1" applyFill="1" applyBorder="1" applyAlignment="1" applyProtection="1">
      <alignment horizontal="left" vertical="center"/>
    </xf>
    <xf numFmtId="167" fontId="28" fillId="7" borderId="10" xfId="28" applyNumberFormat="1" applyFont="1" applyFill="1" applyBorder="1" applyAlignment="1" applyProtection="1">
      <alignment horizontal="left" vertical="top"/>
    </xf>
    <xf numFmtId="167" fontId="29" fillId="0" borderId="10" xfId="28" applyNumberFormat="1" applyFont="1" applyFill="1" applyBorder="1" applyAlignment="1" applyProtection="1">
      <alignment horizontal="left" vertical="top"/>
    </xf>
    <xf numFmtId="3" fontId="29" fillId="0" borderId="10" xfId="28" applyNumberFormat="1" applyFont="1" applyFill="1" applyBorder="1" applyAlignment="1" applyProtection="1">
      <alignment horizontal="left" vertical="center"/>
    </xf>
    <xf numFmtId="2" fontId="28" fillId="7" borderId="10" xfId="44" applyNumberFormat="1" applyFont="1" applyFill="1" applyBorder="1" applyAlignment="1" applyProtection="1">
      <alignment horizontal="center" vertical="center"/>
    </xf>
    <xf numFmtId="167" fontId="29" fillId="20" borderId="10" xfId="28" applyNumberFormat="1" applyFont="1" applyFill="1" applyBorder="1" applyAlignment="1" applyProtection="1">
      <alignment horizontal="left" vertical="top"/>
    </xf>
    <xf numFmtId="10" fontId="29" fillId="0" borderId="10" xfId="28" applyNumberFormat="1" applyFont="1" applyFill="1" applyBorder="1" applyAlignment="1" applyProtection="1">
      <alignment horizontal="left" vertical="center"/>
    </xf>
    <xf numFmtId="167" fontId="28" fillId="30" borderId="36" xfId="28" applyNumberFormat="1" applyFont="1" applyFill="1" applyBorder="1" applyAlignment="1" applyProtection="1">
      <alignment horizontal="center" vertical="top"/>
    </xf>
    <xf numFmtId="167" fontId="28" fillId="30" borderId="19" xfId="28" applyNumberFormat="1" applyFont="1" applyFill="1" applyBorder="1" applyAlignment="1" applyProtection="1">
      <alignment horizontal="center" vertical="top"/>
    </xf>
    <xf numFmtId="0" fontId="29" fillId="0" borderId="11" xfId="0" applyFont="1" applyBorder="1" applyAlignment="1" applyProtection="1">
      <alignment horizontal="center"/>
    </xf>
    <xf numFmtId="0" fontId="0" fillId="0" borderId="11" xfId="0" applyBorder="1" applyAlignment="1" applyProtection="1">
      <alignment horizontal="center"/>
    </xf>
    <xf numFmtId="0" fontId="46" fillId="34" borderId="39" xfId="0" applyFont="1" applyFill="1" applyBorder="1" applyAlignment="1" applyProtection="1">
      <alignment horizontal="center"/>
    </xf>
    <xf numFmtId="0" fontId="46" fillId="34" borderId="0" xfId="0" applyFont="1" applyFill="1" applyAlignment="1" applyProtection="1">
      <alignment horizontal="center"/>
    </xf>
    <xf numFmtId="0" fontId="29" fillId="0" borderId="13" xfId="43" applyFont="1" applyBorder="1" applyAlignment="1" applyProtection="1">
      <alignment horizontal="center" vertical="center" wrapText="1"/>
    </xf>
    <xf numFmtId="0" fontId="29" fillId="0" borderId="0" xfId="43" applyFont="1" applyBorder="1" applyAlignment="1" applyProtection="1">
      <alignment horizontal="center" vertical="center" wrapText="1"/>
    </xf>
    <xf numFmtId="0" fontId="29" fillId="0" borderId="40" xfId="43" applyFont="1" applyBorder="1" applyAlignment="1" applyProtection="1">
      <alignment horizontal="center" vertical="center" wrapText="1"/>
    </xf>
    <xf numFmtId="0" fontId="29" fillId="0" borderId="22" xfId="43" applyFont="1" applyBorder="1" applyAlignment="1" applyProtection="1">
      <alignment horizontal="center" vertical="center" wrapText="1"/>
    </xf>
    <xf numFmtId="0" fontId="29" fillId="0" borderId="13" xfId="43" applyFont="1" applyBorder="1" applyAlignment="1" applyProtection="1">
      <alignment horizontal="center" vertical="center"/>
    </xf>
    <xf numFmtId="0" fontId="29" fillId="0" borderId="0" xfId="43" applyFont="1" applyBorder="1" applyAlignment="1" applyProtection="1">
      <alignment horizontal="center" vertical="center"/>
    </xf>
    <xf numFmtId="0" fontId="29" fillId="34" borderId="35" xfId="43" applyFont="1" applyFill="1" applyBorder="1" applyAlignment="1" applyProtection="1">
      <alignment horizontal="center"/>
    </xf>
    <xf numFmtId="0" fontId="29" fillId="34" borderId="11" xfId="43" applyFont="1" applyFill="1" applyBorder="1" applyAlignment="1" applyProtection="1">
      <alignment horizontal="center"/>
    </xf>
    <xf numFmtId="0" fontId="43" fillId="43" borderId="33" xfId="43" applyFont="1" applyFill="1" applyBorder="1" applyAlignment="1" applyProtection="1">
      <alignment horizontal="center"/>
    </xf>
    <xf numFmtId="0" fontId="43" fillId="43" borderId="35" xfId="43" applyFont="1" applyFill="1" applyBorder="1" applyAlignment="1" applyProtection="1">
      <alignment horizontal="center"/>
    </xf>
    <xf numFmtId="0" fontId="29" fillId="47" borderId="11" xfId="43" applyFont="1" applyFill="1" applyBorder="1" applyAlignment="1" applyProtection="1">
      <alignment horizontal="center"/>
    </xf>
    <xf numFmtId="2" fontId="29" fillId="34" borderId="11" xfId="43" applyNumberFormat="1" applyFont="1" applyFill="1" applyBorder="1" applyAlignment="1" applyProtection="1">
      <alignment horizontal="center"/>
    </xf>
    <xf numFmtId="0" fontId="29" fillId="34" borderId="33" xfId="43" applyFont="1" applyFill="1" applyBorder="1" applyAlignment="1" applyProtection="1">
      <alignment horizontal="center"/>
    </xf>
    <xf numFmtId="2" fontId="29" fillId="34" borderId="33" xfId="43" applyNumberFormat="1" applyFont="1" applyFill="1" applyBorder="1" applyAlignment="1" applyProtection="1">
      <alignment horizontal="center"/>
    </xf>
    <xf numFmtId="2" fontId="29" fillId="34" borderId="35" xfId="43" applyNumberFormat="1" applyFont="1" applyFill="1" applyBorder="1" applyAlignment="1" applyProtection="1">
      <alignment horizontal="center"/>
    </xf>
    <xf numFmtId="0" fontId="43" fillId="0" borderId="45" xfId="43" applyFont="1" applyBorder="1" applyAlignment="1" applyProtection="1">
      <alignment horizontal="center"/>
    </xf>
    <xf numFmtId="0" fontId="43" fillId="0" borderId="34" xfId="43" applyFont="1" applyBorder="1" applyAlignment="1" applyProtection="1">
      <alignment horizontal="center"/>
    </xf>
    <xf numFmtId="0" fontId="43" fillId="0" borderId="35" xfId="43" applyFont="1" applyBorder="1" applyAlignment="1" applyProtection="1">
      <alignment horizontal="center"/>
    </xf>
    <xf numFmtId="0" fontId="42" fillId="27" borderId="16" xfId="43" applyFont="1" applyFill="1" applyBorder="1" applyAlignment="1" applyProtection="1">
      <alignment horizontal="center"/>
    </xf>
    <xf numFmtId="0" fontId="42" fillId="27" borderId="11" xfId="43" applyFont="1" applyFill="1" applyBorder="1" applyAlignment="1" applyProtection="1">
      <alignment horizontal="center"/>
    </xf>
    <xf numFmtId="0" fontId="42" fillId="27" borderId="30" xfId="43" applyFont="1" applyFill="1" applyBorder="1" applyAlignment="1" applyProtection="1">
      <alignment horizontal="left" vertical="center"/>
    </xf>
    <xf numFmtId="0" fontId="42" fillId="27" borderId="41" xfId="43" applyFont="1" applyFill="1" applyBorder="1" applyAlignment="1" applyProtection="1">
      <alignment horizontal="left" vertical="center"/>
    </xf>
    <xf numFmtId="0" fontId="42" fillId="27" borderId="42" xfId="43" applyFont="1" applyFill="1" applyBorder="1" applyAlignment="1" applyProtection="1">
      <alignment horizontal="left" vertical="center"/>
    </xf>
    <xf numFmtId="0" fontId="42" fillId="27" borderId="16" xfId="43" applyFont="1" applyFill="1" applyBorder="1" applyAlignment="1" applyProtection="1">
      <alignment horizontal="left" vertical="center"/>
    </xf>
    <xf numFmtId="0" fontId="42" fillId="27" borderId="11" xfId="43" applyFont="1" applyFill="1" applyBorder="1" applyAlignment="1" applyProtection="1">
      <alignment horizontal="left" vertical="center"/>
    </xf>
    <xf numFmtId="0" fontId="42" fillId="27" borderId="28" xfId="43" applyFont="1" applyFill="1" applyBorder="1" applyAlignment="1" applyProtection="1">
      <alignment horizontal="left" vertical="center"/>
    </xf>
    <xf numFmtId="0" fontId="42" fillId="27" borderId="30" xfId="43" applyFont="1" applyFill="1" applyBorder="1" applyAlignment="1" applyProtection="1">
      <alignment horizontal="center"/>
    </xf>
    <xf numFmtId="0" fontId="42" fillId="27" borderId="41" xfId="43" applyFont="1" applyFill="1" applyBorder="1" applyAlignment="1" applyProtection="1">
      <alignment horizontal="center"/>
    </xf>
    <xf numFmtId="0" fontId="42" fillId="27" borderId="16" xfId="43" applyFont="1" applyFill="1" applyBorder="1" applyAlignment="1" applyProtection="1">
      <alignment horizontal="center" wrapText="1"/>
    </xf>
    <xf numFmtId="0" fontId="42" fillId="27" borderId="11" xfId="43" applyFont="1" applyFill="1" applyBorder="1" applyAlignment="1" applyProtection="1">
      <alignment horizontal="center" wrapText="1"/>
    </xf>
    <xf numFmtId="0" fontId="43" fillId="0" borderId="11" xfId="43" applyFont="1" applyBorder="1" applyAlignment="1" applyProtection="1">
      <alignment horizontal="center"/>
    </xf>
    <xf numFmtId="168" fontId="36" fillId="45" borderId="11" xfId="29" applyNumberFormat="1" applyFont="1" applyFill="1" applyBorder="1" applyAlignment="1" applyProtection="1">
      <alignment horizontal="center" vertical="top"/>
    </xf>
    <xf numFmtId="0" fontId="0" fillId="0" borderId="11" xfId="0" applyBorder="1" applyAlignment="1" applyProtection="1">
      <alignment horizontal="left"/>
    </xf>
    <xf numFmtId="0" fontId="29" fillId="33" borderId="11" xfId="0" applyFont="1" applyFill="1" applyBorder="1" applyAlignment="1" applyProtection="1">
      <alignment horizontal="center"/>
    </xf>
    <xf numFmtId="0" fontId="48" fillId="27" borderId="37" xfId="0" applyFont="1" applyFill="1" applyBorder="1" applyAlignment="1" applyProtection="1">
      <alignment horizontal="center" wrapText="1"/>
    </xf>
    <xf numFmtId="0" fontId="48" fillId="27" borderId="38" xfId="0" applyFont="1" applyFill="1" applyBorder="1" applyAlignment="1" applyProtection="1">
      <alignment horizontal="center" wrapText="1"/>
    </xf>
    <xf numFmtId="167" fontId="28" fillId="46" borderId="39" xfId="28" applyNumberFormat="1" applyFont="1" applyFill="1" applyBorder="1" applyAlignment="1" applyProtection="1">
      <alignment horizontal="center" vertical="center"/>
    </xf>
    <xf numFmtId="167" fontId="28" fillId="46" borderId="0" xfId="28" applyNumberFormat="1" applyFont="1" applyFill="1" applyBorder="1" applyAlignment="1" applyProtection="1">
      <alignment horizontal="center" vertical="center"/>
    </xf>
    <xf numFmtId="0" fontId="29" fillId="33" borderId="29" xfId="0" applyFont="1" applyFill="1" applyBorder="1" applyAlignment="1" applyProtection="1">
      <alignment horizontal="center"/>
      <protection locked="0"/>
    </xf>
    <xf numFmtId="164" fontId="29" fillId="20" borderId="11" xfId="28" applyFont="1" applyFill="1" applyBorder="1" applyAlignment="1" applyProtection="1">
      <alignment horizontal="center" vertical="top"/>
    </xf>
    <xf numFmtId="0" fontId="29" fillId="33" borderId="33" xfId="0" applyFont="1" applyFill="1" applyBorder="1" applyAlignment="1" applyProtection="1">
      <alignment horizontal="center"/>
      <protection locked="0"/>
    </xf>
    <xf numFmtId="0" fontId="29" fillId="33" borderId="35" xfId="0" applyFont="1" applyFill="1" applyBorder="1" applyAlignment="1" applyProtection="1">
      <alignment horizontal="center"/>
      <protection locked="0"/>
    </xf>
    <xf numFmtId="0" fontId="29" fillId="33" borderId="29" xfId="0" applyFont="1" applyFill="1" applyBorder="1" applyAlignment="1" applyProtection="1">
      <alignment horizontal="center"/>
    </xf>
    <xf numFmtId="167" fontId="29" fillId="33" borderId="11" xfId="28" applyNumberFormat="1" applyFont="1" applyFill="1" applyBorder="1" applyAlignment="1" applyProtection="1">
      <alignment horizontal="center" vertical="center"/>
    </xf>
    <xf numFmtId="0" fontId="29" fillId="34" borderId="33" xfId="0" applyFont="1" applyFill="1" applyBorder="1" applyAlignment="1" applyProtection="1">
      <alignment horizontal="center"/>
    </xf>
    <xf numFmtId="0" fontId="29" fillId="34" borderId="35" xfId="0" applyFont="1" applyFill="1" applyBorder="1" applyAlignment="1" applyProtection="1">
      <alignment horizontal="center"/>
    </xf>
    <xf numFmtId="0" fontId="29" fillId="33" borderId="11" xfId="0" applyFont="1" applyFill="1" applyBorder="1" applyAlignment="1" applyProtection="1">
      <alignment horizontal="center"/>
      <protection locked="0"/>
    </xf>
    <xf numFmtId="0" fontId="48" fillId="27" borderId="15" xfId="0" applyFont="1" applyFill="1" applyBorder="1" applyAlignment="1" applyProtection="1">
      <alignment horizontal="center" wrapText="1"/>
    </xf>
    <xf numFmtId="0" fontId="48" fillId="27" borderId="43" xfId="0" applyFont="1" applyFill="1" applyBorder="1" applyAlignment="1" applyProtection="1">
      <alignment horizontal="center" wrapText="1"/>
    </xf>
    <xf numFmtId="2" fontId="29" fillId="37" borderId="11" xfId="0" applyNumberFormat="1" applyFont="1" applyFill="1" applyBorder="1" applyAlignment="1" applyProtection="1">
      <alignment horizontal="center"/>
      <protection locked="0"/>
    </xf>
    <xf numFmtId="0" fontId="1" fillId="34" borderId="0" xfId="62" applyFill="1"/>
    <xf numFmtId="0" fontId="92" fillId="48" borderId="51" xfId="62" applyFont="1" applyFill="1" applyBorder="1" applyAlignment="1">
      <alignment horizontal="center" vertical="center"/>
    </xf>
    <xf numFmtId="0" fontId="92" fillId="48" borderId="52" xfId="62" applyFont="1" applyFill="1" applyBorder="1" applyAlignment="1">
      <alignment horizontal="center" vertical="center"/>
    </xf>
    <xf numFmtId="0" fontId="92" fillId="48" borderId="53" xfId="62" applyFont="1" applyFill="1" applyBorder="1" applyAlignment="1">
      <alignment horizontal="center" vertical="center"/>
    </xf>
    <xf numFmtId="0" fontId="64" fillId="57" borderId="168" xfId="62" applyFont="1" applyFill="1" applyBorder="1" applyAlignment="1">
      <alignment vertical="center"/>
    </xf>
    <xf numFmtId="0" fontId="64" fillId="57" borderId="142" xfId="62" applyFont="1" applyFill="1" applyBorder="1" applyAlignment="1">
      <alignment vertical="center"/>
    </xf>
    <xf numFmtId="0" fontId="64" fillId="57" borderId="169" xfId="62" applyFont="1" applyFill="1" applyBorder="1" applyAlignment="1">
      <alignment vertical="center"/>
    </xf>
    <xf numFmtId="0" fontId="1" fillId="34" borderId="20" xfId="62" applyFill="1" applyBorder="1" applyAlignment="1">
      <alignment horizontal="right" vertical="center"/>
    </xf>
    <xf numFmtId="0" fontId="1" fillId="34" borderId="21" xfId="62" applyFill="1" applyBorder="1" applyAlignment="1">
      <alignment horizontal="right" vertical="center"/>
    </xf>
    <xf numFmtId="0" fontId="64" fillId="57" borderId="45" xfId="62" applyFont="1" applyFill="1" applyBorder="1" applyAlignment="1">
      <alignment vertical="center"/>
    </xf>
    <xf numFmtId="0" fontId="64" fillId="57" borderId="34" xfId="62" applyFont="1" applyFill="1" applyBorder="1" applyAlignment="1">
      <alignment vertical="center"/>
    </xf>
    <xf numFmtId="0" fontId="64" fillId="57" borderId="35" xfId="62" applyFont="1" applyFill="1" applyBorder="1" applyAlignment="1">
      <alignment vertical="center"/>
    </xf>
    <xf numFmtId="0" fontId="1" fillId="34" borderId="11" xfId="62" applyFill="1" applyBorder="1" applyAlignment="1">
      <alignment horizontal="right" vertical="center"/>
    </xf>
    <xf numFmtId="0" fontId="1" fillId="34" borderId="28" xfId="62" applyFill="1" applyBorder="1" applyAlignment="1">
      <alignment horizontal="right" vertical="center"/>
    </xf>
    <xf numFmtId="49" fontId="0" fillId="34" borderId="11" xfId="62" applyNumberFormat="1" applyFont="1" applyFill="1" applyBorder="1" applyAlignment="1">
      <alignment horizontal="right" vertical="center"/>
    </xf>
    <xf numFmtId="49" fontId="1" fillId="34" borderId="11" xfId="62" applyNumberFormat="1" applyFill="1" applyBorder="1" applyAlignment="1">
      <alignment horizontal="right" vertical="center"/>
    </xf>
    <xf numFmtId="49" fontId="1" fillId="34" borderId="28" xfId="62" applyNumberFormat="1" applyFill="1" applyBorder="1" applyAlignment="1">
      <alignment horizontal="right" vertical="center"/>
    </xf>
    <xf numFmtId="5" fontId="70" fillId="34" borderId="11" xfId="62" applyNumberFormat="1" applyFont="1" applyFill="1" applyBorder="1" applyAlignment="1">
      <alignment horizontal="right" vertical="center"/>
    </xf>
    <xf numFmtId="5" fontId="70" fillId="34" borderId="28" xfId="62" applyNumberFormat="1" applyFont="1" applyFill="1" applyBorder="1" applyAlignment="1">
      <alignment horizontal="right" vertical="center"/>
    </xf>
    <xf numFmtId="14" fontId="1" fillId="34" borderId="11" xfId="62" applyNumberFormat="1" applyFill="1" applyBorder="1" applyAlignment="1">
      <alignment horizontal="right" vertical="center"/>
    </xf>
    <xf numFmtId="14" fontId="64" fillId="57" borderId="11" xfId="62" applyNumberFormat="1" applyFont="1" applyFill="1" applyBorder="1" applyAlignment="1">
      <alignment horizontal="left" vertical="center"/>
    </xf>
    <xf numFmtId="1" fontId="1" fillId="34" borderId="28" xfId="62" applyNumberFormat="1" applyFill="1" applyBorder="1" applyAlignment="1">
      <alignment horizontal="right" vertical="center"/>
    </xf>
    <xf numFmtId="0" fontId="1" fillId="34" borderId="11" xfId="62" applyFill="1" applyBorder="1" applyAlignment="1">
      <alignment horizontal="right" vertical="center" wrapText="1"/>
    </xf>
    <xf numFmtId="0" fontId="1" fillId="34" borderId="28" xfId="62" applyFill="1" applyBorder="1" applyAlignment="1">
      <alignment horizontal="right" vertical="center" wrapText="1"/>
    </xf>
    <xf numFmtId="0" fontId="64" fillId="57" borderId="45" xfId="62" applyFont="1" applyFill="1" applyBorder="1" applyAlignment="1">
      <alignment vertical="center" wrapText="1"/>
    </xf>
    <xf numFmtId="0" fontId="64" fillId="57" borderId="34" xfId="62" applyFont="1" applyFill="1" applyBorder="1" applyAlignment="1">
      <alignment vertical="center" wrapText="1"/>
    </xf>
    <xf numFmtId="0" fontId="64" fillId="57" borderId="35" xfId="62" applyFont="1" applyFill="1" applyBorder="1" applyAlignment="1">
      <alignment vertical="center" wrapText="1"/>
    </xf>
    <xf numFmtId="14" fontId="1" fillId="34" borderId="11" xfId="62" applyNumberFormat="1" applyFill="1" applyBorder="1" applyAlignment="1">
      <alignment horizontal="right" vertical="center"/>
    </xf>
    <xf numFmtId="14" fontId="1" fillId="34" borderId="28" xfId="62" applyNumberFormat="1" applyFill="1" applyBorder="1" applyAlignment="1">
      <alignment horizontal="right" vertical="center"/>
    </xf>
    <xf numFmtId="0" fontId="1" fillId="34" borderId="163" xfId="62" applyFill="1" applyBorder="1" applyAlignment="1">
      <alignment horizontal="right" vertical="center"/>
    </xf>
    <xf numFmtId="0" fontId="1" fillId="34" borderId="164" xfId="62" applyFill="1" applyBorder="1" applyAlignment="1">
      <alignment horizontal="right" vertical="center"/>
    </xf>
    <xf numFmtId="0" fontId="64" fillId="57" borderId="155" xfId="62" applyFont="1" applyFill="1" applyBorder="1" applyAlignment="1">
      <alignment horizontal="left" vertical="center"/>
    </xf>
    <xf numFmtId="0" fontId="64" fillId="57" borderId="67" xfId="62" applyFont="1" applyFill="1" applyBorder="1" applyAlignment="1">
      <alignment horizontal="left" vertical="center"/>
    </xf>
    <xf numFmtId="0" fontId="64" fillId="57" borderId="66" xfId="62" applyFont="1" applyFill="1" applyBorder="1" applyAlignment="1">
      <alignment horizontal="left" vertical="center"/>
    </xf>
    <xf numFmtId="22" fontId="1" fillId="34" borderId="65" xfId="62" applyNumberFormat="1" applyFill="1" applyBorder="1" applyAlignment="1">
      <alignment horizontal="right" vertical="center"/>
    </xf>
    <xf numFmtId="22" fontId="1" fillId="34" borderId="67" xfId="62" applyNumberFormat="1" applyFill="1" applyBorder="1" applyAlignment="1">
      <alignment horizontal="right" vertical="center"/>
    </xf>
    <xf numFmtId="22" fontId="1" fillId="34" borderId="74" xfId="62" applyNumberFormat="1" applyFill="1" applyBorder="1" applyAlignment="1">
      <alignment horizontal="right" vertical="center"/>
    </xf>
    <xf numFmtId="0" fontId="92" fillId="48" borderId="160" xfId="62" applyFont="1" applyFill="1" applyBorder="1" applyAlignment="1">
      <alignment horizontal="center" vertical="center"/>
    </xf>
    <xf numFmtId="0" fontId="92" fillId="48" borderId="161" xfId="62" applyFont="1" applyFill="1" applyBorder="1" applyAlignment="1">
      <alignment horizontal="center" vertical="center"/>
    </xf>
    <xf numFmtId="0" fontId="92" fillId="48" borderId="50" xfId="62" applyFont="1" applyFill="1" applyBorder="1" applyAlignment="1">
      <alignment horizontal="center" vertical="center"/>
    </xf>
    <xf numFmtId="0" fontId="64" fillId="57" borderId="16" xfId="62" applyFont="1" applyFill="1" applyBorder="1"/>
    <xf numFmtId="0" fontId="64" fillId="57" borderId="11" xfId="62" applyFont="1" applyFill="1" applyBorder="1"/>
    <xf numFmtId="172" fontId="70" fillId="34" borderId="11" xfId="62" applyNumberFormat="1" applyFont="1" applyFill="1" applyBorder="1"/>
    <xf numFmtId="178" fontId="70" fillId="34" borderId="28" xfId="62" applyNumberFormat="1" applyFont="1" applyFill="1" applyBorder="1"/>
    <xf numFmtId="0" fontId="64" fillId="57" borderId="17" xfId="62" applyFont="1" applyFill="1" applyBorder="1"/>
    <xf numFmtId="0" fontId="64" fillId="57" borderId="29" xfId="62" applyFont="1" applyFill="1" applyBorder="1"/>
    <xf numFmtId="172" fontId="70" fillId="53" borderId="29" xfId="62" applyNumberFormat="1" applyFont="1" applyFill="1" applyBorder="1"/>
    <xf numFmtId="178" fontId="70" fillId="53" borderId="32" xfId="62" applyNumberFormat="1" applyFont="1" applyFill="1" applyBorder="1"/>
    <xf numFmtId="0" fontId="64" fillId="57" borderId="24" xfId="62" applyFont="1" applyFill="1" applyBorder="1" applyAlignment="1">
      <alignment horizontal="center" vertical="center" wrapText="1"/>
    </xf>
    <xf numFmtId="0" fontId="64" fillId="57" borderId="20" xfId="62" applyFont="1" applyFill="1" applyBorder="1" applyAlignment="1">
      <alignment horizontal="center" vertical="center" wrapText="1"/>
    </xf>
    <xf numFmtId="0" fontId="64" fillId="57" borderId="21" xfId="62" applyFont="1" applyFill="1" applyBorder="1" applyAlignment="1">
      <alignment horizontal="center" vertical="center" wrapText="1"/>
    </xf>
    <xf numFmtId="0" fontId="93" fillId="34" borderId="16" xfId="62" applyFont="1" applyFill="1" applyBorder="1" applyAlignment="1">
      <alignment horizontal="center" vertical="center" wrapText="1"/>
    </xf>
    <xf numFmtId="0" fontId="93" fillId="34" borderId="11" xfId="62" applyFont="1" applyFill="1" applyBorder="1" applyAlignment="1">
      <alignment horizontal="center" vertical="center" wrapText="1"/>
    </xf>
    <xf numFmtId="14" fontId="93" fillId="34" borderId="11" xfId="62" applyNumberFormat="1" applyFont="1" applyFill="1" applyBorder="1" applyAlignment="1">
      <alignment horizontal="center" vertical="center" wrapText="1"/>
    </xf>
    <xf numFmtId="5" fontId="93" fillId="34" borderId="11" xfId="62" applyNumberFormat="1" applyFont="1" applyFill="1" applyBorder="1" applyAlignment="1">
      <alignment horizontal="center" vertical="center" wrapText="1"/>
    </xf>
    <xf numFmtId="0" fontId="93" fillId="34" borderId="28" xfId="62" applyFont="1" applyFill="1" applyBorder="1" applyAlignment="1">
      <alignment horizontal="center" vertical="center" wrapText="1"/>
    </xf>
    <xf numFmtId="0" fontId="93" fillId="34" borderId="17" xfId="62" applyFont="1" applyFill="1" applyBorder="1" applyAlignment="1">
      <alignment horizontal="center" vertical="center" wrapText="1"/>
    </xf>
    <xf numFmtId="0" fontId="93" fillId="34" borderId="29" xfId="62" applyFont="1" applyFill="1" applyBorder="1" applyAlignment="1">
      <alignment horizontal="center" vertical="center" wrapText="1"/>
    </xf>
    <xf numFmtId="14" fontId="93" fillId="34" borderId="29" xfId="62" applyNumberFormat="1" applyFont="1" applyFill="1" applyBorder="1" applyAlignment="1">
      <alignment horizontal="center" vertical="center" wrapText="1"/>
    </xf>
    <xf numFmtId="5" fontId="93" fillId="34" borderId="29" xfId="62" applyNumberFormat="1" applyFont="1" applyFill="1" applyBorder="1" applyAlignment="1">
      <alignment horizontal="center" vertical="center" wrapText="1"/>
    </xf>
    <xf numFmtId="0" fontId="93" fillId="34" borderId="32" xfId="62" applyFont="1" applyFill="1" applyBorder="1" applyAlignment="1">
      <alignment horizontal="center" vertical="center" wrapText="1"/>
    </xf>
    <xf numFmtId="0" fontId="1" fillId="34" borderId="0" xfId="62" applyFill="1" applyAlignment="1">
      <alignment wrapText="1"/>
    </xf>
    <xf numFmtId="0" fontId="92" fillId="48" borderId="180" xfId="62" applyFont="1" applyFill="1" applyBorder="1" applyAlignment="1">
      <alignment horizontal="center" vertical="center" wrapText="1"/>
    </xf>
    <xf numFmtId="0" fontId="92" fillId="48" borderId="181" xfId="62" applyFont="1" applyFill="1" applyBorder="1" applyAlignment="1">
      <alignment horizontal="center" vertical="center" wrapText="1"/>
    </xf>
    <xf numFmtId="0" fontId="92" fillId="48" borderId="58" xfId="62" applyFont="1" applyFill="1" applyBorder="1" applyAlignment="1">
      <alignment horizontal="center" vertical="center" wrapText="1"/>
    </xf>
    <xf numFmtId="0" fontId="64" fillId="57" borderId="30" xfId="62" applyFont="1" applyFill="1" applyBorder="1" applyAlignment="1">
      <alignment horizontal="center" vertical="center" wrapText="1"/>
    </xf>
    <xf numFmtId="0" fontId="64" fillId="57" borderId="41" xfId="62" applyFont="1" applyFill="1" applyBorder="1" applyAlignment="1">
      <alignment horizontal="center" vertical="center" wrapText="1"/>
    </xf>
    <xf numFmtId="0" fontId="64" fillId="57" borderId="41" xfId="62" applyFont="1" applyFill="1" applyBorder="1" applyAlignment="1">
      <alignment horizontal="center" vertical="center" wrapText="1"/>
    </xf>
    <xf numFmtId="0" fontId="64" fillId="57" borderId="42" xfId="62" applyFont="1" applyFill="1" applyBorder="1" applyAlignment="1">
      <alignment horizontal="center" vertical="center" wrapText="1"/>
    </xf>
    <xf numFmtId="0" fontId="1" fillId="34" borderId="0" xfId="62" applyFill="1" applyAlignment="1">
      <alignment horizontal="center"/>
    </xf>
    <xf numFmtId="1" fontId="93" fillId="34" borderId="16" xfId="62" applyNumberFormat="1" applyFont="1" applyFill="1" applyBorder="1" applyAlignment="1">
      <alignment horizontal="center" vertical="center" wrapText="1"/>
    </xf>
    <xf numFmtId="49" fontId="93" fillId="34" borderId="11" xfId="62" applyNumberFormat="1" applyFont="1" applyFill="1" applyBorder="1" applyAlignment="1">
      <alignment horizontal="center" vertical="center" wrapText="1"/>
    </xf>
    <xf numFmtId="0" fontId="93" fillId="34" borderId="11" xfId="62" applyFont="1" applyFill="1" applyBorder="1" applyAlignment="1">
      <alignment horizontal="center" vertical="center" wrapText="1"/>
    </xf>
    <xf numFmtId="0" fontId="93" fillId="34" borderId="28" xfId="62" applyFont="1" applyFill="1" applyBorder="1" applyAlignment="1">
      <alignment horizontal="center" vertical="center" wrapText="1"/>
    </xf>
    <xf numFmtId="1" fontId="93" fillId="34" borderId="17" xfId="62" applyNumberFormat="1" applyFont="1" applyFill="1" applyBorder="1" applyAlignment="1">
      <alignment horizontal="center" vertical="center" wrapText="1"/>
    </xf>
    <xf numFmtId="49" fontId="93" fillId="34" borderId="29" xfId="62" applyNumberFormat="1" applyFont="1" applyFill="1" applyBorder="1" applyAlignment="1">
      <alignment horizontal="center" vertical="center" wrapText="1"/>
    </xf>
    <xf numFmtId="0" fontId="93" fillId="34" borderId="29" xfId="62" applyFont="1" applyFill="1" applyBorder="1" applyAlignment="1">
      <alignment horizontal="center" vertical="center" wrapText="1"/>
    </xf>
    <xf numFmtId="0" fontId="93" fillId="34" borderId="32" xfId="62" applyFont="1" applyFill="1" applyBorder="1" applyAlignment="1">
      <alignment horizontal="center" vertical="center" wrapText="1"/>
    </xf>
    <xf numFmtId="0" fontId="65" fillId="34" borderId="0" xfId="51" applyFont="1" applyFill="1" applyBorder="1"/>
    <xf numFmtId="0" fontId="1" fillId="0" borderId="44" xfId="61" applyFont="1" applyBorder="1" applyAlignment="1">
      <alignment vertical="center"/>
    </xf>
    <xf numFmtId="0" fontId="1" fillId="0" borderId="142" xfId="61" applyFont="1" applyBorder="1" applyAlignment="1">
      <alignment vertical="center"/>
    </xf>
    <xf numFmtId="0" fontId="64" fillId="57" borderId="11" xfId="61" applyFont="1" applyFill="1" applyBorder="1" applyAlignment="1">
      <alignment vertical="center" wrapText="1"/>
    </xf>
    <xf numFmtId="0" fontId="1" fillId="0" borderId="144" xfId="61" applyFont="1" applyBorder="1" applyAlignment="1">
      <alignment vertical="center"/>
    </xf>
    <xf numFmtId="0" fontId="1" fillId="0" borderId="11" xfId="61" applyFont="1" applyBorder="1" applyAlignment="1">
      <alignment horizontal="center" vertical="center"/>
    </xf>
  </cellXfs>
  <cellStyles count="6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Comma 2" xfId="29" xr:uid="{00000000-0005-0000-0000-00001C000000}"/>
    <cellStyle name="Comma_PULIANI" xfId="30" xr:uid="{00000000-0005-0000-0000-00001D000000}"/>
    <cellStyle name="Excel Built-in Normal" xfId="52" xr:uid="{9D61DADC-09A5-4BD8-BB65-FA0595E538B0}"/>
    <cellStyle name="Explanatory Text" xfId="31" builtinId="53" customBuiltin="1"/>
    <cellStyle name="Good" xfId="32" builtinId="26" customBuiltin="1"/>
    <cellStyle name="Heading 1" xfId="33" builtinId="16" customBuiltin="1"/>
    <cellStyle name="Heading 2" xfId="34" builtinId="17" customBuiltin="1"/>
    <cellStyle name="Heading 3" xfId="35" builtinId="18" customBuiltin="1"/>
    <cellStyle name="Heading 4" xfId="36" builtinId="19" customBuiltin="1"/>
    <cellStyle name="Hyperlink" xfId="37" builtinId="8"/>
    <cellStyle name="Hyperlink 2" xfId="55" xr:uid="{1BDE372A-A6B9-4289-A7AB-AAEDC2C8E779}"/>
    <cellStyle name="Input" xfId="38" builtinId="20" customBuiltin="1"/>
    <cellStyle name="Linked Cell" xfId="39" builtinId="24" customBuiltin="1"/>
    <cellStyle name="Neutral" xfId="40" builtinId="28" customBuiltin="1"/>
    <cellStyle name="Normal" xfId="0" builtinId="0"/>
    <cellStyle name="Normal 2" xfId="41" xr:uid="{00000000-0005-0000-0000-000029000000}"/>
    <cellStyle name="Normal 3" xfId="42" xr:uid="{00000000-0005-0000-0000-00002A000000}"/>
    <cellStyle name="Normal 3 2" xfId="53" xr:uid="{79C58B5A-C094-4580-BDFA-6DCD8AC74872}"/>
    <cellStyle name="Normal 3 2 2" xfId="59" xr:uid="{EEDDB7F9-3C8A-43FE-8D3A-468BA36984EC}"/>
    <cellStyle name="Normal 3 3" xfId="54" xr:uid="{12519B98-83C8-47EA-9488-216F1103C8F5}"/>
    <cellStyle name="Normal 4" xfId="43" xr:uid="{00000000-0005-0000-0000-00002B000000}"/>
    <cellStyle name="Normal 58" xfId="58" xr:uid="{A12E40DE-F235-4977-86A8-3AB56E132DE4}"/>
    <cellStyle name="Normal 58 2" xfId="61" xr:uid="{645BA293-70B9-42E9-A971-4D9D9E54D899}"/>
    <cellStyle name="Normal 58 3" xfId="62" xr:uid="{36AA04A1-82AB-44F5-B97B-B909B81AA621}"/>
    <cellStyle name="Normal 6" xfId="57" xr:uid="{1A525694-DFD9-45F2-BD71-1A20697E7086}"/>
    <cellStyle name="Normal 7" xfId="51" xr:uid="{7E9F72D1-4685-4E2F-A3DC-C101152953C7}"/>
    <cellStyle name="Normal_senp__eligibility" xfId="44" xr:uid="{00000000-0005-0000-0000-00002C000000}"/>
    <cellStyle name="Note" xfId="45" builtinId="10" customBuiltin="1"/>
    <cellStyle name="Output" xfId="46" builtinId="21" customBuiltin="1"/>
    <cellStyle name="Percent" xfId="47" builtinId="5"/>
    <cellStyle name="Percent 3" xfId="56" xr:uid="{9C2247C3-6AB3-4D72-BCC3-887024E5D061}"/>
    <cellStyle name="Percent 4" xfId="60" xr:uid="{841985E7-8351-4044-9D2D-8DC0E4C0D39F}"/>
    <cellStyle name="Title" xfId="48" builtinId="15" customBuiltin="1"/>
    <cellStyle name="Total" xfId="49" builtinId="25" customBuiltin="1"/>
    <cellStyle name="Warning Text" xfId="50" builtinId="11" customBuiltin="1"/>
  </cellStyles>
  <dxfs count="378">
    <dxf>
      <font>
        <color theme="6" tint="0.59996337778862885"/>
      </font>
      <fill>
        <patternFill>
          <bgColor theme="6" tint="0.59996337778862885"/>
        </patternFill>
      </fill>
    </dxf>
    <dxf>
      <font>
        <color theme="6" tint="0.59996337778862885"/>
      </font>
      <fill>
        <patternFill>
          <bgColor theme="6" tint="0.59996337778862885"/>
        </patternFill>
      </fill>
    </dxf>
    <dxf>
      <font>
        <color theme="6" tint="0.59996337778862885"/>
      </font>
      <fill>
        <patternFill>
          <bgColor theme="6" tint="0.59996337778862885"/>
        </patternFill>
      </fill>
    </dxf>
    <dxf>
      <fill>
        <patternFill>
          <bgColor theme="1"/>
        </patternFill>
      </fill>
    </dxf>
    <dxf>
      <font>
        <color theme="6" tint="0.59996337778862885"/>
      </font>
      <fill>
        <patternFill>
          <bgColor theme="6" tint="0.59996337778862885"/>
        </patternFill>
      </fill>
    </dxf>
    <dxf>
      <font>
        <color theme="0" tint="-0.14996795556505021"/>
      </font>
      <fill>
        <patternFill>
          <bgColor theme="0" tint="-0.14996795556505021"/>
        </patternFill>
      </fill>
    </dxf>
    <dxf>
      <font>
        <color theme="6" tint="0.59996337778862885"/>
      </font>
      <fill>
        <patternFill>
          <bgColor theme="6" tint="0.59996337778862885"/>
        </patternFill>
      </fill>
    </dxf>
    <dxf>
      <font>
        <color theme="6" tint="0.59996337778862885"/>
      </font>
      <fill>
        <patternFill>
          <bgColor theme="6" tint="0.59996337778862885"/>
        </patternFill>
      </fill>
    </dxf>
    <dxf>
      <font>
        <color theme="6" tint="0.59996337778862885"/>
      </font>
      <fill>
        <patternFill>
          <bgColor theme="6" tint="0.59996337778862885"/>
        </patternFill>
      </fill>
    </dxf>
    <dxf>
      <font>
        <color theme="6" tint="0.59996337778862885"/>
      </font>
      <fill>
        <patternFill>
          <bgColor theme="6" tint="0.59996337778862885"/>
        </patternFill>
      </fill>
    </dxf>
    <dxf>
      <font>
        <color theme="6" tint="0.59996337778862885"/>
      </font>
      <fill>
        <patternFill>
          <bgColor theme="6" tint="0.59996337778862885"/>
        </patternFill>
      </fill>
    </dxf>
    <dxf>
      <font>
        <color theme="6" tint="0.59996337778862885"/>
      </font>
      <fill>
        <patternFill>
          <bgColor theme="6" tint="0.59996337778862885"/>
        </patternFill>
      </fill>
    </dxf>
    <dxf>
      <font>
        <color theme="6" tint="0.59996337778862885"/>
      </font>
      <fill>
        <patternFill>
          <bgColor theme="6" tint="0.59996337778862885"/>
        </patternFill>
      </fill>
    </dxf>
    <dxf>
      <font>
        <color theme="6" tint="0.59996337778862885"/>
      </font>
      <fill>
        <patternFill>
          <bgColor theme="6" tint="0.59996337778862885"/>
        </patternFill>
      </fill>
    </dxf>
    <dxf>
      <font>
        <color auto="1"/>
      </font>
      <fill>
        <patternFill>
          <bgColor theme="1"/>
        </patternFill>
      </fill>
    </dxf>
    <dxf>
      <fill>
        <patternFill>
          <bgColor theme="1"/>
        </patternFill>
      </fill>
    </dxf>
    <dxf>
      <font>
        <color theme="6" tint="0.59996337778862885"/>
      </font>
      <fill>
        <patternFill>
          <bgColor theme="6" tint="0.59996337778862885"/>
        </patternFill>
      </fill>
    </dxf>
    <dxf>
      <font>
        <color theme="6" tint="0.59996337778862885"/>
      </font>
      <fill>
        <patternFill>
          <bgColor theme="6" tint="0.59996337778862885"/>
        </patternFill>
      </fill>
    </dxf>
    <dxf>
      <fill>
        <patternFill>
          <bgColor theme="1"/>
        </patternFill>
      </fill>
    </dxf>
    <dxf>
      <fill>
        <patternFill>
          <bgColor theme="1"/>
        </patternFill>
      </fill>
    </dxf>
    <dxf>
      <fill>
        <patternFill>
          <bgColor theme="1"/>
        </patternFill>
      </fill>
    </dxf>
    <dxf>
      <font>
        <color theme="0" tint="-0.24994659260841701"/>
      </font>
      <fill>
        <patternFill>
          <bgColor theme="0" tint="-0.24994659260841701"/>
        </patternFill>
      </fill>
    </dxf>
    <dxf>
      <fill>
        <patternFill>
          <bgColor rgb="FFFF0000"/>
        </patternFill>
      </fill>
    </dxf>
    <dxf>
      <font>
        <color theme="0"/>
      </font>
      <fill>
        <patternFill>
          <bgColor theme="0"/>
        </patternFill>
      </fill>
      <border>
        <left/>
        <right/>
        <top/>
        <bottom/>
        <vertical/>
        <horizontal/>
      </border>
    </dxf>
    <dxf>
      <font>
        <color theme="2" tint="-0.24994659260841701"/>
      </font>
      <fill>
        <patternFill>
          <bgColor theme="2" tint="-0.24994659260841701"/>
        </patternFill>
      </fill>
    </dxf>
    <dxf>
      <fill>
        <patternFill>
          <bgColor theme="1"/>
        </patternFill>
      </fill>
    </dxf>
    <dxf>
      <fill>
        <patternFill>
          <bgColor theme="1"/>
        </patternFill>
      </fill>
    </dxf>
    <dxf>
      <font>
        <color theme="2" tint="-0.24994659260841701"/>
      </font>
      <fill>
        <patternFill>
          <bgColor theme="2" tint="-0.24994659260841701"/>
        </patternFill>
      </fill>
    </dxf>
    <dxf>
      <fill>
        <patternFill>
          <bgColor theme="1"/>
        </patternFill>
      </fill>
    </dxf>
    <dxf>
      <font>
        <color theme="2" tint="-0.24994659260841701"/>
      </font>
      <fill>
        <patternFill>
          <bgColor theme="2" tint="-0.24994659260841701"/>
        </patternFill>
      </fill>
    </dxf>
    <dxf>
      <fill>
        <patternFill>
          <bgColor theme="1"/>
        </patternFill>
      </fill>
    </dxf>
    <dxf>
      <fill>
        <patternFill>
          <bgColor theme="1"/>
        </patternFill>
      </fill>
    </dxf>
    <dxf>
      <font>
        <color theme="2" tint="-0.24994659260841701"/>
      </font>
      <fill>
        <patternFill>
          <bgColor theme="2" tint="-0.24994659260841701"/>
        </patternFill>
      </fill>
    </dxf>
    <dxf>
      <font>
        <color theme="2" tint="-0.24994659260841701"/>
      </font>
      <fill>
        <patternFill>
          <bgColor theme="2" tint="-0.24994659260841701"/>
        </patternFill>
      </fill>
    </dxf>
    <dxf>
      <fill>
        <patternFill>
          <bgColor theme="1"/>
        </patternFill>
      </fill>
    </dxf>
    <dxf>
      <fill>
        <patternFill>
          <bgColor theme="1"/>
        </patternFill>
      </fill>
    </dxf>
    <dxf>
      <font>
        <color theme="2" tint="-0.24994659260841701"/>
      </font>
      <fill>
        <patternFill>
          <bgColor theme="2" tint="-0.24994659260841701"/>
        </patternFill>
      </fill>
    </dxf>
    <dxf>
      <fill>
        <patternFill>
          <bgColor theme="1"/>
        </patternFill>
      </fill>
    </dxf>
    <dxf>
      <fill>
        <patternFill>
          <bgColor theme="1"/>
        </patternFill>
      </fill>
    </dxf>
    <dxf>
      <font>
        <color theme="2" tint="-0.24994659260841701"/>
      </font>
      <fill>
        <patternFill>
          <bgColor theme="2" tint="-0.24994659260841701"/>
        </patternFill>
      </fill>
    </dxf>
    <dxf>
      <fill>
        <patternFill>
          <bgColor theme="1"/>
        </patternFill>
      </fill>
    </dxf>
    <dxf>
      <fill>
        <patternFill>
          <bgColor theme="1"/>
        </patternFill>
      </fill>
    </dxf>
    <dxf>
      <font>
        <color theme="2" tint="-0.24994659260841701"/>
      </font>
      <fill>
        <patternFill>
          <bgColor theme="2" tint="-0.24994659260841701"/>
        </patternFill>
      </fill>
    </dxf>
    <dxf>
      <fill>
        <patternFill>
          <bgColor theme="1"/>
        </patternFill>
      </fill>
    </dxf>
    <dxf>
      <fill>
        <patternFill>
          <bgColor theme="1"/>
        </patternFill>
      </fill>
    </dxf>
    <dxf>
      <fill>
        <patternFill>
          <bgColor theme="1"/>
        </patternFill>
      </fill>
    </dxf>
    <dxf>
      <fill>
        <patternFill>
          <bgColor theme="1"/>
        </patternFill>
      </fill>
    </dxf>
    <dxf>
      <font>
        <color theme="2" tint="-0.24994659260841701"/>
      </font>
      <fill>
        <patternFill>
          <bgColor theme="2" tint="-0.24994659260841701"/>
        </patternFill>
      </fill>
    </dxf>
    <dxf>
      <fill>
        <patternFill>
          <bgColor theme="1"/>
        </patternFill>
      </fill>
    </dxf>
    <dxf>
      <fill>
        <patternFill>
          <bgColor theme="1"/>
        </patternFill>
      </fill>
    </dxf>
    <dxf>
      <font>
        <color theme="2" tint="-0.24994659260841701"/>
      </font>
      <fill>
        <patternFill>
          <bgColor theme="2" tint="-0.24994659260841701"/>
        </patternFill>
      </fill>
    </dxf>
    <dxf>
      <fill>
        <patternFill>
          <bgColor theme="1"/>
        </patternFill>
      </fill>
    </dxf>
    <dxf>
      <fill>
        <patternFill>
          <bgColor theme="1"/>
        </patternFill>
      </fill>
    </dxf>
    <dxf>
      <font>
        <color theme="2" tint="-0.24994659260841701"/>
      </font>
      <fill>
        <patternFill>
          <bgColor theme="2" tint="-0.24994659260841701"/>
        </patternFill>
      </fill>
    </dxf>
    <dxf>
      <fill>
        <patternFill>
          <bgColor theme="1"/>
        </patternFill>
      </fill>
    </dxf>
    <dxf>
      <fill>
        <patternFill>
          <bgColor theme="1"/>
        </patternFill>
      </fill>
    </dxf>
    <dxf>
      <fill>
        <patternFill>
          <bgColor theme="1"/>
        </patternFill>
      </fill>
    </dxf>
    <dxf>
      <fill>
        <patternFill>
          <bgColor theme="1"/>
        </patternFill>
      </fill>
    </dxf>
    <dxf>
      <font>
        <color theme="2" tint="-0.24994659260841701"/>
      </font>
      <fill>
        <patternFill>
          <bgColor theme="2" tint="-0.24994659260841701"/>
        </patternFill>
      </fill>
    </dxf>
    <dxf>
      <fill>
        <patternFill>
          <bgColor theme="1"/>
        </patternFill>
      </fill>
    </dxf>
    <dxf>
      <font>
        <color theme="0"/>
      </font>
      <fill>
        <patternFill>
          <fgColor theme="0"/>
          <bgColor theme="0"/>
        </patternFill>
      </fill>
      <border>
        <left/>
        <right/>
        <top/>
        <bottom/>
        <vertical/>
        <horizontal/>
      </border>
    </dxf>
    <dxf>
      <fill>
        <patternFill>
          <bgColor rgb="FFFF0000"/>
        </patternFill>
      </fill>
    </dxf>
    <dxf>
      <font>
        <color theme="2" tint="-0.24994659260841701"/>
      </font>
      <fill>
        <patternFill>
          <bgColor theme="2" tint="-0.24994659260841701"/>
        </patternFill>
      </fill>
    </dxf>
    <dxf>
      <fill>
        <patternFill>
          <bgColor theme="1"/>
        </patternFill>
      </fill>
    </dxf>
    <dxf>
      <fill>
        <patternFill>
          <bgColor theme="1"/>
        </patternFill>
      </fill>
    </dxf>
    <dxf>
      <font>
        <color theme="2" tint="-0.24994659260841701"/>
      </font>
      <fill>
        <patternFill>
          <bgColor theme="2" tint="-0.24994659260841701"/>
        </patternFill>
      </fill>
    </dxf>
    <dxf>
      <fill>
        <patternFill>
          <bgColor theme="1"/>
        </patternFill>
      </fill>
    </dxf>
    <dxf>
      <font>
        <color theme="2" tint="-0.24994659260841701"/>
      </font>
      <fill>
        <patternFill>
          <bgColor theme="2" tint="-0.24994659260841701"/>
        </patternFill>
      </fill>
    </dxf>
    <dxf>
      <fill>
        <patternFill>
          <bgColor theme="1"/>
        </patternFill>
      </fill>
    </dxf>
    <dxf>
      <fill>
        <patternFill>
          <bgColor theme="1"/>
        </patternFill>
      </fill>
    </dxf>
    <dxf>
      <font>
        <color theme="2" tint="-0.24994659260841701"/>
      </font>
      <fill>
        <patternFill>
          <bgColor theme="2" tint="-0.24994659260841701"/>
        </patternFill>
      </fill>
    </dxf>
    <dxf>
      <font>
        <color theme="2" tint="-0.24994659260841701"/>
      </font>
      <fill>
        <patternFill>
          <bgColor theme="2" tint="-0.24994659260841701"/>
        </patternFill>
      </fill>
    </dxf>
    <dxf>
      <fill>
        <patternFill>
          <bgColor theme="1"/>
        </patternFill>
      </fill>
    </dxf>
    <dxf>
      <fill>
        <patternFill>
          <bgColor theme="1"/>
        </patternFill>
      </fill>
    </dxf>
    <dxf>
      <font>
        <color theme="2" tint="-0.24994659260841701"/>
      </font>
      <fill>
        <patternFill>
          <bgColor theme="2" tint="-0.24994659260841701"/>
        </patternFill>
      </fill>
    </dxf>
    <dxf>
      <fill>
        <patternFill>
          <bgColor theme="1"/>
        </patternFill>
      </fill>
    </dxf>
    <dxf>
      <fill>
        <patternFill>
          <bgColor theme="1"/>
        </patternFill>
      </fill>
    </dxf>
    <dxf>
      <font>
        <color theme="2" tint="-0.24994659260841701"/>
      </font>
      <fill>
        <patternFill>
          <bgColor theme="2" tint="-0.24994659260841701"/>
        </patternFill>
      </fill>
    </dxf>
    <dxf>
      <fill>
        <patternFill>
          <bgColor theme="1"/>
        </patternFill>
      </fill>
    </dxf>
    <dxf>
      <fill>
        <patternFill>
          <bgColor theme="1"/>
        </patternFill>
      </fill>
    </dxf>
    <dxf>
      <font>
        <color theme="2" tint="-0.24994659260841701"/>
      </font>
      <fill>
        <patternFill>
          <bgColor theme="2" tint="-0.24994659260841701"/>
        </patternFill>
      </fill>
    </dxf>
    <dxf>
      <fill>
        <patternFill>
          <bgColor theme="1"/>
        </patternFill>
      </fill>
    </dxf>
    <dxf>
      <fill>
        <patternFill>
          <bgColor theme="1"/>
        </patternFill>
      </fill>
    </dxf>
    <dxf>
      <font>
        <color theme="2" tint="-0.24994659260841701"/>
      </font>
      <fill>
        <patternFill>
          <bgColor theme="2" tint="-0.24994659260841701"/>
        </patternFill>
      </fill>
    </dxf>
    <dxf>
      <fill>
        <patternFill>
          <bgColor theme="1"/>
        </patternFill>
      </fill>
    </dxf>
    <dxf>
      <fill>
        <patternFill>
          <bgColor theme="1"/>
        </patternFill>
      </fill>
    </dxf>
    <dxf>
      <fill>
        <patternFill>
          <bgColor theme="1"/>
        </patternFill>
      </fill>
    </dxf>
    <dxf>
      <fill>
        <patternFill>
          <bgColor theme="1"/>
        </patternFill>
      </fill>
    </dxf>
    <dxf>
      <font>
        <color theme="2" tint="-0.24994659260841701"/>
      </font>
      <fill>
        <patternFill>
          <bgColor theme="2" tint="-0.24994659260841701"/>
        </patternFill>
      </fill>
    </dxf>
    <dxf>
      <fill>
        <patternFill>
          <bgColor theme="1"/>
        </patternFill>
      </fill>
    </dxf>
    <dxf>
      <fill>
        <patternFill>
          <bgColor theme="1"/>
        </patternFill>
      </fill>
    </dxf>
    <dxf>
      <font>
        <color theme="2" tint="-0.24994659260841701"/>
      </font>
      <fill>
        <patternFill>
          <bgColor theme="2" tint="-0.24994659260841701"/>
        </patternFill>
      </fill>
    </dxf>
    <dxf>
      <fill>
        <patternFill>
          <bgColor theme="1"/>
        </patternFill>
      </fill>
    </dxf>
    <dxf>
      <fill>
        <patternFill>
          <bgColor theme="1"/>
        </patternFill>
      </fill>
    </dxf>
    <dxf>
      <font>
        <color theme="2" tint="-0.24994659260841701"/>
      </font>
      <fill>
        <patternFill>
          <bgColor theme="2" tint="-0.24994659260841701"/>
        </patternFill>
      </fill>
    </dxf>
    <dxf>
      <fill>
        <patternFill>
          <bgColor theme="1"/>
        </patternFill>
      </fill>
    </dxf>
    <dxf>
      <fill>
        <patternFill>
          <bgColor theme="1"/>
        </patternFill>
      </fill>
    </dxf>
    <dxf>
      <font>
        <color theme="2" tint="-0.24994659260841701"/>
      </font>
      <fill>
        <patternFill>
          <bgColor theme="2" tint="-0.24994659260841701"/>
        </patternFill>
      </fill>
    </dxf>
    <dxf>
      <fill>
        <patternFill>
          <bgColor theme="1"/>
        </patternFill>
      </fill>
    </dxf>
    <dxf>
      <fill>
        <patternFill>
          <bgColor theme="1"/>
        </patternFill>
      </fill>
    </dxf>
    <dxf>
      <font>
        <color theme="2" tint="-0.24994659260841701"/>
      </font>
      <fill>
        <patternFill>
          <bgColor theme="2" tint="-0.2499465926084170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2" tint="-0.24994659260841701"/>
      </font>
      <fill>
        <patternFill>
          <bgColor theme="2" tint="-0.24994659260841701"/>
        </patternFill>
      </fill>
    </dxf>
    <dxf>
      <fill>
        <patternFill>
          <bgColor theme="1"/>
        </patternFill>
      </fill>
    </dxf>
    <dxf>
      <fill>
        <patternFill>
          <bgColor theme="1"/>
        </patternFill>
      </fill>
    </dxf>
    <dxf>
      <fill>
        <patternFill>
          <bgColor theme="1"/>
        </patternFill>
      </fill>
    </dxf>
    <dxf>
      <font>
        <color theme="2" tint="-0.24994659260841701"/>
      </font>
      <fill>
        <patternFill>
          <bgColor theme="2" tint="-0.24994659260841701"/>
        </patternFill>
      </fill>
    </dxf>
    <dxf>
      <fill>
        <patternFill>
          <bgColor theme="1"/>
        </patternFill>
      </fill>
    </dxf>
    <dxf>
      <fill>
        <patternFill>
          <bgColor theme="1"/>
        </patternFill>
      </fill>
    </dxf>
    <dxf>
      <fill>
        <patternFill>
          <bgColor theme="1"/>
        </patternFill>
      </fill>
    </dxf>
    <dxf>
      <fill>
        <patternFill>
          <bgColor theme="1"/>
        </patternFill>
      </fill>
    </dxf>
    <dxf>
      <font>
        <color theme="2" tint="-0.24994659260841701"/>
      </font>
      <fill>
        <patternFill>
          <bgColor theme="2" tint="-0.24994659260841701"/>
        </patternFill>
      </fill>
    </dxf>
    <dxf>
      <font>
        <color theme="2" tint="-0.24994659260841701"/>
      </font>
      <fill>
        <patternFill>
          <bgColor theme="2" tint="-0.24994659260841701"/>
        </patternFill>
      </fill>
    </dxf>
    <dxf>
      <font>
        <color theme="2" tint="-0.24994659260841701"/>
      </font>
      <fill>
        <patternFill>
          <bgColor theme="2" tint="-0.24994659260841701"/>
        </patternFill>
      </fill>
    </dxf>
    <dxf>
      <fill>
        <patternFill>
          <bgColor theme="1"/>
        </patternFill>
      </fill>
    </dxf>
    <dxf>
      <fill>
        <patternFill>
          <bgColor theme="1"/>
        </patternFill>
      </fill>
    </dxf>
    <dxf>
      <fill>
        <patternFill>
          <bgColor theme="1"/>
        </patternFill>
      </fill>
    </dxf>
    <dxf>
      <fill>
        <patternFill>
          <bgColor theme="1"/>
        </patternFill>
      </fill>
    </dxf>
    <dxf>
      <font>
        <color theme="2" tint="-0.24994659260841701"/>
      </font>
      <fill>
        <patternFill>
          <bgColor theme="2" tint="-0.24994659260841701"/>
        </patternFill>
      </fill>
    </dxf>
    <dxf>
      <font>
        <color theme="2" tint="-0.24994659260841701"/>
      </font>
      <fill>
        <patternFill>
          <bgColor theme="2" tint="-0.2499465926084170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2" tint="-0.24994659260841701"/>
      </font>
      <fill>
        <patternFill>
          <bgColor theme="2" tint="-0.24994659260841701"/>
        </patternFill>
      </fill>
    </dxf>
    <dxf>
      <fill>
        <patternFill>
          <bgColor theme="1"/>
        </patternFill>
      </fill>
    </dxf>
    <dxf>
      <font>
        <color theme="2" tint="-0.24994659260841701"/>
      </font>
      <fill>
        <patternFill>
          <bgColor theme="2" tint="-0.24994659260841701"/>
        </patternFill>
      </fill>
    </dxf>
    <dxf>
      <fill>
        <patternFill>
          <bgColor theme="1"/>
        </patternFill>
      </fill>
    </dxf>
    <dxf>
      <fill>
        <patternFill>
          <bgColor theme="1"/>
        </patternFill>
      </fill>
    </dxf>
    <dxf>
      <fill>
        <patternFill>
          <bgColor theme="1"/>
        </patternFill>
      </fill>
    </dxf>
    <dxf>
      <font>
        <color theme="2" tint="-0.24994659260841701"/>
      </font>
      <fill>
        <patternFill>
          <bgColor theme="2" tint="-0.24994659260841701"/>
        </patternFill>
      </fill>
    </dxf>
    <dxf>
      <fill>
        <patternFill>
          <bgColor theme="1"/>
        </patternFill>
      </fill>
    </dxf>
    <dxf>
      <fill>
        <patternFill>
          <bgColor theme="1"/>
        </patternFill>
      </fill>
    </dxf>
    <dxf>
      <font>
        <color theme="2" tint="-0.24994659260841701"/>
      </font>
      <fill>
        <patternFill>
          <bgColor theme="2" tint="-0.24994659260841701"/>
        </patternFill>
      </fill>
    </dxf>
    <dxf>
      <fill>
        <patternFill>
          <bgColor theme="1"/>
        </patternFill>
      </fill>
    </dxf>
    <dxf>
      <fill>
        <patternFill>
          <bgColor theme="1"/>
        </patternFill>
      </fill>
    </dxf>
    <dxf>
      <font>
        <color theme="2" tint="-0.24994659260841701"/>
      </font>
      <fill>
        <patternFill>
          <bgColor theme="2" tint="-0.24994659260841701"/>
        </patternFill>
      </fill>
    </dxf>
    <dxf>
      <font>
        <color theme="2" tint="-0.24994659260841701"/>
      </font>
      <fill>
        <patternFill>
          <bgColor theme="2" tint="-0.24994659260841701"/>
        </patternFill>
      </fill>
    </dxf>
    <dxf>
      <font>
        <color theme="2" tint="-0.24994659260841701"/>
      </font>
      <fill>
        <patternFill>
          <bgColor theme="2" tint="-0.2499465926084170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2" tint="-0.24994659260841701"/>
      </font>
      <fill>
        <patternFill>
          <bgColor theme="2" tint="-0.24994659260841701"/>
        </patternFill>
      </fill>
    </dxf>
    <dxf>
      <font>
        <color theme="2" tint="-0.24994659260841701"/>
      </font>
      <fill>
        <patternFill>
          <bgColor theme="2" tint="-0.2499465926084170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rgb="FFFF0000"/>
        </patternFill>
      </fill>
    </dxf>
    <dxf>
      <font>
        <color theme="0"/>
      </font>
      <fill>
        <patternFill>
          <bgColor theme="0"/>
        </patternFill>
      </fill>
      <border>
        <left/>
        <right/>
        <top/>
        <bottom/>
      </border>
    </dxf>
    <dxf>
      <font>
        <color theme="0"/>
      </font>
      <fill>
        <patternFill>
          <bgColor theme="0"/>
        </patternFill>
      </fill>
      <border>
        <left/>
        <right/>
        <top/>
        <bottom/>
      </border>
    </dxf>
    <dxf>
      <font>
        <color theme="0"/>
      </font>
      <fill>
        <patternFill>
          <bgColor theme="0"/>
        </patternFill>
      </fill>
      <border>
        <left/>
        <right/>
        <top/>
        <bottom/>
      </border>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171"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medium">
          <color theme="1"/>
        </right>
        <top style="medium">
          <color theme="1"/>
        </top>
        <bottom style="medium">
          <color theme="1"/>
        </bottom>
      </border>
    </dxf>
    <dxf>
      <font>
        <strike val="0"/>
        <outline val="0"/>
        <shadow val="0"/>
        <u val="none"/>
        <vertAlign val="baseline"/>
        <name val="Calibri"/>
        <family val="2"/>
        <scheme val="minor"/>
      </font>
      <alignment horizontal="general" vertical="center" textRotation="0" wrapText="0" indent="0" justifyLastLine="0" shrinkToFit="0" readingOrder="0"/>
    </dxf>
    <dxf>
      <fill>
        <patternFill patternType="solid">
          <fgColor indexed="64"/>
          <bgColor theme="0"/>
        </patternFill>
      </fill>
      <border diagonalUp="0" diagonalDown="0" outline="0">
        <left style="thin">
          <color indexed="64"/>
        </left>
        <right/>
        <top style="medium">
          <color indexed="64"/>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3" formatCode="#,##0"/>
      <fill>
        <patternFill patternType="solid">
          <fgColor indexed="64"/>
          <bgColor rgb="FFEDF1F9"/>
        </patternFill>
      </fill>
      <alignment horizontal="general"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3" formatCode="#,##0"/>
      <fill>
        <patternFill patternType="solid">
          <fgColor indexed="64"/>
          <bgColor theme="0"/>
        </patternFill>
      </fill>
      <alignment horizontal="general"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0" formatCode="General"/>
      <fill>
        <patternFill patternType="solid">
          <fgColor indexed="64"/>
          <bgColor theme="0"/>
        </patternFill>
      </fill>
      <alignment horizontal="general" vertical="center" textRotation="0" wrapText="0" indent="0" justifyLastLine="0" shrinkToFit="0" readingOrder="0"/>
      <border diagonalUp="0" diagonalDown="0" outline="0">
        <left style="thin">
          <color indexed="64"/>
        </left>
        <right style="thin">
          <color indexed="64"/>
        </right>
        <top/>
        <bottom style="thin">
          <color indexed="64"/>
        </bottom>
      </border>
    </dxf>
    <dxf>
      <numFmt numFmtId="183" formatCode="dd"/>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3" formatCode="#,##0"/>
      <fill>
        <patternFill patternType="solid">
          <fgColor indexed="64"/>
          <bgColor rgb="FFEDF1F9"/>
        </patternFill>
      </fill>
      <alignment horizontal="general"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3" formatCode="#,##0"/>
      <fill>
        <patternFill patternType="solid">
          <fgColor indexed="64"/>
          <bgColor theme="0"/>
        </patternFill>
      </fill>
      <alignment horizontal="general"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0" formatCode="General"/>
      <fill>
        <patternFill patternType="solid">
          <fgColor indexed="64"/>
          <bgColor theme="0"/>
        </patternFill>
      </fill>
      <alignment horizontal="general" vertical="center" textRotation="0" wrapText="0" indent="0" justifyLastLine="0" shrinkToFit="0" readingOrder="0"/>
      <border diagonalUp="0" diagonalDown="0" outline="0">
        <left style="thin">
          <color indexed="64"/>
        </left>
        <right style="thin">
          <color indexed="64"/>
        </right>
        <top/>
        <bottom style="thin">
          <color indexed="64"/>
        </bottom>
      </border>
    </dxf>
    <dxf>
      <numFmt numFmtId="183" formatCode="dd"/>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3" formatCode="#,##0"/>
      <fill>
        <patternFill patternType="solid">
          <fgColor indexed="64"/>
          <bgColor rgb="FFEDF1F9"/>
        </patternFill>
      </fill>
      <alignment horizontal="general"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3" formatCode="#,##0"/>
      <fill>
        <patternFill patternType="solid">
          <fgColor indexed="64"/>
          <bgColor theme="0"/>
        </patternFill>
      </fill>
      <alignment horizontal="general"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0" formatCode="General"/>
      <fill>
        <patternFill patternType="solid">
          <fgColor indexed="64"/>
          <bgColor theme="0"/>
        </patternFill>
      </fill>
      <alignment horizontal="general" vertical="center" textRotation="0" wrapText="0" indent="0" justifyLastLine="0" shrinkToFit="0" readingOrder="0"/>
      <border diagonalUp="0" diagonalDown="0" outline="0">
        <left style="thin">
          <color indexed="64"/>
        </left>
        <right style="thin">
          <color indexed="64"/>
        </right>
        <top/>
        <bottom style="thin">
          <color indexed="64"/>
        </bottom>
      </border>
    </dxf>
    <dxf>
      <numFmt numFmtId="183" formatCode="dd"/>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3" formatCode="#,##0"/>
      <fill>
        <patternFill patternType="solid">
          <fgColor indexed="64"/>
          <bgColor rgb="FFEDF1F9"/>
        </patternFill>
      </fill>
      <alignment horizontal="general"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3" formatCode="#,##0"/>
      <fill>
        <patternFill patternType="solid">
          <fgColor indexed="64"/>
          <bgColor theme="0"/>
        </patternFill>
      </fill>
      <alignment horizontal="general"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0" formatCode="General"/>
      <fill>
        <patternFill patternType="solid">
          <fgColor indexed="64"/>
          <bgColor theme="0"/>
        </patternFill>
      </fill>
      <alignment horizontal="general" vertical="center" textRotation="0" wrapText="0" indent="0" justifyLastLine="0" shrinkToFit="0" readingOrder="0"/>
      <border diagonalUp="0" diagonalDown="0" outline="0">
        <left style="thin">
          <color indexed="64"/>
        </left>
        <right style="thin">
          <color indexed="64"/>
        </right>
        <top/>
        <bottom style="thin">
          <color indexed="64"/>
        </bottom>
      </border>
    </dxf>
    <dxf>
      <numFmt numFmtId="183" formatCode="dd"/>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3" formatCode="#,##0"/>
      <fill>
        <patternFill patternType="solid">
          <fgColor indexed="64"/>
          <bgColor rgb="FFEDF1F9"/>
        </patternFill>
      </fill>
      <alignment horizontal="general"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3" formatCode="#,##0"/>
      <fill>
        <patternFill patternType="solid">
          <fgColor indexed="64"/>
          <bgColor theme="0"/>
        </patternFill>
      </fill>
      <alignment horizontal="general"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0" formatCode="General"/>
      <fill>
        <patternFill patternType="solid">
          <fgColor indexed="64"/>
          <bgColor theme="0"/>
        </patternFill>
      </fill>
      <alignment horizontal="general" vertical="center" textRotation="0" wrapText="0" indent="0" justifyLastLine="0" shrinkToFit="0" readingOrder="0"/>
      <border diagonalUp="0" diagonalDown="0" outline="0">
        <left style="thin">
          <color indexed="64"/>
        </left>
        <right style="thin">
          <color indexed="64"/>
        </right>
        <top/>
        <bottom style="thin">
          <color indexed="64"/>
        </bottom>
      </border>
    </dxf>
    <dxf>
      <numFmt numFmtId="183" formatCode="dd"/>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3" formatCode="#,##0"/>
      <fill>
        <patternFill patternType="solid">
          <fgColor indexed="64"/>
          <bgColor rgb="FFEDF1F9"/>
        </patternFill>
      </fill>
      <alignment horizontal="general"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3" formatCode="#,##0"/>
      <fill>
        <patternFill patternType="solid">
          <fgColor indexed="64"/>
          <bgColor theme="0"/>
        </patternFill>
      </fill>
      <alignment horizontal="general"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0" formatCode="General"/>
      <fill>
        <patternFill patternType="solid">
          <fgColor indexed="64"/>
          <bgColor theme="0"/>
        </patternFill>
      </fill>
      <alignment horizontal="general" vertical="center" textRotation="0" wrapText="0" indent="0" justifyLastLine="0" shrinkToFit="0" readingOrder="0"/>
      <border diagonalUp="0" diagonalDown="0" outline="0">
        <left style="thin">
          <color indexed="64"/>
        </left>
        <right style="thin">
          <color indexed="64"/>
        </right>
        <top/>
        <bottom style="thin">
          <color indexed="64"/>
        </bottom>
      </border>
    </dxf>
    <dxf>
      <numFmt numFmtId="183" formatCode="dd"/>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3" formatCode="#,##0"/>
      <fill>
        <patternFill patternType="solid">
          <fgColor indexed="64"/>
          <bgColor rgb="FFEDF1F9"/>
        </patternFill>
      </fill>
      <alignment horizontal="general"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3" formatCode="#,##0"/>
      <fill>
        <patternFill patternType="solid">
          <fgColor indexed="64"/>
          <bgColor theme="0"/>
        </patternFill>
      </fill>
      <alignment horizontal="general"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0" formatCode="General"/>
      <fill>
        <patternFill patternType="solid">
          <fgColor indexed="64"/>
          <bgColor theme="0"/>
        </patternFill>
      </fill>
      <alignment horizontal="general" vertical="center" textRotation="0" wrapText="0" indent="0" justifyLastLine="0" shrinkToFit="0" readingOrder="0"/>
      <border diagonalUp="0" diagonalDown="0" outline="0">
        <left style="thin">
          <color indexed="64"/>
        </left>
        <right style="thin">
          <color indexed="64"/>
        </right>
        <top/>
        <bottom style="thin">
          <color indexed="64"/>
        </bottom>
      </border>
    </dxf>
    <dxf>
      <numFmt numFmtId="183" formatCode="dd"/>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3" formatCode="#,##0"/>
      <fill>
        <patternFill patternType="solid">
          <fgColor indexed="64"/>
          <bgColor rgb="FFEDF1F9"/>
        </patternFill>
      </fill>
      <alignment horizontal="general"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3" formatCode="#,##0"/>
      <fill>
        <patternFill patternType="solid">
          <fgColor indexed="64"/>
          <bgColor theme="0"/>
        </patternFill>
      </fill>
      <alignment horizontal="general"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0" formatCode="General"/>
      <fill>
        <patternFill patternType="solid">
          <fgColor indexed="64"/>
          <bgColor theme="0"/>
        </patternFill>
      </fill>
      <alignment horizontal="general" vertical="center" textRotation="0" wrapText="0" indent="0" justifyLastLine="0" shrinkToFit="0" readingOrder="0"/>
      <border diagonalUp="0" diagonalDown="0" outline="0">
        <left style="thin">
          <color indexed="64"/>
        </left>
        <right style="thin">
          <color indexed="64"/>
        </right>
        <top/>
        <bottom style="thin">
          <color indexed="64"/>
        </bottom>
      </border>
    </dxf>
    <dxf>
      <numFmt numFmtId="183" formatCode="dd"/>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3" formatCode="#,##0"/>
      <fill>
        <patternFill patternType="solid">
          <fgColor indexed="64"/>
          <bgColor rgb="FFEDF1F9"/>
        </patternFill>
      </fill>
      <alignment horizontal="general"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3" formatCode="#,##0"/>
      <fill>
        <patternFill patternType="solid">
          <fgColor indexed="64"/>
          <bgColor theme="0"/>
        </patternFill>
      </fill>
      <alignment horizontal="general"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0" formatCode="General"/>
      <fill>
        <patternFill patternType="solid">
          <fgColor indexed="64"/>
          <bgColor theme="0"/>
        </patternFill>
      </fill>
      <alignment horizontal="general" vertical="center" textRotation="0" wrapText="0" indent="0" justifyLastLine="0" shrinkToFit="0" readingOrder="0"/>
      <border diagonalUp="0" diagonalDown="0" outline="0">
        <left style="thin">
          <color indexed="64"/>
        </left>
        <right style="thin">
          <color indexed="64"/>
        </right>
        <top/>
        <bottom style="thin">
          <color indexed="64"/>
        </bottom>
      </border>
    </dxf>
    <dxf>
      <numFmt numFmtId="183" formatCode="dd"/>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3" formatCode="#,##0"/>
      <fill>
        <patternFill patternType="solid">
          <fgColor indexed="64"/>
          <bgColor rgb="FFEDF1F9"/>
        </patternFill>
      </fill>
      <alignment horizontal="general"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3" formatCode="#,##0"/>
      <fill>
        <patternFill patternType="solid">
          <fgColor indexed="64"/>
          <bgColor theme="0"/>
        </patternFill>
      </fill>
      <alignment horizontal="general"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0" formatCode="General"/>
      <fill>
        <patternFill patternType="solid">
          <fgColor indexed="64"/>
          <bgColor theme="0"/>
        </patternFill>
      </fill>
      <alignment horizontal="general" vertical="center" textRotation="0" wrapText="0" indent="0" justifyLastLine="0" shrinkToFit="0" readingOrder="0"/>
      <border diagonalUp="0" diagonalDown="0" outline="0">
        <left style="thin">
          <color indexed="64"/>
        </left>
        <right style="thin">
          <color indexed="64"/>
        </right>
        <top/>
        <bottom style="thin">
          <color indexed="64"/>
        </bottom>
      </border>
    </dxf>
    <dxf>
      <numFmt numFmtId="183" formatCode="dd"/>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3" formatCode="#,##0"/>
      <fill>
        <patternFill patternType="solid">
          <fgColor indexed="64"/>
          <bgColor rgb="FFEDF1F9"/>
        </patternFill>
      </fill>
      <alignment horizontal="general"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3" formatCode="#,##0"/>
      <fill>
        <patternFill patternType="solid">
          <fgColor indexed="64"/>
          <bgColor theme="0"/>
        </patternFill>
      </fill>
      <alignment horizontal="general"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0" formatCode="General"/>
      <fill>
        <patternFill patternType="solid">
          <fgColor indexed="64"/>
          <bgColor theme="0"/>
        </patternFill>
      </fill>
      <alignment horizontal="general" vertical="center" textRotation="0" wrapText="0" indent="0" justifyLastLine="0" shrinkToFit="0" readingOrder="0"/>
      <border diagonalUp="0" diagonalDown="0" outline="0">
        <left style="thin">
          <color indexed="64"/>
        </left>
        <right style="thin">
          <color indexed="64"/>
        </right>
        <top/>
        <bottom style="thin">
          <color indexed="64"/>
        </bottom>
      </border>
    </dxf>
    <dxf>
      <numFmt numFmtId="183" formatCode="dd"/>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3" formatCode="#,##0"/>
      <fill>
        <patternFill patternType="solid">
          <fgColor indexed="64"/>
          <bgColor rgb="FFEDF1F9"/>
        </patternFill>
      </fill>
      <alignment horizontal="general" vertical="center"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3" formatCode="#,##0"/>
      <fill>
        <patternFill patternType="solid">
          <fgColor indexed="64"/>
          <bgColor theme="0"/>
        </patternFill>
      </fill>
      <alignment horizontal="general"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0" formatCode="General"/>
      <fill>
        <patternFill patternType="solid">
          <fgColor indexed="64"/>
          <bgColor theme="0"/>
        </patternFill>
      </fill>
      <alignment horizontal="general" vertical="center" textRotation="0" wrapText="0" indent="0" justifyLastLine="0" shrinkToFit="0" readingOrder="0"/>
      <border diagonalUp="0" diagonalDown="0" outline="0">
        <left style="thin">
          <color indexed="64"/>
        </left>
        <right style="thin">
          <color indexed="64"/>
        </right>
        <top/>
        <bottom style="thin">
          <color indexed="64"/>
        </bottom>
      </border>
    </dxf>
    <dxf>
      <numFmt numFmtId="183" formatCode="dd"/>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color theme="1"/>
        <name val="Calibri"/>
        <family val="2"/>
        <scheme val="minor"/>
      </font>
      <numFmt numFmtId="3" formatCode="#,##0"/>
      <fill>
        <patternFill patternType="solid">
          <fgColor indexed="64"/>
          <bgColor rgb="FFEDF1F9"/>
        </patternFill>
      </fill>
      <alignment horizontal="general" vertical="center" textRotation="0" wrapText="0" indent="0" justifyLastLine="0" shrinkToFit="0" readingOrder="0"/>
      <border diagonalUp="0" diagonalDown="0">
        <left style="thin">
          <color indexed="64"/>
        </left>
        <right style="thin">
          <color indexed="64"/>
        </right>
        <top/>
        <bottom style="thin">
          <color indexed="64"/>
        </bottom>
        <vertical/>
        <horizontal/>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color theme="1"/>
        <name val="Calibri"/>
        <family val="2"/>
        <scheme val="minor"/>
      </font>
      <numFmt numFmtId="3" formatCode="#,##0"/>
      <fill>
        <patternFill patternType="solid">
          <fgColor indexed="64"/>
          <bgColor rgb="FFEDF1F9"/>
        </patternFill>
      </fill>
      <alignment horizontal="general" vertical="center" textRotation="0" wrapText="0" indent="0" justifyLastLine="0" shrinkToFit="0" readingOrder="0"/>
      <border diagonalUp="0" diagonalDown="0">
        <left style="thin">
          <color indexed="64"/>
        </left>
        <right style="thin">
          <color indexed="64"/>
        </right>
        <top/>
        <bottom style="thin">
          <color indexed="64"/>
        </bottom>
        <vertical/>
        <horizontal/>
      </border>
    </dxf>
    <dxf>
      <fill>
        <patternFill patternType="solid">
          <fgColor indexed="64"/>
          <bgColor theme="0"/>
        </patternFill>
      </fill>
      <border diagonalUp="0" diagonalDown="0" outline="0">
        <left style="thin">
          <color indexed="64"/>
        </left>
        <right style="thin">
          <color indexed="64"/>
        </right>
        <top/>
        <bottom style="thin">
          <color indexed="64"/>
        </bottom>
      </border>
    </dxf>
    <dxf>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b val="0"/>
        <i val="0"/>
        <strike val="0"/>
        <condense val="0"/>
        <extend val="0"/>
        <outline val="0"/>
        <shadow val="0"/>
        <u val="none"/>
        <vertAlign val="baseline"/>
        <sz val="10"/>
        <color theme="1"/>
        <name val="Calibri"/>
        <family val="2"/>
        <scheme val="minor"/>
      </font>
      <numFmt numFmtId="171" formatCode="0;;;@"/>
      <fill>
        <patternFill patternType="solid">
          <fgColor indexed="64"/>
          <bgColor rgb="FFEDF1F9"/>
        </patternFill>
      </fill>
      <alignment horizontal="general" vertical="center" textRotation="0" wrapText="0" indent="0" justifyLastLine="0" shrinkToFit="0" readingOrder="0"/>
      <border diagonalUp="0" diagonalDown="0">
        <left style="thin">
          <color indexed="64"/>
        </left>
        <right style="thin">
          <color indexed="64"/>
        </right>
        <top/>
        <bottom style="thin">
          <color indexed="64"/>
        </bottom>
        <vertical/>
        <horizontal/>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color theme="1"/>
        <name val="Calibri"/>
        <family val="2"/>
        <scheme val="minor"/>
      </font>
      <numFmt numFmtId="171" formatCode="0;;;@"/>
      <fill>
        <patternFill patternType="solid">
          <fgColor indexed="64"/>
          <bgColor rgb="FFEDF1F9"/>
        </patternFill>
      </fill>
      <alignment horizontal="general" vertical="center" textRotation="0" wrapText="0" indent="0" justifyLastLine="0" shrinkToFit="0" readingOrder="0"/>
      <border diagonalUp="0" diagonalDown="0">
        <left style="thin">
          <color indexed="64"/>
        </left>
        <right style="thin">
          <color indexed="64"/>
        </right>
        <top/>
        <bottom style="thin">
          <color indexed="64"/>
        </bottom>
        <vertical/>
        <horizontal/>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171"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name val="Calibri"/>
        <family val="2"/>
        <scheme val="minor"/>
      </font>
      <alignment horizontal="general" vertical="center" textRotation="0" wrapText="0" indent="0" justifyLastLine="0" shrinkToFit="0" readingOrder="0"/>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0" formatCode="General"/>
      <fill>
        <patternFill patternType="solid">
          <fgColor indexed="64"/>
          <bgColor rgb="FFEDF1F9"/>
        </patternFill>
      </fill>
      <alignment horizontal="general" vertical="center" textRotation="0" wrapText="0" indent="0" justifyLastLine="0" shrinkToFit="0" readingOrder="0"/>
      <border diagonalUp="0" diagonalDown="0">
        <left style="thin">
          <color indexed="64"/>
        </left>
        <right style="thin">
          <color indexed="64"/>
        </right>
        <top/>
        <bottom style="thin">
          <color indexed="64"/>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name val="Calibri"/>
        <family val="2"/>
        <scheme val="minor"/>
      </font>
      <numFmt numFmtId="0" formatCode="General"/>
      <alignment vertical="center" textRotation="0" indent="0" justifyLastLine="0" shrinkToFit="0" readingOrder="0"/>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1" formatCode="0"/>
      <fill>
        <patternFill patternType="solid">
          <fgColor indexed="64"/>
          <bgColor rgb="FFEDF1F9"/>
        </patternFill>
      </fill>
      <alignment horizontal="general"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name val="Calibri"/>
        <family val="2"/>
        <scheme val="minor"/>
      </font>
      <alignment vertical="center" textRotation="0" indent="0" justifyLastLine="0" shrinkToFit="0" readingOrder="0"/>
    </dxf>
    <dxf>
      <fill>
        <patternFill patternType="solid">
          <fgColor indexed="64"/>
          <bgColor theme="0"/>
        </patternFill>
      </fill>
      <border diagonalUp="0" diagonalDown="0" outline="0">
        <left style="thin">
          <color indexed="64"/>
        </left>
        <right style="thin">
          <color indexed="64"/>
        </right>
        <top/>
        <bottom style="thin">
          <color indexed="64"/>
        </bottom>
      </border>
    </dxf>
    <dxf>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b val="0"/>
        <i val="0"/>
        <strike val="0"/>
        <condense val="0"/>
        <extend val="0"/>
        <outline val="0"/>
        <shadow val="0"/>
        <u val="none"/>
        <vertAlign val="baseline"/>
        <sz val="10"/>
        <color theme="1"/>
        <name val="Calibri"/>
        <family val="2"/>
        <scheme val="minor"/>
      </font>
      <numFmt numFmtId="3" formatCode="#,##0"/>
      <fill>
        <patternFill patternType="solid">
          <fgColor indexed="64"/>
          <bgColor theme="0"/>
        </patternFill>
      </fill>
      <alignment horizontal="general" vertical="center"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19" formatCode="dd/mm/yyyy"/>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right/>
        <top style="medium">
          <color theme="1"/>
        </top>
        <bottom style="medium">
          <color theme="1"/>
        </bottom>
      </border>
    </dxf>
    <dxf>
      <font>
        <strike val="0"/>
        <outline val="0"/>
        <shadow val="0"/>
        <u val="none"/>
        <vertAlign val="baseline"/>
        <sz val="10"/>
        <color auto="1"/>
        <name val="Calibri"/>
        <family val="2"/>
        <scheme val="minor"/>
      </font>
      <numFmt numFmtId="3" formatCode="#,##0"/>
      <fill>
        <patternFill patternType="none">
          <fgColor indexed="64"/>
          <bgColor indexed="65"/>
        </patternFill>
      </fill>
      <alignment horizontal="general" vertical="center" textRotation="0" wrapText="0" indent="0" justifyLastLine="0" shrinkToFit="0" readingOrder="0"/>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b val="0"/>
        <i val="0"/>
        <strike val="0"/>
        <condense val="0"/>
        <extend val="0"/>
        <outline val="0"/>
        <shadow val="0"/>
        <u val="none"/>
        <vertAlign val="baseline"/>
        <sz val="10"/>
        <color theme="1"/>
        <name val="Calibri"/>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bottom style="thin">
          <color indexed="64"/>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3"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numFmt numFmtId="171" formatCode="0;;;@"/>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name val="Calibri"/>
        <family val="2"/>
        <scheme val="minor"/>
      </font>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fill>
        <patternFill patternType="solid">
          <fgColor indexed="64"/>
          <bgColor theme="4"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medium">
          <color theme="1"/>
        </top>
        <bottom style="medium">
          <color theme="1"/>
        </bottom>
      </border>
    </dxf>
    <dxf>
      <font>
        <strike val="0"/>
        <outline val="0"/>
        <shadow val="0"/>
        <u val="none"/>
        <vertAlign val="baseline"/>
        <sz val="10"/>
        <name val="Calibri"/>
        <family val="2"/>
        <scheme val="minor"/>
      </font>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0"/>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fill>
        <patternFill patternType="solid">
          <fgColor indexed="64"/>
          <bgColor theme="4" tint="0.59999389629810485"/>
        </patternFill>
      </fill>
      <alignment horizontal="general" vertical="center" textRotation="0" wrapText="0" indent="0" justifyLastLine="0" shrinkToFit="0" readingOrder="0"/>
      <border diagonalUp="0" diagonalDown="0" outline="0">
        <left style="medium">
          <color theme="1"/>
        </left>
        <right style="thin">
          <color indexed="64"/>
        </right>
        <top style="medium">
          <color theme="1"/>
        </top>
        <bottom style="medium">
          <color theme="1"/>
        </bottom>
      </border>
    </dxf>
    <dxf>
      <font>
        <strike val="0"/>
        <outline val="0"/>
        <shadow val="0"/>
        <u val="none"/>
        <vertAlign val="baseline"/>
        <name val="Calibri"/>
        <family val="2"/>
        <scheme val="minor"/>
      </font>
      <alignment vertical="center" textRotation="0" indent="0" justifyLastLine="0" shrinkToFit="0" readingOrder="0"/>
    </dxf>
    <dxf>
      <fill>
        <patternFill patternType="solid">
          <fgColor indexed="64"/>
          <bgColor theme="0"/>
        </patternFill>
      </fill>
      <border diagonalUp="0" diagonalDown="0" outline="0">
        <left/>
        <right style="thin">
          <color indexed="64"/>
        </right>
        <top/>
        <bottom style="thin">
          <color indexed="64"/>
        </bottom>
      </border>
    </dxf>
    <dxf>
      <border>
        <top style="thin">
          <color indexed="64"/>
        </top>
      </border>
    </dxf>
    <dxf>
      <font>
        <strike val="0"/>
        <outline val="0"/>
        <shadow val="0"/>
        <u val="none"/>
        <vertAlign val="baseline"/>
        <sz val="10"/>
        <name val="Calibri"/>
        <family val="2"/>
        <scheme val="minor"/>
      </font>
      <alignment vertical="center" textRotation="0" indent="0" justifyLastLine="0" shrinkToFit="0" readingOrder="0"/>
    </dxf>
    <dxf>
      <border diagonalUp="0" diagonalDown="0">
        <left style="medium">
          <color indexed="64"/>
        </left>
        <right style="medium">
          <color indexed="64"/>
        </right>
        <top style="medium">
          <color indexed="64"/>
        </top>
        <bottom style="medium">
          <color indexed="64"/>
        </bottom>
      </border>
    </dxf>
    <dxf>
      <font>
        <strike val="0"/>
        <outline val="0"/>
        <shadow val="0"/>
        <u val="none"/>
        <vertAlign val="baseline"/>
        <sz val="10"/>
        <name val="Calibri"/>
        <family val="2"/>
        <scheme val="minor"/>
      </font>
      <fill>
        <patternFill patternType="solid">
          <fgColor indexed="64"/>
          <bgColor theme="0"/>
        </patternFill>
      </fill>
      <alignment vertical="center" textRotation="0" indent="0" justifyLastLine="0" shrinkToFit="0" readingOrder="0"/>
    </dxf>
    <dxf>
      <border outline="0">
        <bottom style="thin">
          <color indexed="64"/>
        </bottom>
      </border>
    </dxf>
    <dxf>
      <font>
        <strike val="0"/>
        <outline val="0"/>
        <shadow val="0"/>
        <u val="none"/>
        <vertAlign val="baseline"/>
        <sz val="10"/>
        <name val="Calibri"/>
        <family val="2"/>
        <scheme val="minor"/>
      </font>
      <fill>
        <patternFill patternType="solid">
          <fgColor indexed="64"/>
          <bgColor theme="0"/>
        </patternFill>
      </fill>
      <alignment vertical="center" textRotation="0" indent="0" justifyLastLine="0" shrinkToFit="0" readingOrder="0"/>
      <border diagonalUp="0" diagonalDown="0" outline="0">
        <left style="thin">
          <color indexed="64"/>
        </left>
        <right style="thin">
          <color indexed="64"/>
        </right>
        <top/>
        <bottom/>
      </border>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rgb="FFFF0000"/>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b val="0"/>
        <i val="0"/>
        <color rgb="FFFF0000"/>
      </font>
    </dxf>
    <dxf>
      <font>
        <b val="0"/>
        <i val="0"/>
        <color rgb="FFFF0000"/>
      </font>
    </dxf>
    <dxf>
      <font>
        <b val="0"/>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twoCellAnchor>
    <xdr:from>
      <xdr:col>9</xdr:col>
      <xdr:colOff>161924</xdr:colOff>
      <xdr:row>3</xdr:row>
      <xdr:rowOff>28575</xdr:rowOff>
    </xdr:from>
    <xdr:to>
      <xdr:col>9</xdr:col>
      <xdr:colOff>847725</xdr:colOff>
      <xdr:row>3</xdr:row>
      <xdr:rowOff>238125</xdr:rowOff>
    </xdr:to>
    <xdr:sp macro="" textlink="">
      <xdr:nvSpPr>
        <xdr:cNvPr id="2" name="Rectangle 1">
          <a:extLst>
            <a:ext uri="{FF2B5EF4-FFF2-40B4-BE49-F238E27FC236}">
              <a16:creationId xmlns:a16="http://schemas.microsoft.com/office/drawing/2014/main" id="{3421F230-5C1B-4250-8F45-0CA10AE26F08}"/>
            </a:ext>
          </a:extLst>
        </xdr:cNvPr>
        <xdr:cNvSpPr/>
      </xdr:nvSpPr>
      <xdr:spPr bwMode="auto">
        <a:xfrm>
          <a:off x="7019924" y="733425"/>
          <a:ext cx="685801" cy="209550"/>
        </a:xfrm>
        <a:prstGeom prst="rect">
          <a:avLst/>
        </a:prstGeom>
        <a:solidFill>
          <a:schemeClr val="accent1">
            <a:lumMod val="50000"/>
          </a:schemeClr>
        </a:solidFill>
        <a:ln w="9525" cap="flat" cmpd="sng" algn="ctr">
          <a:noFill/>
          <a:prstDash val="solid"/>
          <a:round/>
          <a:headEnd type="none" w="med" len="med"/>
          <a:tailEnd type="none" w="med" len="med"/>
        </a:ln>
        <a:effectLst/>
      </xdr:spPr>
      <xdr:txBody>
        <a:bodyPr vertOverflow="clip" wrap="square" lIns="18288" tIns="0" rIns="0" bIns="0" rtlCol="0" anchor="ctr" upright="1"/>
        <a:lstStyle/>
        <a:p>
          <a:pPr algn="l"/>
          <a:r>
            <a:rPr lang="en-IN" sz="1100" b="1">
              <a:solidFill>
                <a:schemeClr val="bg1"/>
              </a:solidFill>
            </a:rPr>
            <a:t>Latest Year</a:t>
          </a:r>
        </a:p>
      </xdr:txBody>
    </xdr:sp>
    <xdr:clientData/>
  </xdr:twoCellAnchor>
  <xdr:twoCellAnchor>
    <xdr:from>
      <xdr:col>9</xdr:col>
      <xdr:colOff>866774</xdr:colOff>
      <xdr:row>3</xdr:row>
      <xdr:rowOff>133355</xdr:rowOff>
    </xdr:from>
    <xdr:to>
      <xdr:col>9</xdr:col>
      <xdr:colOff>971548</xdr:colOff>
      <xdr:row>4</xdr:row>
      <xdr:rowOff>38103</xdr:rowOff>
    </xdr:to>
    <xdr:sp macro="" textlink="">
      <xdr:nvSpPr>
        <xdr:cNvPr id="3" name="Arrow: Bent 2">
          <a:extLst>
            <a:ext uri="{FF2B5EF4-FFF2-40B4-BE49-F238E27FC236}">
              <a16:creationId xmlns:a16="http://schemas.microsoft.com/office/drawing/2014/main" id="{73C8836E-AB17-4BC1-89CC-7148623F3644}"/>
            </a:ext>
          </a:extLst>
        </xdr:cNvPr>
        <xdr:cNvSpPr/>
      </xdr:nvSpPr>
      <xdr:spPr bwMode="auto">
        <a:xfrm rot="5400000">
          <a:off x="7696199" y="866780"/>
          <a:ext cx="161923" cy="104774"/>
        </a:xfrm>
        <a:prstGeom prst="bentArrow">
          <a:avLst/>
        </a:prstGeom>
        <a:solidFill>
          <a:srgbClr val="FF0000"/>
        </a:solidFill>
        <a:ln w="9525" cap="flat" cmpd="sng" algn="ctr">
          <a:noFill/>
          <a:prstDash val="solid"/>
          <a:round/>
          <a:headEnd type="none" w="med" len="med"/>
          <a:tailEnd type="none" w="med" len="med"/>
        </a:ln>
        <a:effectLst/>
      </xdr:spPr>
      <xdr:txBody>
        <a:bodyPr vertOverflow="clip" wrap="square" lIns="18288" tIns="0" rIns="0" bIns="0" rtlCol="0" anchor="ctr" upright="1"/>
        <a:lstStyle/>
        <a:p>
          <a:pPr algn="l"/>
          <a:endParaRPr lang="en-IN"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ACF0DE0-BA28-41F5-BC99-835B4ECCACDF}" name="LoanTrack" displayName="LoanTrack" ref="B26:BC30" headerRowCount="0" totalsRowCount="1" headerRowDxfId="334" dataDxfId="332" totalsRowDxfId="330" headerRowBorderDxfId="333" tableBorderDxfId="331" totalsRowBorderDxfId="329">
  <tableColumns count="54">
    <tableColumn id="1" xr3:uid="{48E0E2ED-74FC-4D9A-BF29-58B7A07F355A}" name="Column1" totalsRowLabel="Total" headerRowDxfId="328" dataDxfId="327" totalsRowDxfId="326"/>
    <tableColumn id="2" xr3:uid="{FBEFED00-8036-4E03-850B-A984446A1EC5}" name="Column2" headerRowDxfId="325" dataDxfId="324" totalsRowDxfId="323"/>
    <tableColumn id="3" xr3:uid="{BF89AC12-3361-45E3-95EC-7880E556A314}" name="Column3" totalsRowFunction="count" headerRowDxfId="322" dataDxfId="321" totalsRowDxfId="320"/>
    <tableColumn id="4" xr3:uid="{AAE8B5E3-90D7-4C09-982D-7AF9114047F4}" name="Column4" totalsRowFunction="sum" headerRowDxfId="319" dataDxfId="318" totalsRowDxfId="317"/>
    <tableColumn id="53" xr3:uid="{9974F527-14E8-4B82-B332-70F9E630D29B}" name="Column52" totalsRowFunction="sum" headerRowDxfId="316" dataDxfId="315" totalsRowDxfId="314"/>
    <tableColumn id="5" xr3:uid="{CE46A451-C7D9-434E-9085-FE530F0E090B}" name="Column5" totalsRowFunction="sum" headerRowDxfId="313" dataDxfId="312" totalsRowDxfId="311"/>
    <tableColumn id="6" xr3:uid="{98C93E3B-EB88-420F-80AA-F9C6195CA35D}" name="Column6" headerRowDxfId="310" dataDxfId="309" totalsRowDxfId="308"/>
    <tableColumn id="54" xr3:uid="{5574F2AD-115A-41B2-B4D6-7279989AB15B}" name="Column54" totalsRowFunction="sum" headerRowDxfId="307" dataDxfId="306" totalsRowDxfId="305" dataCellStyle="Normal 3 2"/>
    <tableColumn id="7" xr3:uid="{557C4362-74DA-491E-B240-12F3C0044834}" name="Column7" headerRowDxfId="304" dataDxfId="303" totalsRowDxfId="302"/>
    <tableColumn id="8" xr3:uid="{E44999D5-3AF3-4130-97C0-D0A7F048E63B}" name="Column8" headerRowDxfId="301" dataDxfId="300" totalsRowDxfId="299">
      <calculatedColumnFormula>IFERROR(IF(J26&lt;(TODAY()-H26)/30,"",J26-((TODAY()-H26)/30)+1),"")</calculatedColumnFormula>
    </tableColumn>
    <tableColumn id="9" xr3:uid="{BE415615-502D-4FCC-9444-6452ABFA53FB}" name="Column9" totalsRowFunction="custom" headerRowDxfId="298" dataDxfId="297" totalsRowDxfId="296">
      <totalsRowFormula>COUNTIF(L26:L29,"Yes")</totalsRowFormula>
    </tableColumn>
    <tableColumn id="10" xr3:uid="{92A8DB67-EE56-48E7-A62A-FF8A19F1E527}" name="Column10" totalsRowFunction="sum" headerRowDxfId="295" dataDxfId="294" totalsRowDxfId="293">
      <calculatedColumnFormula>IF(OR(L26="Yes",AND(K26&gt;1,K26&lt;&gt;"")),G26,"")</calculatedColumnFormula>
    </tableColumn>
    <tableColumn id="11" xr3:uid="{250061CA-425C-48C3-8997-9AC2518FA65A}" name="Column11" totalsRowFunction="custom" headerRowDxfId="292" dataDxfId="291" totalsRowDxfId="290">
      <totalsRowFormula>SUMPRODUCT((N26:N29&lt;&gt;"")/COUNTIF(N26:N29,N26:N29&amp;""))</totalsRowFormula>
    </tableColumn>
    <tableColumn id="52" xr3:uid="{C6EDB22D-715B-4F8B-B085-D0575249C162}" name="Column51" totalsRowFunction="sum" headerRowDxfId="289" dataDxfId="288" totalsRowDxfId="287" dataCellStyle="Normal 3 2">
      <calculatedColumnFormula>IF($G26&lt;&gt;"",COUNT($S26,$V26,$Y26,$AB26,$AE26,$AH26,$AK26,$AN26,$AQ26,$AT26,$AW26,$AZ26),"")</calculatedColumnFormula>
    </tableColumn>
    <tableColumn id="55" xr3:uid="{977D0E6F-09A4-43C9-88A4-3FA29721FA77}" name="Column53" totalsRowFunction="sum" headerRowDxfId="286" dataDxfId="285" totalsRowDxfId="284" dataCellStyle="Normal 3 2"/>
    <tableColumn id="51" xr3:uid="{0CBBDC7B-AFFC-47A0-B62A-3DF7B5F638AD}" name="Column50" totalsRowFunction="sum" headerRowDxfId="283" dataDxfId="282" totalsRowDxfId="281" dataCellStyle="Normal 3 2">
      <calculatedColumnFormula>IF($G26&lt;&gt;"",SUM($T26,$W26,$Z26,$AC26,$AF26,$AI26,$AL26,$AO26,$AR26,$AU26,$AX26,$BA26),"")</calculatedColumnFormula>
    </tableColumn>
    <tableColumn id="50" xr3:uid="{2F9D4A20-8D3C-4EB1-A876-BB87D0E210E9}" name="Column49" totalsRowFunction="custom" headerRowDxfId="280" dataDxfId="279" totalsRowDxfId="278" dataCellStyle="Normal 3 2">
      <calculatedColumnFormula>IF($G26&lt;&gt;"",IFERROR(AVERAGE($U26,$X26,$AA26,$AD26,$AG26,$AJ26,$AM26,$AP26,$AS26,$AV26,$AY26,$BB26),""),"")</calculatedColumnFormula>
      <totalsRowFormula>IFERROR(SUBTOTAL(101,R26:R29),"")</totalsRowFormula>
    </tableColumn>
    <tableColumn id="12" xr3:uid="{572816A5-A310-413E-AE4C-891CB1372905}" name="Column12" totalsRowFunction="count" headerRowDxfId="277" dataDxfId="276" totalsRowDxfId="275"/>
    <tableColumn id="13" xr3:uid="{B25B9622-4C6D-42D2-ADF2-EA080C57767C}" name="Column13" totalsRowFunction="sum" headerRowDxfId="274" dataDxfId="273" totalsRowDxfId="272"/>
    <tableColumn id="14" xr3:uid="{693D1A09-6D22-45CF-9587-1C769329A45B}" name="Column14" totalsRowFunction="custom" headerRowDxfId="271" dataDxfId="270" totalsRowDxfId="269">
      <totalsRowFormula>IFERROR(SUBTOTAL(101,U26:U29),"")</totalsRowFormula>
    </tableColumn>
    <tableColumn id="15" xr3:uid="{1F5DE9BE-9344-41E0-AA56-53CB4548ECD7}" name="Column15" totalsRowFunction="count" headerRowDxfId="268" dataDxfId="267" totalsRowDxfId="266"/>
    <tableColumn id="16" xr3:uid="{3D3B7900-E68C-4B51-984D-834731428053}" name="Column16" totalsRowFunction="sum" headerRowDxfId="265" dataDxfId="264" totalsRowDxfId="263"/>
    <tableColumn id="17" xr3:uid="{B00B487D-4DB7-4D78-BB54-594F825412B2}" name="Column17" totalsRowFunction="custom" headerRowDxfId="262" dataDxfId="261" totalsRowDxfId="260">
      <totalsRowFormula>IFERROR(SUBTOTAL(101,X26:X29),"")</totalsRowFormula>
    </tableColumn>
    <tableColumn id="18" xr3:uid="{0ACB9F48-AE12-4CFF-8646-C231FA93112A}" name="Column18" totalsRowFunction="count" headerRowDxfId="259" dataDxfId="258" totalsRowDxfId="257"/>
    <tableColumn id="19" xr3:uid="{6027973B-3D5E-46E8-8BCA-7B4CCD9E1C12}" name="Column19" totalsRowFunction="sum" headerRowDxfId="256" dataDxfId="255" totalsRowDxfId="254"/>
    <tableColumn id="20" xr3:uid="{9BAD73CC-6274-4817-8866-18D2F45DBDF1}" name="Column20" totalsRowFunction="custom" headerRowDxfId="253" dataDxfId="252" totalsRowDxfId="251">
      <totalsRowFormula>IFERROR(SUBTOTAL(101,AA26:AA29),"")</totalsRowFormula>
    </tableColumn>
    <tableColumn id="21" xr3:uid="{183A8A8B-9505-4363-A210-89A821F3C6AE}" name="Column21" totalsRowFunction="count" headerRowDxfId="250" dataDxfId="249" totalsRowDxfId="248"/>
    <tableColumn id="22" xr3:uid="{0C1F841D-A61E-44E6-A66D-E714D4FD4FAE}" name="Column22" totalsRowFunction="sum" headerRowDxfId="247" dataDxfId="246" totalsRowDxfId="245"/>
    <tableColumn id="23" xr3:uid="{6289C812-9054-4797-AA9F-369383BF6FAF}" name="Column23" totalsRowFunction="custom" headerRowDxfId="244" dataDxfId="243" totalsRowDxfId="242">
      <totalsRowFormula>IFERROR(SUBTOTAL(101,AD26:AD29),"")</totalsRowFormula>
    </tableColumn>
    <tableColumn id="24" xr3:uid="{37A33044-A172-4AEA-AB10-900F604EE770}" name="Column24" totalsRowFunction="count" headerRowDxfId="241" dataDxfId="240" totalsRowDxfId="239"/>
    <tableColumn id="25" xr3:uid="{A0C8E904-24D5-4E3A-A856-5106B05931E1}" name="Column25" totalsRowFunction="sum" headerRowDxfId="238" dataDxfId="237" totalsRowDxfId="236"/>
    <tableColumn id="26" xr3:uid="{459C079E-D5E0-4940-A5A9-97C796E8360E}" name="Column26" totalsRowFunction="custom" headerRowDxfId="235" dataDxfId="234" totalsRowDxfId="233">
      <totalsRowFormula>IFERROR(SUBTOTAL(101,AG26:AG29),"")</totalsRowFormula>
    </tableColumn>
    <tableColumn id="27" xr3:uid="{92D693AF-5102-4039-816E-61A54147DB5A}" name="Column27" totalsRowFunction="count" headerRowDxfId="232" dataDxfId="231" totalsRowDxfId="230"/>
    <tableColumn id="28" xr3:uid="{E0AC7D85-497C-4EAC-9D59-DE67472B2FD0}" name="Column28" totalsRowFunction="sum" headerRowDxfId="229" dataDxfId="228" totalsRowDxfId="227"/>
    <tableColumn id="29" xr3:uid="{F0295C5B-5CE6-4057-A332-C92FA99D4CED}" name="Column29" totalsRowFunction="custom" headerRowDxfId="226" dataDxfId="225" totalsRowDxfId="224">
      <totalsRowFormula>IFERROR(SUBTOTAL(101,AJ26:AJ29),"")</totalsRowFormula>
    </tableColumn>
    <tableColumn id="30" xr3:uid="{0FBEED0D-734D-43A9-8848-10D99AEDD225}" name="Column30" totalsRowFunction="count" headerRowDxfId="223" dataDxfId="222" totalsRowDxfId="221"/>
    <tableColumn id="31" xr3:uid="{CD47CCC3-39DB-44E5-BB75-AB8EF6C5810B}" name="Column31" totalsRowFunction="sum" headerRowDxfId="220" dataDxfId="219" totalsRowDxfId="218"/>
    <tableColumn id="32" xr3:uid="{37648DE8-054D-4136-8865-F365B1C42A8E}" name="Column32" totalsRowFunction="custom" headerRowDxfId="217" dataDxfId="216" totalsRowDxfId="215">
      <totalsRowFormula>IFERROR(SUBTOTAL(101,AM26:AM29),"")</totalsRowFormula>
    </tableColumn>
    <tableColumn id="33" xr3:uid="{F03C2917-C4FE-41F5-A469-B5C46687B746}" name="Column33" totalsRowFunction="count" headerRowDxfId="214" dataDxfId="213" totalsRowDxfId="212"/>
    <tableColumn id="34" xr3:uid="{D72A44CC-8071-4D3E-A9B9-BDBF3CE87EBE}" name="Column34" totalsRowFunction="sum" headerRowDxfId="211" dataDxfId="210" totalsRowDxfId="209"/>
    <tableColumn id="35" xr3:uid="{4CCAECE9-BEC3-49E4-880A-98852D635A4F}" name="Column35" totalsRowFunction="custom" headerRowDxfId="208" dataDxfId="207" totalsRowDxfId="206">
      <totalsRowFormula>IFERROR(SUBTOTAL(101,AP26:AP29),"")</totalsRowFormula>
    </tableColumn>
    <tableColumn id="36" xr3:uid="{CC071CC0-D16B-4525-BAEC-7CEC90823C0E}" name="Column36" totalsRowFunction="count" headerRowDxfId="205" dataDxfId="204" totalsRowDxfId="203"/>
    <tableColumn id="37" xr3:uid="{FAD90876-D5F8-4AA9-ADAB-7397ED7610BD}" name="Column37" totalsRowFunction="sum" headerRowDxfId="202" dataDxfId="201" totalsRowDxfId="200"/>
    <tableColumn id="38" xr3:uid="{25969F41-4E82-4178-9D58-24FC48B18FA0}" name="Column38" totalsRowFunction="custom" headerRowDxfId="199" dataDxfId="198" totalsRowDxfId="197">
      <totalsRowFormula>IFERROR(SUBTOTAL(101,AS26:AS29),"")</totalsRowFormula>
    </tableColumn>
    <tableColumn id="39" xr3:uid="{69B135BD-947C-4DE4-AF29-A8ADBD3FB39D}" name="Column39" totalsRowFunction="count" headerRowDxfId="196" dataDxfId="195" totalsRowDxfId="194"/>
    <tableColumn id="40" xr3:uid="{032525C7-1E49-490D-B905-974F247F4C79}" name="Column40" totalsRowFunction="sum" headerRowDxfId="193" dataDxfId="192" totalsRowDxfId="191"/>
    <tableColumn id="41" xr3:uid="{FBAF618D-8A87-4F55-9378-A9065A4DCB14}" name="Column41" totalsRowFunction="custom" headerRowDxfId="190" dataDxfId="189" totalsRowDxfId="188">
      <totalsRowFormula>IFERROR(SUBTOTAL(101,AV26:AV29),"")</totalsRowFormula>
    </tableColumn>
    <tableColumn id="42" xr3:uid="{84BFD498-FB46-4434-BAA9-ABF9F789409A}" name="Column42" totalsRowFunction="count" headerRowDxfId="187" dataDxfId="186" totalsRowDxfId="185"/>
    <tableColumn id="43" xr3:uid="{FD0FFA3D-675E-48BE-ACBA-60C4E58D501D}" name="Column43" totalsRowFunction="sum" headerRowDxfId="184" dataDxfId="183" totalsRowDxfId="182"/>
    <tableColumn id="44" xr3:uid="{6887A84B-C2FC-427F-AF06-5C67094FDAAF}" name="Column44" totalsRowFunction="custom" headerRowDxfId="181" dataDxfId="180" totalsRowDxfId="179">
      <totalsRowFormula>IFERROR(SUBTOTAL(101,AY26:AY29),"")</totalsRowFormula>
    </tableColumn>
    <tableColumn id="45" xr3:uid="{7F0BA7AD-0CF6-429B-ADB1-AFC42F7A7016}" name="Column45" totalsRowFunction="count" headerRowDxfId="178" dataDxfId="177" totalsRowDxfId="176"/>
    <tableColumn id="46" xr3:uid="{628586A8-30A0-4E2F-9FED-E2ECDCC2C212}" name="Column46" totalsRowFunction="sum" headerRowDxfId="175" dataDxfId="174" totalsRowDxfId="173"/>
    <tableColumn id="47" xr3:uid="{43D45EBA-C393-415E-8FD7-5836EDADE402}" name="Column47" totalsRowFunction="custom" headerRowDxfId="172" dataDxfId="171" totalsRowDxfId="170">
      <totalsRowFormula>IFERROR(SUBTOTAL(101,BB26:BB29),"")</totalsRowFormula>
    </tableColumn>
    <tableColumn id="48" xr3:uid="{DE704D3E-2701-41FD-8B4F-6719110F71F1}" name="Column48" totalsRowFunction="count" headerRowDxfId="169" dataDxfId="168" totalsRowDxfId="167"/>
  </tableColumns>
  <tableStyleInfo name="TableStyleLight8" showFirstColumn="0" showLastColumn="0" showRowStripes="1" showColumn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B7EE94-BF41-4D6D-A07E-D97069AEAD6A}">
  <sheetPr codeName="Sheet18">
    <tabColor theme="3" tint="-0.499984740745262"/>
  </sheetPr>
  <dimension ref="A1:J70"/>
  <sheetViews>
    <sheetView showRowColHeaders="0" tabSelected="1" workbookViewId="0">
      <selection activeCell="D13" sqref="D13:I13"/>
    </sheetView>
  </sheetViews>
  <sheetFormatPr defaultRowHeight="14.25" outlineLevelRow="2"/>
  <cols>
    <col min="1" max="1" width="2.625" style="314" customWidth="1"/>
    <col min="2" max="2" width="3.375" style="314" customWidth="1"/>
    <col min="3" max="3" width="22.625" style="314" customWidth="1"/>
    <col min="4" max="9" width="11.625" style="314" customWidth="1"/>
    <col min="10" max="10" width="45.625" style="314" customWidth="1"/>
    <col min="11" max="11" width="10.625" style="314" customWidth="1"/>
    <col min="12" max="13" width="8" style="314" customWidth="1"/>
    <col min="14" max="16384" width="9" style="314"/>
  </cols>
  <sheetData>
    <row r="1" spans="1:10" ht="15" thickBot="1">
      <c r="B1" s="315"/>
      <c r="C1" s="315"/>
      <c r="D1" s="315"/>
      <c r="E1" s="315"/>
      <c r="F1" s="315"/>
      <c r="G1" s="316"/>
      <c r="H1" s="316"/>
      <c r="I1" s="316"/>
    </row>
    <row r="2" spans="1:10" ht="21.75" customHeight="1" thickBot="1">
      <c r="A2" s="317"/>
      <c r="B2" s="807" t="s">
        <v>857</v>
      </c>
      <c r="C2" s="808"/>
      <c r="D2" s="808"/>
      <c r="E2" s="808"/>
      <c r="F2" s="808"/>
      <c r="G2" s="808"/>
      <c r="H2" s="808"/>
      <c r="I2" s="809"/>
      <c r="J2" s="318"/>
    </row>
    <row r="3" spans="1:10" ht="15.75" customHeight="1">
      <c r="A3" s="317"/>
      <c r="B3" s="810" t="s">
        <v>858</v>
      </c>
      <c r="C3" s="811"/>
      <c r="D3" s="812"/>
      <c r="E3" s="812"/>
      <c r="F3" s="818" t="s">
        <v>859</v>
      </c>
      <c r="G3" s="819"/>
      <c r="H3" s="812"/>
      <c r="I3" s="813"/>
      <c r="J3" s="318"/>
    </row>
    <row r="4" spans="1:10">
      <c r="A4" s="317"/>
      <c r="B4" s="814" t="s">
        <v>860</v>
      </c>
      <c r="C4" s="815"/>
      <c r="D4" s="816"/>
      <c r="E4" s="816"/>
      <c r="F4" s="816"/>
      <c r="G4" s="816"/>
      <c r="H4" s="816"/>
      <c r="I4" s="817"/>
      <c r="J4" s="318"/>
    </row>
    <row r="5" spans="1:10" outlineLevel="1">
      <c r="A5" s="317"/>
      <c r="B5" s="814" t="s">
        <v>861</v>
      </c>
      <c r="C5" s="815"/>
      <c r="D5" s="816"/>
      <c r="E5" s="816"/>
      <c r="F5" s="816"/>
      <c r="G5" s="816"/>
      <c r="H5" s="816"/>
      <c r="I5" s="817"/>
      <c r="J5" s="318"/>
    </row>
    <row r="6" spans="1:10" outlineLevel="1">
      <c r="A6" s="317"/>
      <c r="B6" s="814" t="s">
        <v>862</v>
      </c>
      <c r="C6" s="815"/>
      <c r="D6" s="816"/>
      <c r="E6" s="816"/>
      <c r="F6" s="816"/>
      <c r="G6" s="816"/>
      <c r="H6" s="816"/>
      <c r="I6" s="817"/>
      <c r="J6" s="318"/>
    </row>
    <row r="7" spans="1:10" outlineLevel="1">
      <c r="A7" s="317"/>
      <c r="B7" s="814" t="s">
        <v>863</v>
      </c>
      <c r="C7" s="815"/>
      <c r="D7" s="816"/>
      <c r="E7" s="816"/>
      <c r="F7" s="825" t="s">
        <v>864</v>
      </c>
      <c r="G7" s="826"/>
      <c r="H7" s="827"/>
      <c r="I7" s="828"/>
      <c r="J7" s="318"/>
    </row>
    <row r="8" spans="1:10" outlineLevel="1">
      <c r="A8" s="317"/>
      <c r="B8" s="814" t="s">
        <v>865</v>
      </c>
      <c r="C8" s="815"/>
      <c r="D8" s="820">
        <f>GST!E3</f>
        <v>0</v>
      </c>
      <c r="E8" s="820"/>
      <c r="F8" s="825" t="s">
        <v>866</v>
      </c>
      <c r="G8" s="826"/>
      <c r="H8" s="820">
        <f>GST!E8</f>
        <v>0</v>
      </c>
      <c r="I8" s="821"/>
      <c r="J8" s="318"/>
    </row>
    <row r="9" spans="1:10">
      <c r="A9" s="317"/>
      <c r="B9" s="814" t="s">
        <v>867</v>
      </c>
      <c r="C9" s="815"/>
      <c r="D9" s="822"/>
      <c r="E9" s="822"/>
      <c r="F9" s="825" t="s">
        <v>868</v>
      </c>
      <c r="G9" s="826"/>
      <c r="H9" s="823" t="str">
        <f ca="1">IF(D9&lt;&gt;"",DATEDIF(D9,TODAY(),"Y")&amp;" Years","")</f>
        <v/>
      </c>
      <c r="I9" s="824"/>
      <c r="J9" s="318"/>
    </row>
    <row r="10" spans="1:10" ht="14.25" customHeight="1">
      <c r="A10" s="317"/>
      <c r="B10" s="814" t="s">
        <v>869</v>
      </c>
      <c r="C10" s="815"/>
      <c r="D10" s="834"/>
      <c r="E10" s="834"/>
      <c r="F10" s="825" t="s">
        <v>870</v>
      </c>
      <c r="G10" s="826"/>
      <c r="H10" s="834"/>
      <c r="I10" s="835"/>
      <c r="J10" s="318"/>
    </row>
    <row r="11" spans="1:10" outlineLevel="1">
      <c r="A11" s="317"/>
      <c r="B11" s="814" t="s">
        <v>871</v>
      </c>
      <c r="C11" s="815"/>
      <c r="D11" s="836">
        <f>ROC!E3</f>
        <v>0</v>
      </c>
      <c r="E11" s="836"/>
      <c r="F11" s="825" t="s">
        <v>866</v>
      </c>
      <c r="G11" s="826"/>
      <c r="H11" s="836">
        <f>ROC!E22</f>
        <v>0</v>
      </c>
      <c r="I11" s="837"/>
      <c r="J11" s="318"/>
    </row>
    <row r="12" spans="1:10" outlineLevel="1">
      <c r="A12" s="317"/>
      <c r="B12" s="814" t="s">
        <v>872</v>
      </c>
      <c r="C12" s="815"/>
      <c r="D12" s="838">
        <f>ROC!E10</f>
        <v>0</v>
      </c>
      <c r="E12" s="838"/>
      <c r="F12" s="825" t="s">
        <v>873</v>
      </c>
      <c r="G12" s="826"/>
      <c r="H12" s="838">
        <f>ROC!E11</f>
        <v>0</v>
      </c>
      <c r="I12" s="839"/>
      <c r="J12" s="318"/>
    </row>
    <row r="13" spans="1:10" ht="31.5" customHeight="1">
      <c r="A13" s="317"/>
      <c r="B13" s="814" t="s">
        <v>874</v>
      </c>
      <c r="C13" s="815"/>
      <c r="D13" s="836"/>
      <c r="E13" s="836"/>
      <c r="F13" s="836"/>
      <c r="G13" s="836"/>
      <c r="H13" s="836"/>
      <c r="I13" s="837"/>
      <c r="J13" s="318"/>
    </row>
    <row r="14" spans="1:10" ht="15" thickBot="1">
      <c r="A14" s="317"/>
      <c r="B14" s="840" t="str">
        <f>"Total Revenue - "&amp;YEAR('Financial Statement1'!J5)</f>
        <v>Total Revenue - 1900</v>
      </c>
      <c r="C14" s="841"/>
      <c r="D14" s="842">
        <f>'Financial Statement1'!J22</f>
        <v>0</v>
      </c>
      <c r="E14" s="842"/>
      <c r="F14" s="832" t="str">
        <f>"Net Profit - "&amp;YEAR('Financial Statement1'!J5)</f>
        <v>Net Profit - 1900</v>
      </c>
      <c r="G14" s="833"/>
      <c r="H14" s="842">
        <f>'Financial Statement1'!J94</f>
        <v>0</v>
      </c>
      <c r="I14" s="843"/>
      <c r="J14" s="318"/>
    </row>
    <row r="15" spans="1:10" ht="21" customHeight="1" outlineLevel="1" thickBot="1">
      <c r="A15" s="317"/>
      <c r="B15" s="844" t="s">
        <v>982</v>
      </c>
      <c r="C15" s="845"/>
      <c r="D15" s="845"/>
      <c r="E15" s="845"/>
      <c r="F15" s="845"/>
      <c r="G15" s="845"/>
      <c r="H15" s="845"/>
      <c r="I15" s="846"/>
      <c r="J15" s="318"/>
    </row>
    <row r="16" spans="1:10" ht="15" outlineLevel="1">
      <c r="A16" s="317"/>
      <c r="B16" s="829" t="s">
        <v>875</v>
      </c>
      <c r="C16" s="830"/>
      <c r="D16" s="830"/>
      <c r="E16" s="830"/>
      <c r="F16" s="830"/>
      <c r="G16" s="830"/>
      <c r="H16" s="830"/>
      <c r="I16" s="831"/>
      <c r="J16" s="318"/>
    </row>
    <row r="17" spans="1:10" ht="15" hidden="1" outlineLevel="2">
      <c r="A17" s="317"/>
      <c r="B17" s="867" t="s">
        <v>584</v>
      </c>
      <c r="C17" s="869" t="s">
        <v>876</v>
      </c>
      <c r="D17" s="871">
        <f>'Financial Statement1'!$J$5</f>
        <v>0</v>
      </c>
      <c r="E17" s="872"/>
      <c r="F17" s="871" t="str">
        <f>'Financial Statement1'!$I$5</f>
        <v>-</v>
      </c>
      <c r="G17" s="872"/>
      <c r="H17" s="871" t="str">
        <f>'Financial Statement1'!$H$5</f>
        <v>-</v>
      </c>
      <c r="I17" s="878"/>
      <c r="J17" s="318"/>
    </row>
    <row r="18" spans="1:10" hidden="1" outlineLevel="2">
      <c r="A18" s="317"/>
      <c r="B18" s="868"/>
      <c r="C18" s="870"/>
      <c r="D18" s="730" t="s">
        <v>877</v>
      </c>
      <c r="E18" s="730" t="s">
        <v>878</v>
      </c>
      <c r="F18" s="730" t="s">
        <v>877</v>
      </c>
      <c r="G18" s="730" t="s">
        <v>878</v>
      </c>
      <c r="H18" s="730" t="s">
        <v>877</v>
      </c>
      <c r="I18" s="731" t="s">
        <v>878</v>
      </c>
      <c r="J18" s="318"/>
    </row>
    <row r="19" spans="1:10" ht="18" hidden="1" customHeight="1" outlineLevel="2">
      <c r="A19" s="317"/>
      <c r="B19" s="319">
        <v>1</v>
      </c>
      <c r="C19" s="320"/>
      <c r="D19" s="734"/>
      <c r="E19" s="739" t="str">
        <f>IFERROR(D19/$D$25,"")</f>
        <v/>
      </c>
      <c r="F19" s="735"/>
      <c r="G19" s="739" t="str">
        <f>IFERROR(F19/$F$25,"")</f>
        <v/>
      </c>
      <c r="H19" s="734"/>
      <c r="I19" s="740" t="str">
        <f>IFERROR(H19/$H$25,"")</f>
        <v/>
      </c>
      <c r="J19" s="318"/>
    </row>
    <row r="20" spans="1:10" ht="14.25" hidden="1" customHeight="1" outlineLevel="2">
      <c r="A20" s="317"/>
      <c r="B20" s="319">
        <v>2</v>
      </c>
      <c r="C20" s="320"/>
      <c r="D20" s="734"/>
      <c r="E20" s="739" t="str">
        <f>IFERROR(D20/$D$25,"")</f>
        <v/>
      </c>
      <c r="F20" s="735"/>
      <c r="G20" s="739" t="str">
        <f t="shared" ref="G20:G24" si="0">IFERROR(F20/$F$25,"")</f>
        <v/>
      </c>
      <c r="H20" s="734"/>
      <c r="I20" s="740" t="str">
        <f t="shared" ref="I20:I24" si="1">IFERROR(H20/$H$25,"")</f>
        <v/>
      </c>
      <c r="J20" s="318"/>
    </row>
    <row r="21" spans="1:10" ht="14.25" hidden="1" customHeight="1" outlineLevel="2">
      <c r="A21" s="317"/>
      <c r="B21" s="319">
        <v>3</v>
      </c>
      <c r="C21" s="320"/>
      <c r="D21" s="734"/>
      <c r="E21" s="739" t="str">
        <f>IFERROR(D21/$D$25,"")</f>
        <v/>
      </c>
      <c r="F21" s="735"/>
      <c r="G21" s="739" t="str">
        <f t="shared" si="0"/>
        <v/>
      </c>
      <c r="H21" s="734"/>
      <c r="I21" s="740" t="str">
        <f t="shared" si="1"/>
        <v/>
      </c>
      <c r="J21" s="318"/>
    </row>
    <row r="22" spans="1:10" ht="14.25" hidden="1" customHeight="1" outlineLevel="2">
      <c r="A22" s="317"/>
      <c r="B22" s="319">
        <v>4</v>
      </c>
      <c r="C22" s="320"/>
      <c r="D22" s="734"/>
      <c r="E22" s="739" t="str">
        <f>IFERROR(D22/$D$25,"")</f>
        <v/>
      </c>
      <c r="F22" s="735"/>
      <c r="G22" s="739" t="str">
        <f t="shared" si="0"/>
        <v/>
      </c>
      <c r="H22" s="734"/>
      <c r="I22" s="740" t="str">
        <f t="shared" si="1"/>
        <v/>
      </c>
      <c r="J22" s="318"/>
    </row>
    <row r="23" spans="1:10" ht="14.25" hidden="1" customHeight="1" outlineLevel="2">
      <c r="A23" s="317"/>
      <c r="B23" s="319">
        <v>5</v>
      </c>
      <c r="C23" s="728"/>
      <c r="D23" s="734"/>
      <c r="E23" s="739" t="str">
        <f t="shared" ref="E23" si="2">IFERROR(D23/$D$25,"")</f>
        <v/>
      </c>
      <c r="F23" s="735"/>
      <c r="G23" s="739" t="str">
        <f t="shared" si="0"/>
        <v/>
      </c>
      <c r="H23" s="734"/>
      <c r="I23" s="740" t="str">
        <f t="shared" si="1"/>
        <v/>
      </c>
      <c r="J23" s="318"/>
    </row>
    <row r="24" spans="1:10" ht="14.25" hidden="1" customHeight="1" outlineLevel="2">
      <c r="A24" s="317"/>
      <c r="B24" s="319">
        <v>6</v>
      </c>
      <c r="C24" s="728" t="s">
        <v>279</v>
      </c>
      <c r="D24" s="736">
        <f>D25-SUM(D19:D23)</f>
        <v>0</v>
      </c>
      <c r="E24" s="739" t="str">
        <f>IFERROR(D24/$D$25,"")</f>
        <v/>
      </c>
      <c r="F24" s="736">
        <f>F25-SUM(F19:F23)</f>
        <v>0</v>
      </c>
      <c r="G24" s="739" t="str">
        <f t="shared" si="0"/>
        <v/>
      </c>
      <c r="H24" s="736">
        <f>H25-SUM(H19:H23)</f>
        <v>0</v>
      </c>
      <c r="I24" s="740" t="str">
        <f t="shared" si="1"/>
        <v/>
      </c>
      <c r="J24" s="318"/>
    </row>
    <row r="25" spans="1:10" ht="14.25" hidden="1" customHeight="1" outlineLevel="2">
      <c r="A25" s="317"/>
      <c r="B25" s="876" t="s">
        <v>191</v>
      </c>
      <c r="C25" s="877"/>
      <c r="D25" s="733"/>
      <c r="E25" s="321">
        <f>SUM(E19:E24)</f>
        <v>0</v>
      </c>
      <c r="F25" s="733"/>
      <c r="G25" s="321">
        <f>SUM(G19:G24)</f>
        <v>0</v>
      </c>
      <c r="H25" s="733"/>
      <c r="I25" s="732">
        <f>SUM(I19:I24)</f>
        <v>0</v>
      </c>
      <c r="J25" s="318"/>
    </row>
    <row r="26" spans="1:10" ht="15" outlineLevel="1" collapsed="1">
      <c r="A26" s="317"/>
      <c r="B26" s="873" t="s">
        <v>881</v>
      </c>
      <c r="C26" s="874"/>
      <c r="D26" s="874"/>
      <c r="E26" s="874"/>
      <c r="F26" s="874"/>
      <c r="G26" s="874"/>
      <c r="H26" s="874"/>
      <c r="I26" s="875"/>
      <c r="J26" s="318"/>
    </row>
    <row r="27" spans="1:10" ht="15" hidden="1" customHeight="1" outlineLevel="2">
      <c r="A27" s="317"/>
      <c r="B27" s="867" t="s">
        <v>584</v>
      </c>
      <c r="C27" s="869" t="s">
        <v>876</v>
      </c>
      <c r="D27" s="871">
        <f>'Financial Statement1'!$J$5</f>
        <v>0</v>
      </c>
      <c r="E27" s="872"/>
      <c r="F27" s="871" t="str">
        <f>'Financial Statement1'!$I$5</f>
        <v>-</v>
      </c>
      <c r="G27" s="872"/>
      <c r="H27" s="871" t="str">
        <f>'Financial Statement1'!$H$5</f>
        <v>-</v>
      </c>
      <c r="I27" s="878"/>
      <c r="J27" s="318"/>
    </row>
    <row r="28" spans="1:10" hidden="1" outlineLevel="2">
      <c r="A28" s="317"/>
      <c r="B28" s="868"/>
      <c r="C28" s="870"/>
      <c r="D28" s="730" t="s">
        <v>877</v>
      </c>
      <c r="E28" s="730" t="s">
        <v>878</v>
      </c>
      <c r="F28" s="730" t="s">
        <v>877</v>
      </c>
      <c r="G28" s="730" t="s">
        <v>878</v>
      </c>
      <c r="H28" s="730" t="s">
        <v>877</v>
      </c>
      <c r="I28" s="731" t="s">
        <v>878</v>
      </c>
      <c r="J28" s="318"/>
    </row>
    <row r="29" spans="1:10" ht="14.25" hidden="1" customHeight="1" outlineLevel="2">
      <c r="A29" s="317"/>
      <c r="B29" s="319">
        <v>1</v>
      </c>
      <c r="C29" s="728"/>
      <c r="D29" s="734"/>
      <c r="E29" s="739" t="str">
        <f>IFERROR(D29/$D$35,"")</f>
        <v/>
      </c>
      <c r="F29" s="735"/>
      <c r="G29" s="739" t="str">
        <f>IFERROR(F29/$F$35,"")</f>
        <v/>
      </c>
      <c r="H29" s="734"/>
      <c r="I29" s="740" t="str">
        <f>IFERROR(H29/$H$35,"")</f>
        <v/>
      </c>
      <c r="J29" s="318"/>
    </row>
    <row r="30" spans="1:10" ht="14.25" hidden="1" customHeight="1" outlineLevel="2">
      <c r="A30" s="317"/>
      <c r="B30" s="319">
        <v>2</v>
      </c>
      <c r="C30" s="728"/>
      <c r="D30" s="734"/>
      <c r="E30" s="739" t="str">
        <f t="shared" ref="E30:E34" si="3">IFERROR(D30/$D$35,"")</f>
        <v/>
      </c>
      <c r="F30" s="735"/>
      <c r="G30" s="739" t="str">
        <f t="shared" ref="G30:G34" si="4">IFERROR(F30/$F$35,"")</f>
        <v/>
      </c>
      <c r="H30" s="734"/>
      <c r="I30" s="740" t="str">
        <f t="shared" ref="I30:I34" si="5">IFERROR(H30/$H$35,"")</f>
        <v/>
      </c>
      <c r="J30" s="318"/>
    </row>
    <row r="31" spans="1:10" ht="14.25" hidden="1" customHeight="1" outlineLevel="2">
      <c r="A31" s="317"/>
      <c r="B31" s="319">
        <v>3</v>
      </c>
      <c r="C31" s="728"/>
      <c r="D31" s="734"/>
      <c r="E31" s="739" t="str">
        <f t="shared" si="3"/>
        <v/>
      </c>
      <c r="F31" s="735"/>
      <c r="G31" s="739" t="str">
        <f t="shared" si="4"/>
        <v/>
      </c>
      <c r="H31" s="734"/>
      <c r="I31" s="740" t="str">
        <f t="shared" si="5"/>
        <v/>
      </c>
      <c r="J31" s="318"/>
    </row>
    <row r="32" spans="1:10" ht="14.25" hidden="1" customHeight="1" outlineLevel="2">
      <c r="A32" s="317"/>
      <c r="B32" s="319">
        <v>4</v>
      </c>
      <c r="C32" s="728"/>
      <c r="D32" s="734"/>
      <c r="E32" s="739" t="str">
        <f t="shared" si="3"/>
        <v/>
      </c>
      <c r="F32" s="735"/>
      <c r="G32" s="739" t="str">
        <f t="shared" si="4"/>
        <v/>
      </c>
      <c r="H32" s="734"/>
      <c r="I32" s="740" t="str">
        <f t="shared" si="5"/>
        <v/>
      </c>
      <c r="J32" s="318"/>
    </row>
    <row r="33" spans="1:10" ht="14.25" hidden="1" customHeight="1" outlineLevel="2">
      <c r="A33" s="317"/>
      <c r="B33" s="319">
        <v>5</v>
      </c>
      <c r="C33" s="728"/>
      <c r="D33" s="734"/>
      <c r="E33" s="739" t="str">
        <f t="shared" si="3"/>
        <v/>
      </c>
      <c r="F33" s="735"/>
      <c r="G33" s="739" t="str">
        <f t="shared" si="4"/>
        <v/>
      </c>
      <c r="H33" s="734"/>
      <c r="I33" s="740" t="str">
        <f t="shared" si="5"/>
        <v/>
      </c>
      <c r="J33" s="318"/>
    </row>
    <row r="34" spans="1:10" ht="14.25" hidden="1" customHeight="1" outlineLevel="2">
      <c r="A34" s="317"/>
      <c r="B34" s="319">
        <v>6</v>
      </c>
      <c r="C34" s="728" t="s">
        <v>279</v>
      </c>
      <c r="D34" s="736">
        <f>D35-SUM(D29:D33)</f>
        <v>0</v>
      </c>
      <c r="E34" s="739" t="str">
        <f t="shared" si="3"/>
        <v/>
      </c>
      <c r="F34" s="736">
        <f>F35-SUM(F29:F33)</f>
        <v>0</v>
      </c>
      <c r="G34" s="739" t="str">
        <f t="shared" si="4"/>
        <v/>
      </c>
      <c r="H34" s="736">
        <f>H35-SUM(H29:H33)</f>
        <v>0</v>
      </c>
      <c r="I34" s="740" t="str">
        <f t="shared" si="5"/>
        <v/>
      </c>
      <c r="J34" s="318"/>
    </row>
    <row r="35" spans="1:10" ht="14.25" hidden="1" customHeight="1" outlineLevel="2">
      <c r="A35" s="317"/>
      <c r="B35" s="876" t="s">
        <v>191</v>
      </c>
      <c r="C35" s="877"/>
      <c r="D35" s="733"/>
      <c r="E35" s="321">
        <f>SUM(E29:E34)</f>
        <v>0</v>
      </c>
      <c r="F35" s="733"/>
      <c r="G35" s="321">
        <f>SUM(G29:G34)</f>
        <v>0</v>
      </c>
      <c r="H35" s="733"/>
      <c r="I35" s="732">
        <f>SUM(I29:I34)</f>
        <v>0</v>
      </c>
      <c r="J35" s="318"/>
    </row>
    <row r="36" spans="1:10" ht="15" outlineLevel="1" collapsed="1">
      <c r="A36" s="317"/>
      <c r="B36" s="873" t="s">
        <v>882</v>
      </c>
      <c r="C36" s="874"/>
      <c r="D36" s="874"/>
      <c r="E36" s="874"/>
      <c r="F36" s="874"/>
      <c r="G36" s="874"/>
      <c r="H36" s="874"/>
      <c r="I36" s="875"/>
      <c r="J36" s="318"/>
    </row>
    <row r="37" spans="1:10" ht="15" hidden="1" customHeight="1" outlineLevel="2">
      <c r="A37" s="317"/>
      <c r="B37" s="867" t="s">
        <v>584</v>
      </c>
      <c r="C37" s="869" t="s">
        <v>876</v>
      </c>
      <c r="D37" s="871">
        <f>'Financial Statement1'!$J$5</f>
        <v>0</v>
      </c>
      <c r="E37" s="872"/>
      <c r="F37" s="871" t="str">
        <f>'Financial Statement1'!$I$5</f>
        <v>-</v>
      </c>
      <c r="G37" s="872"/>
      <c r="H37" s="871" t="str">
        <f>'Financial Statement1'!$H$5</f>
        <v>-</v>
      </c>
      <c r="I37" s="878"/>
      <c r="J37" s="318"/>
    </row>
    <row r="38" spans="1:10" hidden="1" outlineLevel="2">
      <c r="A38" s="317"/>
      <c r="B38" s="868"/>
      <c r="C38" s="870"/>
      <c r="D38" s="730" t="s">
        <v>877</v>
      </c>
      <c r="E38" s="730" t="s">
        <v>878</v>
      </c>
      <c r="F38" s="730" t="s">
        <v>877</v>
      </c>
      <c r="G38" s="730" t="s">
        <v>878</v>
      </c>
      <c r="H38" s="730" t="s">
        <v>877</v>
      </c>
      <c r="I38" s="731" t="s">
        <v>878</v>
      </c>
      <c r="J38" s="318"/>
    </row>
    <row r="39" spans="1:10" hidden="1" outlineLevel="2">
      <c r="A39" s="317"/>
      <c r="B39" s="319">
        <v>1</v>
      </c>
      <c r="C39" s="728"/>
      <c r="D39" s="734"/>
      <c r="E39" s="739" t="str">
        <f>IFERROR(D39/$D$35,"")</f>
        <v/>
      </c>
      <c r="F39" s="735"/>
      <c r="G39" s="739" t="str">
        <f>IFERROR(F39/$F$35,"")</f>
        <v/>
      </c>
      <c r="H39" s="734"/>
      <c r="I39" s="740" t="str">
        <f>IFERROR(H39/$H$35,"")</f>
        <v/>
      </c>
      <c r="J39" s="318"/>
    </row>
    <row r="40" spans="1:10" hidden="1" outlineLevel="2">
      <c r="A40" s="317"/>
      <c r="B40" s="319">
        <v>2</v>
      </c>
      <c r="C40" s="728"/>
      <c r="D40" s="734"/>
      <c r="E40" s="739" t="str">
        <f t="shared" ref="E40:E44" si="6">IFERROR(D40/$D$35,"")</f>
        <v/>
      </c>
      <c r="F40" s="735"/>
      <c r="G40" s="739" t="str">
        <f t="shared" ref="G40:G44" si="7">IFERROR(F40/$F$35,"")</f>
        <v/>
      </c>
      <c r="H40" s="734"/>
      <c r="I40" s="740" t="str">
        <f t="shared" ref="I40:I44" si="8">IFERROR(H40/$H$35,"")</f>
        <v/>
      </c>
      <c r="J40" s="318"/>
    </row>
    <row r="41" spans="1:10" hidden="1" outlineLevel="2">
      <c r="A41" s="317"/>
      <c r="B41" s="319">
        <v>3</v>
      </c>
      <c r="C41" s="728"/>
      <c r="D41" s="734"/>
      <c r="E41" s="739" t="str">
        <f t="shared" si="6"/>
        <v/>
      </c>
      <c r="F41" s="735"/>
      <c r="G41" s="739" t="str">
        <f t="shared" si="7"/>
        <v/>
      </c>
      <c r="H41" s="734"/>
      <c r="I41" s="740" t="str">
        <f t="shared" si="8"/>
        <v/>
      </c>
      <c r="J41" s="318"/>
    </row>
    <row r="42" spans="1:10" hidden="1" outlineLevel="2">
      <c r="A42" s="317"/>
      <c r="B42" s="319">
        <v>4</v>
      </c>
      <c r="C42" s="728"/>
      <c r="D42" s="734"/>
      <c r="E42" s="739" t="str">
        <f t="shared" si="6"/>
        <v/>
      </c>
      <c r="F42" s="735"/>
      <c r="G42" s="739" t="str">
        <f t="shared" si="7"/>
        <v/>
      </c>
      <c r="H42" s="734"/>
      <c r="I42" s="740" t="str">
        <f t="shared" si="8"/>
        <v/>
      </c>
      <c r="J42" s="318"/>
    </row>
    <row r="43" spans="1:10" hidden="1" outlineLevel="2">
      <c r="A43" s="317"/>
      <c r="B43" s="319">
        <v>5</v>
      </c>
      <c r="C43" s="728"/>
      <c r="D43" s="734"/>
      <c r="E43" s="739" t="str">
        <f t="shared" si="6"/>
        <v/>
      </c>
      <c r="F43" s="735"/>
      <c r="G43" s="739" t="str">
        <f t="shared" si="7"/>
        <v/>
      </c>
      <c r="H43" s="734"/>
      <c r="I43" s="740" t="str">
        <f t="shared" si="8"/>
        <v/>
      </c>
      <c r="J43" s="318"/>
    </row>
    <row r="44" spans="1:10" hidden="1" outlineLevel="2">
      <c r="A44" s="317"/>
      <c r="B44" s="319">
        <v>6</v>
      </c>
      <c r="C44" s="728" t="s">
        <v>279</v>
      </c>
      <c r="D44" s="736">
        <f>D45-SUM(D39:D43)</f>
        <v>0</v>
      </c>
      <c r="E44" s="739" t="str">
        <f t="shared" si="6"/>
        <v/>
      </c>
      <c r="F44" s="736">
        <f>F45-SUM(F39:F43)</f>
        <v>0</v>
      </c>
      <c r="G44" s="739" t="str">
        <f t="shared" si="7"/>
        <v/>
      </c>
      <c r="H44" s="736">
        <f>H45-SUM(H39:H43)</f>
        <v>0</v>
      </c>
      <c r="I44" s="740" t="str">
        <f t="shared" si="8"/>
        <v/>
      </c>
      <c r="J44" s="318"/>
    </row>
    <row r="45" spans="1:10" hidden="1" outlineLevel="2">
      <c r="A45" s="317"/>
      <c r="B45" s="876" t="s">
        <v>191</v>
      </c>
      <c r="C45" s="877"/>
      <c r="D45" s="733"/>
      <c r="E45" s="321">
        <f>SUM(E39:E44)</f>
        <v>0</v>
      </c>
      <c r="F45" s="733"/>
      <c r="G45" s="321">
        <f>SUM(G39:G44)</f>
        <v>0</v>
      </c>
      <c r="H45" s="733"/>
      <c r="I45" s="732">
        <f>SUM(I39:I44)</f>
        <v>0</v>
      </c>
      <c r="J45" s="318"/>
    </row>
    <row r="46" spans="1:10" ht="15" outlineLevel="1" collapsed="1">
      <c r="A46" s="317"/>
      <c r="B46" s="873" t="s">
        <v>980</v>
      </c>
      <c r="C46" s="874"/>
      <c r="D46" s="874"/>
      <c r="E46" s="874"/>
      <c r="F46" s="874"/>
      <c r="G46" s="874"/>
      <c r="H46" s="874"/>
      <c r="I46" s="875"/>
      <c r="J46" s="318"/>
    </row>
    <row r="47" spans="1:10" ht="25.5" hidden="1" outlineLevel="2">
      <c r="A47" s="317"/>
      <c r="B47" s="737" t="s">
        <v>584</v>
      </c>
      <c r="C47" s="738" t="s">
        <v>876</v>
      </c>
      <c r="D47" s="730" t="s">
        <v>981</v>
      </c>
      <c r="E47" s="883" t="s">
        <v>879</v>
      </c>
      <c r="F47" s="884"/>
      <c r="G47" s="742">
        <f>D37</f>
        <v>0</v>
      </c>
      <c r="H47" s="742" t="str">
        <f>F37</f>
        <v>-</v>
      </c>
      <c r="I47" s="741" t="str">
        <f>H37</f>
        <v>-</v>
      </c>
      <c r="J47" s="318"/>
    </row>
    <row r="48" spans="1:10" hidden="1" outlineLevel="2">
      <c r="A48" s="317"/>
      <c r="B48" s="319">
        <v>1</v>
      </c>
      <c r="C48" s="728"/>
      <c r="D48" s="734"/>
      <c r="E48" s="885" t="str">
        <f>IFERROR(D48/$D$35,"")</f>
        <v/>
      </c>
      <c r="F48" s="886"/>
      <c r="G48" s="739" t="str">
        <f>IFERROR(F48/$F$35,"")</f>
        <v/>
      </c>
      <c r="H48" s="743"/>
      <c r="I48" s="740" t="str">
        <f>IFERROR(H48/$H$35,"")</f>
        <v/>
      </c>
      <c r="J48" s="318"/>
    </row>
    <row r="49" spans="1:10" hidden="1" outlineLevel="2">
      <c r="A49" s="317"/>
      <c r="B49" s="319">
        <v>2</v>
      </c>
      <c r="C49" s="728"/>
      <c r="D49" s="734"/>
      <c r="E49" s="885" t="str">
        <f t="shared" ref="E49:E53" si="9">IFERROR(D49/$D$35,"")</f>
        <v/>
      </c>
      <c r="F49" s="886"/>
      <c r="G49" s="739" t="str">
        <f t="shared" ref="G49:G53" si="10">IFERROR(F49/$F$35,"")</f>
        <v/>
      </c>
      <c r="H49" s="743"/>
      <c r="I49" s="740" t="str">
        <f t="shared" ref="I49:I53" si="11">IFERROR(H49/$H$35,"")</f>
        <v/>
      </c>
      <c r="J49" s="318"/>
    </row>
    <row r="50" spans="1:10" hidden="1" outlineLevel="2">
      <c r="A50" s="317"/>
      <c r="B50" s="319">
        <v>3</v>
      </c>
      <c r="C50" s="728"/>
      <c r="D50" s="734"/>
      <c r="E50" s="885" t="str">
        <f t="shared" si="9"/>
        <v/>
      </c>
      <c r="F50" s="886"/>
      <c r="G50" s="739" t="str">
        <f t="shared" si="10"/>
        <v/>
      </c>
      <c r="H50" s="743"/>
      <c r="I50" s="740" t="str">
        <f t="shared" si="11"/>
        <v/>
      </c>
      <c r="J50" s="318"/>
    </row>
    <row r="51" spans="1:10" hidden="1" outlineLevel="2">
      <c r="A51" s="317"/>
      <c r="B51" s="319">
        <v>4</v>
      </c>
      <c r="C51" s="728"/>
      <c r="D51" s="734"/>
      <c r="E51" s="885" t="str">
        <f t="shared" si="9"/>
        <v/>
      </c>
      <c r="F51" s="886"/>
      <c r="G51" s="739" t="str">
        <f t="shared" si="10"/>
        <v/>
      </c>
      <c r="H51" s="743"/>
      <c r="I51" s="740" t="str">
        <f t="shared" si="11"/>
        <v/>
      </c>
      <c r="J51" s="318"/>
    </row>
    <row r="52" spans="1:10" hidden="1" outlineLevel="2">
      <c r="A52" s="317"/>
      <c r="B52" s="319">
        <v>5</v>
      </c>
      <c r="C52" s="728"/>
      <c r="D52" s="734"/>
      <c r="E52" s="885" t="str">
        <f t="shared" si="9"/>
        <v/>
      </c>
      <c r="F52" s="886"/>
      <c r="G52" s="739" t="str">
        <f t="shared" si="10"/>
        <v/>
      </c>
      <c r="H52" s="743"/>
      <c r="I52" s="740" t="str">
        <f t="shared" si="11"/>
        <v/>
      </c>
      <c r="J52" s="318"/>
    </row>
    <row r="53" spans="1:10" hidden="1" outlineLevel="2">
      <c r="A53" s="317"/>
      <c r="B53" s="319">
        <v>6</v>
      </c>
      <c r="C53" s="728" t="s">
        <v>279</v>
      </c>
      <c r="D53" s="736"/>
      <c r="E53" s="885" t="str">
        <f t="shared" si="9"/>
        <v/>
      </c>
      <c r="F53" s="886"/>
      <c r="G53" s="739" t="str">
        <f t="shared" si="10"/>
        <v/>
      </c>
      <c r="H53" s="743"/>
      <c r="I53" s="740" t="str">
        <f t="shared" si="11"/>
        <v/>
      </c>
      <c r="J53" s="318"/>
    </row>
    <row r="54" spans="1:10" hidden="1" outlineLevel="2">
      <c r="A54" s="317"/>
      <c r="B54" s="876" t="s">
        <v>191</v>
      </c>
      <c r="C54" s="877"/>
      <c r="D54" s="733"/>
      <c r="E54" s="887"/>
      <c r="F54" s="888"/>
      <c r="G54" s="321">
        <f>SUM(G48:G53)</f>
        <v>0</v>
      </c>
      <c r="H54" s="321">
        <f>SUM(H48:H53)</f>
        <v>0</v>
      </c>
      <c r="I54" s="732">
        <f>SUM(I48:I53)</f>
        <v>0</v>
      </c>
      <c r="J54" s="318"/>
    </row>
    <row r="55" spans="1:10" ht="15" outlineLevel="1" collapsed="1" thickBot="1">
      <c r="A55" s="317"/>
      <c r="B55" s="879" t="s">
        <v>883</v>
      </c>
      <c r="C55" s="833"/>
      <c r="D55" s="880"/>
      <c r="E55" s="881"/>
      <c r="F55" s="881"/>
      <c r="G55" s="881"/>
      <c r="H55" s="881"/>
      <c r="I55" s="882"/>
      <c r="J55" s="318"/>
    </row>
    <row r="56" spans="1:10" ht="15" thickBot="1">
      <c r="A56" s="317"/>
      <c r="B56" s="322"/>
      <c r="C56" s="323"/>
      <c r="D56" s="323"/>
      <c r="E56" s="323"/>
      <c r="F56" s="323"/>
      <c r="G56" s="323"/>
      <c r="H56" s="323"/>
      <c r="I56" s="324"/>
      <c r="J56" s="318"/>
    </row>
    <row r="57" spans="1:10" ht="15" outlineLevel="1">
      <c r="A57" s="317"/>
      <c r="B57" s="829" t="s">
        <v>884</v>
      </c>
      <c r="C57" s="830"/>
      <c r="D57" s="830"/>
      <c r="E57" s="830"/>
      <c r="F57" s="830"/>
      <c r="G57" s="830"/>
      <c r="H57" s="830"/>
      <c r="I57" s="831"/>
      <c r="J57" s="318"/>
    </row>
    <row r="58" spans="1:10" outlineLevel="1">
      <c r="A58" s="317"/>
      <c r="B58" s="814" t="s">
        <v>885</v>
      </c>
      <c r="C58" s="815"/>
      <c r="D58" s="847"/>
      <c r="E58" s="847"/>
      <c r="F58" s="825" t="s">
        <v>886</v>
      </c>
      <c r="G58" s="826"/>
      <c r="H58" s="847"/>
      <c r="I58" s="848"/>
      <c r="J58" s="318"/>
    </row>
    <row r="59" spans="1:10" outlineLevel="1">
      <c r="A59" s="317"/>
      <c r="B59" s="814" t="s">
        <v>887</v>
      </c>
      <c r="C59" s="815"/>
      <c r="D59" s="847"/>
      <c r="E59" s="847"/>
      <c r="F59" s="825" t="s">
        <v>888</v>
      </c>
      <c r="G59" s="826"/>
      <c r="H59" s="847"/>
      <c r="I59" s="848"/>
      <c r="J59" s="318"/>
    </row>
    <row r="60" spans="1:10" ht="39.75" customHeight="1" outlineLevel="1">
      <c r="A60" s="317"/>
      <c r="B60" s="814" t="s">
        <v>889</v>
      </c>
      <c r="C60" s="815"/>
      <c r="D60" s="849"/>
      <c r="E60" s="849"/>
      <c r="F60" s="849"/>
      <c r="G60" s="849"/>
      <c r="H60" s="849"/>
      <c r="I60" s="850"/>
      <c r="J60" s="318"/>
    </row>
    <row r="61" spans="1:10" ht="15" outlineLevel="1" thickBot="1">
      <c r="A61" s="317"/>
      <c r="B61" s="851" t="s">
        <v>883</v>
      </c>
      <c r="C61" s="852"/>
      <c r="D61" s="853" t="s">
        <v>890</v>
      </c>
      <c r="E61" s="853"/>
      <c r="F61" s="853"/>
      <c r="G61" s="853"/>
      <c r="H61" s="853"/>
      <c r="I61" s="854"/>
      <c r="J61" s="318"/>
    </row>
    <row r="62" spans="1:10" ht="15" thickBot="1">
      <c r="A62" s="317"/>
      <c r="B62" s="325"/>
      <c r="C62" s="315"/>
      <c r="D62" s="315"/>
      <c r="E62" s="315"/>
      <c r="F62" s="315"/>
      <c r="G62" s="315"/>
      <c r="H62" s="326"/>
      <c r="I62" s="326"/>
      <c r="J62" s="318"/>
    </row>
    <row r="63" spans="1:10" ht="15.75" outlineLevel="1" thickBot="1">
      <c r="A63" s="317"/>
      <c r="B63" s="858" t="s">
        <v>891</v>
      </c>
      <c r="C63" s="859"/>
      <c r="D63" s="859"/>
      <c r="E63" s="859"/>
      <c r="F63" s="860"/>
      <c r="G63" s="318"/>
      <c r="I63" s="318"/>
    </row>
    <row r="64" spans="1:10" ht="13.5" customHeight="1" outlineLevel="1">
      <c r="A64" s="317"/>
      <c r="B64" s="810" t="s">
        <v>892</v>
      </c>
      <c r="C64" s="811"/>
      <c r="D64" s="855"/>
      <c r="E64" s="856"/>
      <c r="F64" s="857"/>
      <c r="G64" s="327"/>
      <c r="I64" s="318"/>
    </row>
    <row r="65" spans="1:10" ht="13.5" customHeight="1" outlineLevel="1">
      <c r="A65" s="317"/>
      <c r="B65" s="814" t="s">
        <v>893</v>
      </c>
      <c r="C65" s="815"/>
      <c r="D65" s="861">
        <f>G65</f>
        <v>0</v>
      </c>
      <c r="E65" s="862"/>
      <c r="F65" s="863"/>
      <c r="G65" s="327"/>
      <c r="I65" s="318"/>
    </row>
    <row r="66" spans="1:10" ht="13.5" customHeight="1" outlineLevel="1">
      <c r="A66" s="317"/>
      <c r="B66" s="814" t="s">
        <v>894</v>
      </c>
      <c r="C66" s="815"/>
      <c r="D66" s="861">
        <f>G66</f>
        <v>0</v>
      </c>
      <c r="E66" s="862"/>
      <c r="F66" s="863"/>
      <c r="G66" s="327"/>
      <c r="I66" s="318"/>
    </row>
    <row r="67" spans="1:10" ht="13.5" customHeight="1" outlineLevel="1">
      <c r="A67" s="317"/>
      <c r="B67" s="814" t="s">
        <v>278</v>
      </c>
      <c r="C67" s="815"/>
      <c r="D67" s="861">
        <f>G67</f>
        <v>0</v>
      </c>
      <c r="E67" s="862"/>
      <c r="F67" s="863"/>
      <c r="G67" s="328"/>
    </row>
    <row r="68" spans="1:10" ht="13.5" customHeight="1" outlineLevel="1">
      <c r="A68" s="317"/>
      <c r="B68" s="814" t="s">
        <v>866</v>
      </c>
      <c r="C68" s="815"/>
      <c r="D68" s="861">
        <f>G68</f>
        <v>0</v>
      </c>
      <c r="E68" s="862"/>
      <c r="F68" s="863"/>
      <c r="G68" s="329"/>
      <c r="I68" s="318"/>
    </row>
    <row r="69" spans="1:10" ht="15" outlineLevel="1" thickBot="1">
      <c r="A69" s="317"/>
      <c r="B69" s="851" t="s">
        <v>864</v>
      </c>
      <c r="C69" s="852"/>
      <c r="D69" s="864">
        <f>G69</f>
        <v>0</v>
      </c>
      <c r="E69" s="865"/>
      <c r="F69" s="866"/>
      <c r="G69" s="729"/>
      <c r="I69" s="318"/>
    </row>
    <row r="70" spans="1:10" ht="15">
      <c r="B70" s="365"/>
      <c r="C70" s="365"/>
      <c r="D70" s="365"/>
      <c r="E70" s="365"/>
      <c r="F70" s="365"/>
      <c r="G70" s="365"/>
      <c r="H70" s="365"/>
      <c r="I70" s="365"/>
      <c r="J70" s="365"/>
    </row>
  </sheetData>
  <mergeCells count="101">
    <mergeCell ref="B57:I57"/>
    <mergeCell ref="B36:I36"/>
    <mergeCell ref="B45:C45"/>
    <mergeCell ref="B55:C55"/>
    <mergeCell ref="D55:I55"/>
    <mergeCell ref="H37:I37"/>
    <mergeCell ref="B54:C54"/>
    <mergeCell ref="E47:F47"/>
    <mergeCell ref="B35:C35"/>
    <mergeCell ref="E53:F53"/>
    <mergeCell ref="E54:F54"/>
    <mergeCell ref="E48:F48"/>
    <mergeCell ref="E49:F49"/>
    <mergeCell ref="E50:F50"/>
    <mergeCell ref="E51:F51"/>
    <mergeCell ref="E52:F52"/>
    <mergeCell ref="B17:B18"/>
    <mergeCell ref="C17:C18"/>
    <mergeCell ref="D17:E17"/>
    <mergeCell ref="F17:G17"/>
    <mergeCell ref="B37:B38"/>
    <mergeCell ref="C37:C38"/>
    <mergeCell ref="D37:E37"/>
    <mergeCell ref="F37:G37"/>
    <mergeCell ref="B46:I46"/>
    <mergeCell ref="B25:C25"/>
    <mergeCell ref="B26:I26"/>
    <mergeCell ref="H17:I17"/>
    <mergeCell ref="B27:B28"/>
    <mergeCell ref="C27:C28"/>
    <mergeCell ref="D27:E27"/>
    <mergeCell ref="F27:G27"/>
    <mergeCell ref="H27:I27"/>
    <mergeCell ref="B69:C69"/>
    <mergeCell ref="B65:C65"/>
    <mergeCell ref="B66:C66"/>
    <mergeCell ref="B68:C68"/>
    <mergeCell ref="B67:C67"/>
    <mergeCell ref="D65:F65"/>
    <mergeCell ref="D66:F66"/>
    <mergeCell ref="D67:F67"/>
    <mergeCell ref="D68:F68"/>
    <mergeCell ref="D69:F69"/>
    <mergeCell ref="B64:C64"/>
    <mergeCell ref="B58:C58"/>
    <mergeCell ref="D58:E58"/>
    <mergeCell ref="H58:I58"/>
    <mergeCell ref="B59:C59"/>
    <mergeCell ref="D59:E59"/>
    <mergeCell ref="H59:I59"/>
    <mergeCell ref="B60:C60"/>
    <mergeCell ref="D60:I60"/>
    <mergeCell ref="B61:C61"/>
    <mergeCell ref="D61:I61"/>
    <mergeCell ref="F58:G58"/>
    <mergeCell ref="F59:G59"/>
    <mergeCell ref="D64:F64"/>
    <mergeCell ref="B63:F63"/>
    <mergeCell ref="B16:I16"/>
    <mergeCell ref="F12:G12"/>
    <mergeCell ref="F14:G14"/>
    <mergeCell ref="B10:C10"/>
    <mergeCell ref="D10:E10"/>
    <mergeCell ref="H10:I10"/>
    <mergeCell ref="B11:C11"/>
    <mergeCell ref="D11:E11"/>
    <mergeCell ref="H11:I11"/>
    <mergeCell ref="F10:G10"/>
    <mergeCell ref="F11:G11"/>
    <mergeCell ref="B12:C12"/>
    <mergeCell ref="D12:E12"/>
    <mergeCell ref="H12:I12"/>
    <mergeCell ref="B13:C13"/>
    <mergeCell ref="D13:I13"/>
    <mergeCell ref="B14:C14"/>
    <mergeCell ref="D14:E14"/>
    <mergeCell ref="H14:I14"/>
    <mergeCell ref="B15:I15"/>
    <mergeCell ref="B9:C9"/>
    <mergeCell ref="D9:E9"/>
    <mergeCell ref="H9:I9"/>
    <mergeCell ref="F8:G8"/>
    <mergeCell ref="F9:G9"/>
    <mergeCell ref="B5:C5"/>
    <mergeCell ref="D5:I5"/>
    <mergeCell ref="B6:C6"/>
    <mergeCell ref="D6:I6"/>
    <mergeCell ref="B7:C7"/>
    <mergeCell ref="D7:E7"/>
    <mergeCell ref="H7:I7"/>
    <mergeCell ref="F7:G7"/>
    <mergeCell ref="B2:I2"/>
    <mergeCell ref="B3:C3"/>
    <mergeCell ref="D3:E3"/>
    <mergeCell ref="H3:I3"/>
    <mergeCell ref="B4:C4"/>
    <mergeCell ref="D4:I4"/>
    <mergeCell ref="F3:G3"/>
    <mergeCell ref="B8:C8"/>
    <mergeCell ref="D8:E8"/>
    <mergeCell ref="H8:I8"/>
  </mergeCells>
  <dataValidations count="1">
    <dataValidation type="list" allowBlank="1" showInputMessage="1" showErrorMessage="1" sqref="D10" xr:uid="{42B8D1F6-56BB-4959-9EAC-029906E5A5EA}">
      <formula1>"Proprietorship, Partnership, Private Ltd Company, Limited Liablity Partnership, Public Ltd Co, Trust, Society"</formula1>
    </dataValidation>
  </dataValidations>
  <pageMargins left="0.7" right="0.7" top="0.75" bottom="0.75" header="0.3" footer="0.3"/>
  <pageSetup orientation="portrait" horizontalDpi="300" verticalDpi="300" r:id="rId1"/>
  <ignoredErrors>
    <ignoredError sqref="E24 G24"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27872-93E6-4507-BC76-F80494AB05AA}">
  <sheetPr codeName="Sheet26">
    <tabColor theme="3" tint="-0.499984740745262"/>
  </sheetPr>
  <dimension ref="A1:N264"/>
  <sheetViews>
    <sheetView workbookViewId="0">
      <selection activeCell="G5" sqref="G5:K5 G10:K11 G15:K15 G22:K22 G25:K26 G30:K30 G33:K33 G37:K37 G42:K42 G44:K44 G48:K48 G51:K51 G54:K54 G57:K57 G60:K60 G64:K64 G66:K66 G72:J72 G80:K80 G83:K83 G85:K85 G88:K88 H90:K90 G91:K91 G94:K95 G98:K99 G102:K102 G106:K106 G112:K112 G118:K118 G120:K120 G124:K124 G133:K133 G136:K136 G140:K140 G143:K143 G151:K151 G157:K157 G161:K162 G166:K167 G176:K176 G181:K182 G188:K188 G192:K192 G195:K196 G202:K202 G207:K207 G213:K214 G220:K221 G223:K223 G226:K226 H228:K230 G233:K238 G241:K244 G247:K255 G258:K263"/>
    </sheetView>
  </sheetViews>
  <sheetFormatPr defaultRowHeight="14.25" outlineLevelRow="2"/>
  <cols>
    <col min="1" max="5" width="2.125" style="371" customWidth="1"/>
    <col min="6" max="6" width="40" style="372" customWidth="1"/>
    <col min="7" max="11" width="13.125" style="371" customWidth="1"/>
    <col min="12" max="12" width="1.625" style="371" customWidth="1"/>
    <col min="13" max="14" width="10.875" style="371" bestFit="1" customWidth="1"/>
    <col min="15" max="16384" width="9" style="371"/>
  </cols>
  <sheetData>
    <row r="1" spans="2:12" ht="15" thickBot="1"/>
    <row r="2" spans="2:12" ht="25.5" customHeight="1">
      <c r="B2" s="1049" t="s">
        <v>606</v>
      </c>
      <c r="C2" s="1050"/>
      <c r="D2" s="1050"/>
      <c r="E2" s="1050"/>
      <c r="F2" s="1050"/>
      <c r="G2" s="1050"/>
      <c r="H2" s="1050"/>
      <c r="I2" s="1050"/>
      <c r="J2" s="1050"/>
      <c r="K2" s="1050"/>
      <c r="L2" s="1051"/>
    </row>
    <row r="3" spans="2:12" ht="15" customHeight="1" thickBot="1">
      <c r="B3" s="373"/>
      <c r="C3" s="1052" t="s">
        <v>607</v>
      </c>
      <c r="D3" s="1052"/>
      <c r="E3" s="1052"/>
      <c r="F3" s="374"/>
      <c r="G3" s="375"/>
      <c r="J3" s="376" t="s">
        <v>608</v>
      </c>
      <c r="K3" s="377" t="s">
        <v>609</v>
      </c>
      <c r="L3" s="378"/>
    </row>
    <row r="4" spans="2:12" ht="20.25" thickBot="1">
      <c r="B4" s="379"/>
      <c r="C4" s="1053" t="s">
        <v>610</v>
      </c>
      <c r="D4" s="1054"/>
      <c r="E4" s="1054"/>
      <c r="F4" s="1054"/>
      <c r="G4" s="1054"/>
      <c r="H4" s="1054"/>
      <c r="I4" s="1054"/>
      <c r="J4" s="1054"/>
      <c r="K4" s="1055"/>
      <c r="L4" s="378"/>
    </row>
    <row r="5" spans="2:12" s="384" customFormat="1" ht="18.75" customHeight="1" thickBot="1">
      <c r="B5" s="380"/>
      <c r="C5" s="1056" t="s">
        <v>611</v>
      </c>
      <c r="D5" s="1057"/>
      <c r="E5" s="1057"/>
      <c r="F5" s="1057"/>
      <c r="G5" s="381" t="str">
        <f>'Financial Statement1'!G5</f>
        <v>-</v>
      </c>
      <c r="H5" s="381" t="str">
        <f>IFERROR(EDATE(G5,12),"-")</f>
        <v>-</v>
      </c>
      <c r="I5" s="381" t="str">
        <f t="shared" ref="I5:K5" si="0">IFERROR(EDATE(H5,12),"-")</f>
        <v>-</v>
      </c>
      <c r="J5" s="381" t="str">
        <f t="shared" si="0"/>
        <v>-</v>
      </c>
      <c r="K5" s="382" t="str">
        <f t="shared" si="0"/>
        <v>-</v>
      </c>
      <c r="L5" s="383"/>
    </row>
    <row r="6" spans="2:12" s="388" customFormat="1" ht="15.75" customHeight="1">
      <c r="B6" s="373"/>
      <c r="C6" s="1148" t="s">
        <v>612</v>
      </c>
      <c r="D6" s="1149"/>
      <c r="E6" s="1149"/>
      <c r="F6" s="1150"/>
      <c r="G6" s="385"/>
      <c r="H6" s="385"/>
      <c r="I6" s="385"/>
      <c r="J6" s="385"/>
      <c r="K6" s="386"/>
      <c r="L6" s="387"/>
    </row>
    <row r="7" spans="2:12" s="394" customFormat="1" ht="12.75">
      <c r="B7" s="389"/>
      <c r="C7" s="1151" t="s">
        <v>613</v>
      </c>
      <c r="D7" s="1152"/>
      <c r="E7" s="1152"/>
      <c r="F7" s="1153"/>
      <c r="G7" s="390"/>
      <c r="H7" s="391"/>
      <c r="I7" s="391"/>
      <c r="J7" s="391"/>
      <c r="K7" s="392"/>
      <c r="L7" s="393"/>
    </row>
    <row r="8" spans="2:12" s="394" customFormat="1" ht="13.5" thickBot="1">
      <c r="B8" s="389"/>
      <c r="C8" s="1154" t="s">
        <v>614</v>
      </c>
      <c r="D8" s="1155"/>
      <c r="E8" s="1155"/>
      <c r="F8" s="1156"/>
      <c r="G8" s="395"/>
      <c r="H8" s="396"/>
      <c r="I8" s="396"/>
      <c r="J8" s="396"/>
      <c r="K8" s="397"/>
      <c r="L8" s="393"/>
    </row>
    <row r="9" spans="2:12" ht="16.5" customHeight="1">
      <c r="B9" s="379"/>
      <c r="C9" s="986" t="s">
        <v>615</v>
      </c>
      <c r="D9" s="987"/>
      <c r="E9" s="987"/>
      <c r="F9" s="987"/>
      <c r="G9" s="398"/>
      <c r="H9" s="398"/>
      <c r="I9" s="398"/>
      <c r="J9" s="398"/>
      <c r="K9" s="399"/>
      <c r="L9" s="378"/>
    </row>
    <row r="10" spans="2:12" ht="16.5" customHeight="1">
      <c r="B10" s="379"/>
      <c r="C10" s="400"/>
      <c r="D10" s="955" t="s">
        <v>616</v>
      </c>
      <c r="E10" s="956"/>
      <c r="F10" s="957"/>
      <c r="G10" s="401">
        <f>SUM(G11,G15,G19)</f>
        <v>0</v>
      </c>
      <c r="H10" s="401">
        <f>SUM(H11,H15,H19)</f>
        <v>0</v>
      </c>
      <c r="I10" s="401">
        <f>SUM(I11,I15,I19)</f>
        <v>0</v>
      </c>
      <c r="J10" s="401">
        <f>SUM(J11,J15,J19)</f>
        <v>0</v>
      </c>
      <c r="K10" s="402">
        <f>SUM(K11,K15,K19)</f>
        <v>0</v>
      </c>
      <c r="L10" s="378"/>
    </row>
    <row r="11" spans="2:12" s="388" customFormat="1" ht="15" customHeight="1" outlineLevel="1">
      <c r="B11" s="403"/>
      <c r="C11" s="1045"/>
      <c r="D11" s="404"/>
      <c r="E11" s="1058" t="s">
        <v>617</v>
      </c>
      <c r="F11" s="1059"/>
      <c r="G11" s="405">
        <f>SUM(G12:G14)</f>
        <v>0</v>
      </c>
      <c r="H11" s="405">
        <f>SUM(H12:H14)</f>
        <v>0</v>
      </c>
      <c r="I11" s="405">
        <f>SUM(I12:I14)</f>
        <v>0</v>
      </c>
      <c r="J11" s="405">
        <f>SUM(J12:J14)</f>
        <v>0</v>
      </c>
      <c r="K11" s="406">
        <f>SUM(K12:K14)</f>
        <v>0</v>
      </c>
      <c r="L11" s="387"/>
    </row>
    <row r="12" spans="2:12" s="413" customFormat="1" ht="13.5" customHeight="1" outlineLevel="2">
      <c r="B12" s="407"/>
      <c r="C12" s="1045"/>
      <c r="D12" s="1042"/>
      <c r="E12" s="408"/>
      <c r="F12" s="409" t="s">
        <v>618</v>
      </c>
      <c r="G12" s="410"/>
      <c r="H12" s="410"/>
      <c r="I12" s="410"/>
      <c r="J12" s="410"/>
      <c r="K12" s="411"/>
      <c r="L12" s="412"/>
    </row>
    <row r="13" spans="2:12" s="413" customFormat="1" ht="13.5" customHeight="1" outlineLevel="2">
      <c r="B13" s="407"/>
      <c r="C13" s="1045"/>
      <c r="D13" s="1042"/>
      <c r="F13" s="414" t="s">
        <v>619</v>
      </c>
      <c r="G13" s="415"/>
      <c r="H13" s="415"/>
      <c r="I13" s="415"/>
      <c r="J13" s="415"/>
      <c r="K13" s="416"/>
      <c r="L13" s="412"/>
    </row>
    <row r="14" spans="2:12" s="413" customFormat="1" ht="13.5" customHeight="1" outlineLevel="2">
      <c r="B14" s="407"/>
      <c r="C14" s="1045"/>
      <c r="D14" s="1042"/>
      <c r="F14" s="414" t="s">
        <v>620</v>
      </c>
      <c r="G14" s="415"/>
      <c r="H14" s="415"/>
      <c r="I14" s="415"/>
      <c r="J14" s="415"/>
      <c r="K14" s="416"/>
      <c r="L14" s="412"/>
    </row>
    <row r="15" spans="2:12" s="388" customFormat="1" ht="15" customHeight="1" outlineLevel="1">
      <c r="B15" s="403"/>
      <c r="C15" s="1045"/>
      <c r="E15" s="955" t="s">
        <v>621</v>
      </c>
      <c r="F15" s="957"/>
      <c r="G15" s="417">
        <f>SUM(G16:G18)</f>
        <v>0</v>
      </c>
      <c r="H15" s="417">
        <f>SUM(H16:H18)</f>
        <v>0</v>
      </c>
      <c r="I15" s="417">
        <f>SUM(I16:I18)</f>
        <v>0</v>
      </c>
      <c r="J15" s="417">
        <f>SUM(J16:J18)</f>
        <v>0</v>
      </c>
      <c r="K15" s="418">
        <f>SUM(K16:K18)</f>
        <v>0</v>
      </c>
      <c r="L15" s="387"/>
    </row>
    <row r="16" spans="2:12" s="413" customFormat="1" ht="13.5" customHeight="1" outlineLevel="2">
      <c r="B16" s="407"/>
      <c r="C16" s="1045"/>
      <c r="D16" s="1042"/>
      <c r="E16" s="408"/>
      <c r="F16" s="409" t="s">
        <v>618</v>
      </c>
      <c r="G16" s="410"/>
      <c r="H16" s="410"/>
      <c r="I16" s="410"/>
      <c r="J16" s="410"/>
      <c r="K16" s="411"/>
      <c r="L16" s="412"/>
    </row>
    <row r="17" spans="2:12" s="413" customFormat="1" ht="13.5" customHeight="1" outlineLevel="2">
      <c r="B17" s="407"/>
      <c r="C17" s="1045"/>
      <c r="D17" s="1042"/>
      <c r="F17" s="414" t="s">
        <v>619</v>
      </c>
      <c r="G17" s="415"/>
      <c r="H17" s="415"/>
      <c r="I17" s="415"/>
      <c r="J17" s="415"/>
      <c r="K17" s="416"/>
      <c r="L17" s="412"/>
    </row>
    <row r="18" spans="2:12" s="413" customFormat="1" ht="13.5" customHeight="1" outlineLevel="2">
      <c r="B18" s="407"/>
      <c r="C18" s="1045"/>
      <c r="D18" s="1042"/>
      <c r="F18" s="414" t="s">
        <v>620</v>
      </c>
      <c r="G18" s="415"/>
      <c r="H18" s="415"/>
      <c r="I18" s="415"/>
      <c r="J18" s="415"/>
      <c r="K18" s="416"/>
      <c r="L18" s="412"/>
    </row>
    <row r="19" spans="2:12" s="413" customFormat="1" ht="13.5" customHeight="1" outlineLevel="1">
      <c r="B19" s="407"/>
      <c r="C19" s="1045"/>
      <c r="E19" s="955" t="s">
        <v>622</v>
      </c>
      <c r="F19" s="957"/>
      <c r="G19" s="415"/>
      <c r="H19" s="415"/>
      <c r="I19" s="415"/>
      <c r="J19" s="415"/>
      <c r="K19" s="416"/>
      <c r="L19" s="412"/>
    </row>
    <row r="20" spans="2:12" s="388" customFormat="1" ht="15" customHeight="1">
      <c r="B20" s="403"/>
      <c r="C20" s="1045"/>
      <c r="D20" s="955" t="s">
        <v>623</v>
      </c>
      <c r="E20" s="956"/>
      <c r="F20" s="957"/>
      <c r="G20" s="419"/>
      <c r="H20" s="419"/>
      <c r="I20" s="419"/>
      <c r="J20" s="419"/>
      <c r="K20" s="420"/>
      <c r="L20" s="387"/>
    </row>
    <row r="21" spans="2:12" s="388" customFormat="1" ht="15" customHeight="1" thickBot="1">
      <c r="B21" s="403"/>
      <c r="C21" s="1046"/>
      <c r="D21" s="1007" t="s">
        <v>624</v>
      </c>
      <c r="E21" s="1008"/>
      <c r="F21" s="1009"/>
      <c r="G21" s="421"/>
      <c r="H21" s="421"/>
      <c r="I21" s="421"/>
      <c r="J21" s="421"/>
      <c r="K21" s="422"/>
      <c r="L21" s="387"/>
    </row>
    <row r="22" spans="2:12" ht="16.5" customHeight="1" thickBot="1">
      <c r="B22" s="379"/>
      <c r="C22" s="965" t="s">
        <v>625</v>
      </c>
      <c r="D22" s="966"/>
      <c r="E22" s="966"/>
      <c r="F22" s="966"/>
      <c r="G22" s="423">
        <f>SUM(G10+G20)-G21</f>
        <v>0</v>
      </c>
      <c r="H22" s="423">
        <f>SUM(H10+H20)-H21</f>
        <v>0</v>
      </c>
      <c r="I22" s="423">
        <f>SUM(I10+I20)-I21</f>
        <v>0</v>
      </c>
      <c r="J22" s="423">
        <f>SUM(J10+J20)-J21</f>
        <v>0</v>
      </c>
      <c r="K22" s="424">
        <f>SUM(K10+K20)-K21</f>
        <v>0</v>
      </c>
      <c r="L22" s="378"/>
    </row>
    <row r="23" spans="2:12" ht="7.5" customHeight="1">
      <c r="B23" s="379"/>
      <c r="C23" s="967"/>
      <c r="D23" s="968"/>
      <c r="E23" s="968"/>
      <c r="F23" s="968"/>
      <c r="G23" s="968"/>
      <c r="H23" s="968"/>
      <c r="I23" s="968"/>
      <c r="J23" s="968"/>
      <c r="K23" s="969"/>
      <c r="L23" s="378"/>
    </row>
    <row r="24" spans="2:12" ht="16.5" customHeight="1">
      <c r="B24" s="379"/>
      <c r="C24" s="1043" t="s">
        <v>626</v>
      </c>
      <c r="D24" s="1044"/>
      <c r="E24" s="1044"/>
      <c r="F24" s="1044"/>
      <c r="G24" s="413"/>
      <c r="H24" s="413"/>
      <c r="I24" s="413"/>
      <c r="J24" s="413"/>
      <c r="K24" s="412"/>
      <c r="L24" s="412"/>
    </row>
    <row r="25" spans="2:12" ht="16.5" customHeight="1">
      <c r="B25" s="379"/>
      <c r="C25" s="425"/>
      <c r="D25" s="955" t="s">
        <v>627</v>
      </c>
      <c r="E25" s="956"/>
      <c r="F25" s="957"/>
      <c r="G25" s="417">
        <f>G26+G30+G33</f>
        <v>0</v>
      </c>
      <c r="H25" s="417">
        <f>H26+H30+H33</f>
        <v>0</v>
      </c>
      <c r="I25" s="417">
        <f>I26+I30+I33</f>
        <v>0</v>
      </c>
      <c r="J25" s="417">
        <f>J26+J30+J33</f>
        <v>0</v>
      </c>
      <c r="K25" s="418">
        <f>K26+K30+K33</f>
        <v>0</v>
      </c>
      <c r="L25" s="412"/>
    </row>
    <row r="26" spans="2:12" s="388" customFormat="1" ht="15" customHeight="1" outlineLevel="1">
      <c r="B26" s="403"/>
      <c r="C26" s="1045"/>
      <c r="D26" s="404"/>
      <c r="E26" s="1047" t="s">
        <v>628</v>
      </c>
      <c r="F26" s="1048"/>
      <c r="G26" s="405">
        <f>G28+G27-G29</f>
        <v>0</v>
      </c>
      <c r="H26" s="405">
        <f>H28+H27-H29</f>
        <v>0</v>
      </c>
      <c r="I26" s="405">
        <f>I28+I27-I29</f>
        <v>0</v>
      </c>
      <c r="J26" s="405">
        <f>J28+J27-J29</f>
        <v>0</v>
      </c>
      <c r="K26" s="406">
        <f>K28+K27-K29</f>
        <v>0</v>
      </c>
      <c r="L26" s="387"/>
    </row>
    <row r="27" spans="2:12" s="413" customFormat="1" ht="13.5" customHeight="1" outlineLevel="2">
      <c r="B27" s="407"/>
      <c r="C27" s="1045"/>
      <c r="D27" s="1042"/>
      <c r="E27" s="408"/>
      <c r="F27" s="409" t="s">
        <v>629</v>
      </c>
      <c r="G27" s="410"/>
      <c r="H27" s="410"/>
      <c r="I27" s="410"/>
      <c r="J27" s="410"/>
      <c r="K27" s="411"/>
      <c r="L27" s="412"/>
    </row>
    <row r="28" spans="2:12" s="413" customFormat="1" ht="16.5" customHeight="1" outlineLevel="2">
      <c r="B28" s="407"/>
      <c r="C28" s="1045"/>
      <c r="D28" s="1042"/>
      <c r="F28" s="414" t="s">
        <v>630</v>
      </c>
      <c r="G28" s="415"/>
      <c r="H28" s="415"/>
      <c r="I28" s="415"/>
      <c r="J28" s="415"/>
      <c r="K28" s="416"/>
      <c r="L28" s="412"/>
    </row>
    <row r="29" spans="2:12" s="413" customFormat="1" ht="16.5" customHeight="1" outlineLevel="2">
      <c r="B29" s="407"/>
      <c r="C29" s="1045"/>
      <c r="D29" s="1042"/>
      <c r="F29" s="414" t="s">
        <v>631</v>
      </c>
      <c r="G29" s="415"/>
      <c r="H29" s="415"/>
      <c r="I29" s="415"/>
      <c r="J29" s="415"/>
      <c r="K29" s="416"/>
      <c r="L29" s="412"/>
    </row>
    <row r="30" spans="2:12" s="388" customFormat="1" ht="16.5" customHeight="1" outlineLevel="1">
      <c r="B30" s="403"/>
      <c r="C30" s="1045"/>
      <c r="E30" s="1040" t="s">
        <v>632</v>
      </c>
      <c r="F30" s="1041"/>
      <c r="G30" s="417">
        <f>G31-G32</f>
        <v>0</v>
      </c>
      <c r="H30" s="417">
        <f>H31-H32</f>
        <v>0</v>
      </c>
      <c r="I30" s="417">
        <f>I31-I32</f>
        <v>0</v>
      </c>
      <c r="J30" s="417">
        <f>J31-J32</f>
        <v>0</v>
      </c>
      <c r="K30" s="418">
        <f>K31-K32</f>
        <v>0</v>
      </c>
      <c r="L30" s="387"/>
    </row>
    <row r="31" spans="2:12" s="413" customFormat="1" ht="13.5" customHeight="1" outlineLevel="2">
      <c r="B31" s="407"/>
      <c r="C31" s="1045"/>
      <c r="D31" s="1042"/>
      <c r="E31" s="408"/>
      <c r="F31" s="409" t="s">
        <v>629</v>
      </c>
      <c r="G31" s="410"/>
      <c r="H31" s="410"/>
      <c r="I31" s="410"/>
      <c r="J31" s="410"/>
      <c r="K31" s="411"/>
      <c r="L31" s="412"/>
    </row>
    <row r="32" spans="2:12" s="413" customFormat="1" ht="13.5" customHeight="1" outlineLevel="2">
      <c r="B32" s="407"/>
      <c r="C32" s="1045"/>
      <c r="D32" s="1042"/>
      <c r="F32" s="414" t="s">
        <v>631</v>
      </c>
      <c r="G32" s="415"/>
      <c r="H32" s="415"/>
      <c r="I32" s="415"/>
      <c r="J32" s="415"/>
      <c r="K32" s="416"/>
      <c r="L32" s="412"/>
    </row>
    <row r="33" spans="2:12" s="388" customFormat="1" ht="15" customHeight="1" outlineLevel="1">
      <c r="B33" s="403"/>
      <c r="C33" s="1045"/>
      <c r="E33" s="1040" t="s">
        <v>633</v>
      </c>
      <c r="F33" s="1041"/>
      <c r="G33" s="417">
        <f>G35+G34-G36</f>
        <v>0</v>
      </c>
      <c r="H33" s="417">
        <f>H35+H34-H36</f>
        <v>0</v>
      </c>
      <c r="I33" s="417">
        <f>I35+I34-I36</f>
        <v>0</v>
      </c>
      <c r="J33" s="417">
        <f>J35+J34-J36</f>
        <v>0</v>
      </c>
      <c r="K33" s="418">
        <f>K35+K34-K36</f>
        <v>0</v>
      </c>
      <c r="L33" s="387"/>
    </row>
    <row r="34" spans="2:12" s="413" customFormat="1" ht="13.5" customHeight="1" outlineLevel="1">
      <c r="B34" s="407"/>
      <c r="C34" s="1045"/>
      <c r="D34" s="1042"/>
      <c r="E34" s="408"/>
      <c r="F34" s="409" t="s">
        <v>629</v>
      </c>
      <c r="G34" s="410"/>
      <c r="H34" s="410"/>
      <c r="I34" s="410"/>
      <c r="J34" s="410"/>
      <c r="K34" s="411"/>
      <c r="L34" s="412"/>
    </row>
    <row r="35" spans="2:12" s="413" customFormat="1" ht="13.5" customHeight="1" outlineLevel="1">
      <c r="B35" s="407"/>
      <c r="C35" s="1045"/>
      <c r="D35" s="1042"/>
      <c r="F35" s="414" t="s">
        <v>630</v>
      </c>
      <c r="G35" s="415"/>
      <c r="H35" s="415"/>
      <c r="I35" s="415"/>
      <c r="J35" s="415"/>
      <c r="K35" s="416"/>
      <c r="L35" s="412"/>
    </row>
    <row r="36" spans="2:12" s="413" customFormat="1" ht="13.5" customHeight="1" outlineLevel="1">
      <c r="B36" s="407"/>
      <c r="C36" s="1045"/>
      <c r="D36" s="1042"/>
      <c r="F36" s="414" t="s">
        <v>631</v>
      </c>
      <c r="G36" s="415"/>
      <c r="H36" s="415"/>
      <c r="I36" s="415"/>
      <c r="J36" s="415"/>
      <c r="K36" s="416"/>
      <c r="L36" s="412"/>
    </row>
    <row r="37" spans="2:12" s="413" customFormat="1" ht="13.5" customHeight="1">
      <c r="B37" s="407"/>
      <c r="C37" s="1045"/>
      <c r="D37" s="955" t="s">
        <v>634</v>
      </c>
      <c r="E37" s="956"/>
      <c r="F37" s="957"/>
      <c r="G37" s="415">
        <f>SUM(G38:G41)</f>
        <v>0</v>
      </c>
      <c r="H37" s="415">
        <f>SUM(H38:H41)</f>
        <v>0</v>
      </c>
      <c r="I37" s="415">
        <f>SUM(I38:I41)</f>
        <v>0</v>
      </c>
      <c r="J37" s="415">
        <f>SUM(J38:J41)</f>
        <v>0</v>
      </c>
      <c r="K37" s="416">
        <f>SUM(K38:K41)</f>
        <v>0</v>
      </c>
      <c r="L37" s="412"/>
    </row>
    <row r="38" spans="2:12" s="413" customFormat="1" ht="15" customHeight="1" outlineLevel="1">
      <c r="B38" s="407"/>
      <c r="C38" s="1045"/>
      <c r="D38" s="408"/>
      <c r="E38" s="997" t="s">
        <v>635</v>
      </c>
      <c r="F38" s="998"/>
      <c r="G38" s="410"/>
      <c r="H38" s="410"/>
      <c r="I38" s="410"/>
      <c r="J38" s="410"/>
      <c r="K38" s="411"/>
      <c r="L38" s="412"/>
    </row>
    <row r="39" spans="2:12" s="413" customFormat="1" ht="15" customHeight="1" outlineLevel="1">
      <c r="B39" s="407"/>
      <c r="C39" s="1045"/>
      <c r="E39" s="991" t="s">
        <v>636</v>
      </c>
      <c r="F39" s="992"/>
      <c r="G39" s="415"/>
      <c r="H39" s="415"/>
      <c r="I39" s="415"/>
      <c r="J39" s="415"/>
      <c r="K39" s="416"/>
      <c r="L39" s="412"/>
    </row>
    <row r="40" spans="2:12" s="413" customFormat="1" ht="15" customHeight="1" outlineLevel="1">
      <c r="B40" s="407"/>
      <c r="C40" s="1045"/>
      <c r="E40" s="991" t="s">
        <v>637</v>
      </c>
      <c r="F40" s="992"/>
      <c r="G40" s="415"/>
      <c r="H40" s="415"/>
      <c r="I40" s="415"/>
      <c r="J40" s="415"/>
      <c r="K40" s="416"/>
      <c r="L40" s="412"/>
    </row>
    <row r="41" spans="2:12" s="413" customFormat="1" ht="15" customHeight="1" outlineLevel="1" thickBot="1">
      <c r="B41" s="407"/>
      <c r="C41" s="1046"/>
      <c r="D41" s="426"/>
      <c r="E41" s="1017" t="s">
        <v>638</v>
      </c>
      <c r="F41" s="1018"/>
      <c r="G41" s="415"/>
      <c r="H41" s="415"/>
      <c r="I41" s="415"/>
      <c r="J41" s="415"/>
      <c r="K41" s="416"/>
      <c r="L41" s="412"/>
    </row>
    <row r="42" spans="2:12" ht="16.5" customHeight="1" thickBot="1">
      <c r="B42" s="379"/>
      <c r="C42" s="965" t="s">
        <v>9</v>
      </c>
      <c r="D42" s="966"/>
      <c r="E42" s="966"/>
      <c r="F42" s="966" t="s">
        <v>639</v>
      </c>
      <c r="G42" s="423">
        <f>G22-SUM(G25,G37)</f>
        <v>0</v>
      </c>
      <c r="H42" s="423">
        <f>H22-SUM(H25,H37)</f>
        <v>0</v>
      </c>
      <c r="I42" s="423">
        <f>I22-SUM(I25,I37)</f>
        <v>0</v>
      </c>
      <c r="J42" s="423">
        <f>J22-SUM(J25,J37)</f>
        <v>0</v>
      </c>
      <c r="K42" s="424">
        <f>K22-SUM(K25,K37)</f>
        <v>0</v>
      </c>
      <c r="L42" s="378"/>
    </row>
    <row r="43" spans="2:12" ht="7.5" customHeight="1">
      <c r="B43" s="379"/>
      <c r="C43" s="967"/>
      <c r="D43" s="968"/>
      <c r="E43" s="968"/>
      <c r="F43" s="968"/>
      <c r="G43" s="968"/>
      <c r="H43" s="968"/>
      <c r="I43" s="968"/>
      <c r="J43" s="968"/>
      <c r="K43" s="969"/>
      <c r="L43" s="378"/>
    </row>
    <row r="44" spans="2:12" s="388" customFormat="1" ht="15" customHeight="1">
      <c r="B44" s="403"/>
      <c r="C44" s="403"/>
      <c r="D44" s="955" t="s">
        <v>640</v>
      </c>
      <c r="E44" s="956"/>
      <c r="F44" s="957"/>
      <c r="G44" s="401">
        <f>SUM(G45,G46,G47)</f>
        <v>0</v>
      </c>
      <c r="H44" s="401">
        <f>SUM(H45,H46,H47)</f>
        <v>0</v>
      </c>
      <c r="I44" s="401">
        <f>SUM(I45,I46,I47)</f>
        <v>0</v>
      </c>
      <c r="J44" s="401">
        <f>SUM(J45,J46,J47)</f>
        <v>0</v>
      </c>
      <c r="K44" s="402">
        <f>SUM(K45,K46,K47)</f>
        <v>0</v>
      </c>
      <c r="L44" s="387"/>
    </row>
    <row r="45" spans="2:12" s="413" customFormat="1" ht="15" customHeight="1" outlineLevel="1">
      <c r="B45" s="407"/>
      <c r="C45" s="1012"/>
      <c r="D45" s="408"/>
      <c r="E45" s="1015" t="s">
        <v>641</v>
      </c>
      <c r="F45" s="1016"/>
      <c r="G45" s="427"/>
      <c r="H45" s="410"/>
      <c r="I45" s="410"/>
      <c r="J45" s="410"/>
      <c r="K45" s="411"/>
      <c r="L45" s="412"/>
    </row>
    <row r="46" spans="2:12" s="413" customFormat="1" ht="15" customHeight="1" outlineLevel="1">
      <c r="B46" s="407"/>
      <c r="C46" s="1012"/>
      <c r="D46" s="428"/>
      <c r="E46" s="991" t="s">
        <v>642</v>
      </c>
      <c r="F46" s="992"/>
      <c r="G46" s="415"/>
      <c r="H46" s="415"/>
      <c r="I46" s="415"/>
      <c r="J46" s="415"/>
      <c r="K46" s="416"/>
      <c r="L46" s="412"/>
    </row>
    <row r="47" spans="2:12" s="413" customFormat="1" ht="15" customHeight="1" outlineLevel="1">
      <c r="B47" s="407"/>
      <c r="C47" s="1012"/>
      <c r="D47" s="428"/>
      <c r="E47" s="1005" t="s">
        <v>279</v>
      </c>
      <c r="F47" s="1006"/>
      <c r="G47" s="429"/>
      <c r="H47" s="429"/>
      <c r="I47" s="415"/>
      <c r="J47" s="415"/>
      <c r="K47" s="416"/>
      <c r="L47" s="412"/>
    </row>
    <row r="48" spans="2:12" s="388" customFormat="1" ht="15" customHeight="1">
      <c r="B48" s="403"/>
      <c r="C48" s="1012"/>
      <c r="D48" s="955" t="s">
        <v>643</v>
      </c>
      <c r="E48" s="956"/>
      <c r="F48" s="957"/>
      <c r="G48" s="417">
        <f>SUM(G49:G50)</f>
        <v>0</v>
      </c>
      <c r="H48" s="417">
        <f>SUM(H49:H50)</f>
        <v>0</v>
      </c>
      <c r="I48" s="417">
        <f>SUM(I49:I50)</f>
        <v>0</v>
      </c>
      <c r="J48" s="417">
        <f>SUM(J49:J50)</f>
        <v>0</v>
      </c>
      <c r="K48" s="418">
        <f>SUM(K49:K50)</f>
        <v>0</v>
      </c>
      <c r="L48" s="387"/>
    </row>
    <row r="49" spans="1:12" s="413" customFormat="1" ht="13.5" customHeight="1" outlineLevel="1">
      <c r="B49" s="407"/>
      <c r="C49" s="1012"/>
      <c r="D49" s="408"/>
      <c r="E49" s="997" t="s">
        <v>644</v>
      </c>
      <c r="F49" s="998"/>
      <c r="G49" s="410"/>
      <c r="H49" s="410"/>
      <c r="I49" s="410"/>
      <c r="J49" s="410"/>
      <c r="K49" s="411"/>
      <c r="L49" s="412"/>
    </row>
    <row r="50" spans="1:12" s="413" customFormat="1" ht="13.5" customHeight="1" outlineLevel="1">
      <c r="B50" s="407"/>
      <c r="C50" s="1012"/>
      <c r="E50" s="991" t="s">
        <v>645</v>
      </c>
      <c r="F50" s="992"/>
      <c r="G50" s="415"/>
      <c r="H50" s="415"/>
      <c r="I50" s="415"/>
      <c r="J50" s="415"/>
      <c r="K50" s="416"/>
      <c r="L50" s="412"/>
    </row>
    <row r="51" spans="1:12" s="388" customFormat="1" ht="15" customHeight="1">
      <c r="A51" s="413"/>
      <c r="B51" s="403"/>
      <c r="C51" s="1012"/>
      <c r="D51" s="955" t="s">
        <v>646</v>
      </c>
      <c r="E51" s="956"/>
      <c r="F51" s="957"/>
      <c r="G51" s="417">
        <f>SUM(G52:G53)</f>
        <v>0</v>
      </c>
      <c r="H51" s="417">
        <f>SUM(H52:H53)</f>
        <v>0</v>
      </c>
      <c r="I51" s="417">
        <f>SUM(I52:I53)</f>
        <v>0</v>
      </c>
      <c r="J51" s="417">
        <f>SUM(J52:J53)</f>
        <v>0</v>
      </c>
      <c r="K51" s="418">
        <f>SUM(K52:K53)</f>
        <v>0</v>
      </c>
      <c r="L51" s="387"/>
    </row>
    <row r="52" spans="1:12" s="413" customFormat="1" ht="13.5" customHeight="1" outlineLevel="1">
      <c r="B52" s="407"/>
      <c r="C52" s="1012"/>
      <c r="D52" s="408"/>
      <c r="E52" s="997" t="s">
        <v>647</v>
      </c>
      <c r="F52" s="998"/>
      <c r="G52" s="410"/>
      <c r="H52" s="410"/>
      <c r="I52" s="410"/>
      <c r="J52" s="410"/>
      <c r="K52" s="411"/>
      <c r="L52" s="412"/>
    </row>
    <row r="53" spans="1:12" s="413" customFormat="1" ht="13.5" customHeight="1" outlineLevel="1" thickBot="1">
      <c r="B53" s="407"/>
      <c r="C53" s="1024"/>
      <c r="D53" s="426"/>
      <c r="E53" s="1017" t="s">
        <v>279</v>
      </c>
      <c r="F53" s="1018"/>
      <c r="G53" s="430"/>
      <c r="H53" s="430"/>
      <c r="I53" s="430"/>
      <c r="J53" s="430"/>
      <c r="K53" s="431"/>
      <c r="L53" s="412"/>
    </row>
    <row r="54" spans="1:12" ht="16.5" customHeight="1" thickBot="1">
      <c r="A54" s="413"/>
      <c r="B54" s="379"/>
      <c r="C54" s="1010" t="s">
        <v>648</v>
      </c>
      <c r="D54" s="1011"/>
      <c r="E54" s="1011"/>
      <c r="F54" s="1011"/>
      <c r="G54" s="432">
        <f>G42-SUM(G44,G48,G51)</f>
        <v>0</v>
      </c>
      <c r="H54" s="432">
        <f>H42-SUM(H44,H48,H51)</f>
        <v>0</v>
      </c>
      <c r="I54" s="432">
        <f>I42-SUM(I44,I48,I51)</f>
        <v>0</v>
      </c>
      <c r="J54" s="432">
        <f>J42-SUM(J44,J48,J51)</f>
        <v>0</v>
      </c>
      <c r="K54" s="433">
        <f>K42-SUM(K44,K48,K51)</f>
        <v>0</v>
      </c>
      <c r="L54" s="378"/>
    </row>
    <row r="55" spans="1:12" ht="7.5" customHeight="1">
      <c r="B55" s="379"/>
      <c r="C55" s="967"/>
      <c r="D55" s="968"/>
      <c r="E55" s="968"/>
      <c r="F55" s="968"/>
      <c r="G55" s="968"/>
      <c r="H55" s="968"/>
      <c r="I55" s="968"/>
      <c r="J55" s="968"/>
      <c r="K55" s="969"/>
      <c r="L55" s="378"/>
    </row>
    <row r="56" spans="1:12" s="388" customFormat="1" ht="15" customHeight="1">
      <c r="A56" s="371"/>
      <c r="B56" s="403"/>
      <c r="C56" s="1012"/>
      <c r="D56" s="955" t="s">
        <v>649</v>
      </c>
      <c r="E56" s="956"/>
      <c r="F56" s="957"/>
      <c r="G56" s="419"/>
      <c r="H56" s="419"/>
      <c r="I56" s="419"/>
      <c r="J56" s="419"/>
      <c r="K56" s="420"/>
      <c r="L56" s="387"/>
    </row>
    <row r="57" spans="1:12" s="388" customFormat="1" ht="15" customHeight="1">
      <c r="B57" s="403"/>
      <c r="C57" s="1012"/>
      <c r="D57" s="955" t="s">
        <v>650</v>
      </c>
      <c r="E57" s="956"/>
      <c r="F57" s="957"/>
      <c r="G57" s="419">
        <f>SUM(G59:G59)</f>
        <v>0</v>
      </c>
      <c r="H57" s="419">
        <f>SUM(H58:H59)</f>
        <v>0</v>
      </c>
      <c r="I57" s="419">
        <f>SUM(I58:I59)</f>
        <v>0</v>
      </c>
      <c r="J57" s="419">
        <f>SUM(J58:J59)</f>
        <v>0</v>
      </c>
      <c r="K57" s="420">
        <f>SUM(K59:K59)</f>
        <v>0</v>
      </c>
      <c r="L57" s="387"/>
    </row>
    <row r="58" spans="1:12" s="413" customFormat="1" ht="15" customHeight="1" outlineLevel="1">
      <c r="B58" s="407"/>
      <c r="C58" s="1012"/>
      <c r="D58" s="408"/>
      <c r="E58" s="997" t="s">
        <v>651</v>
      </c>
      <c r="F58" s="998"/>
      <c r="G58" s="410"/>
      <c r="H58" s="410"/>
      <c r="I58" s="410"/>
      <c r="J58" s="410"/>
      <c r="K58" s="411"/>
      <c r="L58" s="412"/>
    </row>
    <row r="59" spans="1:12" s="413" customFormat="1" ht="15" customHeight="1" outlineLevel="1">
      <c r="B59" s="407"/>
      <c r="C59" s="1012"/>
      <c r="E59" s="991" t="s">
        <v>652</v>
      </c>
      <c r="F59" s="992"/>
      <c r="G59" s="415"/>
      <c r="H59" s="415"/>
      <c r="I59" s="415"/>
      <c r="J59" s="415"/>
      <c r="K59" s="416"/>
      <c r="L59" s="412"/>
    </row>
    <row r="60" spans="1:12" s="388" customFormat="1" ht="15" customHeight="1">
      <c r="B60" s="403"/>
      <c r="C60" s="1012"/>
      <c r="D60" s="955" t="s">
        <v>653</v>
      </c>
      <c r="E60" s="956"/>
      <c r="F60" s="957"/>
      <c r="G60" s="419">
        <f>SUM(G61:G62)</f>
        <v>0</v>
      </c>
      <c r="H60" s="419">
        <f>SUM(H61:H62)</f>
        <v>0</v>
      </c>
      <c r="I60" s="419">
        <f>SUM(I61:I62)</f>
        <v>0</v>
      </c>
      <c r="J60" s="419">
        <f>SUM(J61:J62)</f>
        <v>0</v>
      </c>
      <c r="K60" s="420">
        <f>SUM(K61:K62)</f>
        <v>0</v>
      </c>
      <c r="L60" s="387"/>
    </row>
    <row r="61" spans="1:12" s="413" customFormat="1" ht="15" customHeight="1" outlineLevel="1">
      <c r="B61" s="407"/>
      <c r="C61" s="1012"/>
      <c r="D61" s="434"/>
      <c r="E61" s="1015" t="s">
        <v>654</v>
      </c>
      <c r="F61" s="1016"/>
      <c r="G61" s="410"/>
      <c r="H61" s="410"/>
      <c r="I61" s="410"/>
      <c r="J61" s="410"/>
      <c r="K61" s="411"/>
      <c r="L61" s="412"/>
    </row>
    <row r="62" spans="1:12" s="413" customFormat="1" ht="15" customHeight="1" outlineLevel="1">
      <c r="B62" s="407"/>
      <c r="C62" s="1012"/>
      <c r="D62" s="428"/>
      <c r="E62" s="991" t="s">
        <v>655</v>
      </c>
      <c r="F62" s="992"/>
      <c r="G62" s="415"/>
      <c r="H62" s="415"/>
      <c r="I62" s="415"/>
      <c r="J62" s="415"/>
      <c r="K62" s="416"/>
      <c r="L62" s="412"/>
    </row>
    <row r="63" spans="1:12" s="388" customFormat="1" ht="15" customHeight="1" thickBot="1">
      <c r="B63" s="403"/>
      <c r="C63" s="1024"/>
      <c r="D63" s="1007" t="s">
        <v>656</v>
      </c>
      <c r="E63" s="1008"/>
      <c r="F63" s="1009"/>
      <c r="G63" s="421"/>
      <c r="H63" s="415"/>
      <c r="I63" s="415"/>
      <c r="J63" s="415"/>
      <c r="K63" s="422"/>
      <c r="L63" s="387"/>
    </row>
    <row r="64" spans="1:12" ht="16.5" customHeight="1" thickBot="1">
      <c r="A64" s="388"/>
      <c r="B64" s="379"/>
      <c r="C64" s="965" t="s">
        <v>657</v>
      </c>
      <c r="D64" s="966"/>
      <c r="E64" s="966"/>
      <c r="F64" s="966"/>
      <c r="G64" s="423">
        <f>G54-SUM(G56,G57,G60,G63)</f>
        <v>0</v>
      </c>
      <c r="H64" s="423">
        <f>H54-SUM(H56,H57,H60,H63)</f>
        <v>0</v>
      </c>
      <c r="I64" s="423">
        <f>I54-SUM(I56,I57,I60,I63)</f>
        <v>0</v>
      </c>
      <c r="J64" s="423">
        <f>J54-SUM(J56,J57,J60,J63)</f>
        <v>0</v>
      </c>
      <c r="K64" s="424">
        <f>K54-SUM(K56,K57,K60,K63)</f>
        <v>0</v>
      </c>
      <c r="L64" s="378"/>
    </row>
    <row r="65" spans="1:12" ht="7.5" customHeight="1">
      <c r="B65" s="379"/>
      <c r="C65" s="967"/>
      <c r="D65" s="968"/>
      <c r="E65" s="968"/>
      <c r="F65" s="968"/>
      <c r="G65" s="968"/>
      <c r="H65" s="968"/>
      <c r="I65" s="968"/>
      <c r="J65" s="968"/>
      <c r="K65" s="969"/>
      <c r="L65" s="378"/>
    </row>
    <row r="66" spans="1:12" s="388" customFormat="1" ht="15" customHeight="1">
      <c r="A66" s="371"/>
      <c r="B66" s="403"/>
      <c r="C66" s="1012"/>
      <c r="D66" s="955" t="s">
        <v>658</v>
      </c>
      <c r="E66" s="956"/>
      <c r="F66" s="957"/>
      <c r="G66" s="435">
        <f>SUM(G67:G71)</f>
        <v>0</v>
      </c>
      <c r="H66" s="435">
        <f t="shared" ref="H66:K66" si="1">SUM(H67:H71)</f>
        <v>0</v>
      </c>
      <c r="I66" s="435">
        <f t="shared" si="1"/>
        <v>0</v>
      </c>
      <c r="J66" s="435">
        <f t="shared" si="1"/>
        <v>0</v>
      </c>
      <c r="K66" s="436">
        <f t="shared" si="1"/>
        <v>0</v>
      </c>
      <c r="L66" s="387"/>
    </row>
    <row r="67" spans="1:12" s="413" customFormat="1" ht="13.5" customHeight="1" outlineLevel="1">
      <c r="A67" s="388"/>
      <c r="B67" s="407"/>
      <c r="C67" s="1012"/>
      <c r="D67" s="1038"/>
      <c r="E67" s="997" t="s">
        <v>659</v>
      </c>
      <c r="F67" s="998"/>
      <c r="G67" s="437"/>
      <c r="H67" s="410"/>
      <c r="I67" s="410"/>
      <c r="J67" s="410"/>
      <c r="K67" s="411"/>
      <c r="L67" s="412"/>
    </row>
    <row r="68" spans="1:12" s="413" customFormat="1" ht="13.5" customHeight="1" outlineLevel="1">
      <c r="B68" s="407"/>
      <c r="C68" s="1012"/>
      <c r="D68" s="1001"/>
      <c r="E68" s="991" t="s">
        <v>660</v>
      </c>
      <c r="F68" s="992"/>
      <c r="G68" s="438"/>
      <c r="H68" s="415"/>
      <c r="I68" s="415"/>
      <c r="J68" s="415"/>
      <c r="K68" s="416"/>
      <c r="L68" s="412"/>
    </row>
    <row r="69" spans="1:12" s="413" customFormat="1" ht="13.5" customHeight="1" outlineLevel="1">
      <c r="B69" s="407"/>
      <c r="C69" s="1012"/>
      <c r="D69" s="1001"/>
      <c r="E69" s="991" t="s">
        <v>661</v>
      </c>
      <c r="F69" s="992"/>
      <c r="G69" s="438"/>
      <c r="H69" s="415"/>
      <c r="I69" s="415"/>
      <c r="J69" s="415"/>
      <c r="K69" s="416"/>
      <c r="L69" s="412"/>
    </row>
    <row r="70" spans="1:12" s="413" customFormat="1" ht="13.5" customHeight="1" outlineLevel="1">
      <c r="B70" s="407"/>
      <c r="C70" s="1012"/>
      <c r="D70" s="1001"/>
      <c r="E70" s="991" t="s">
        <v>123</v>
      </c>
      <c r="F70" s="992"/>
      <c r="G70" s="438"/>
      <c r="H70" s="415"/>
      <c r="I70" s="415"/>
      <c r="J70" s="415"/>
      <c r="K70" s="416"/>
      <c r="L70" s="412"/>
    </row>
    <row r="71" spans="1:12" s="413" customFormat="1" ht="13.5" customHeight="1" outlineLevel="1">
      <c r="B71" s="407"/>
      <c r="C71" s="1012"/>
      <c r="E71" s="991" t="s">
        <v>662</v>
      </c>
      <c r="F71" s="992"/>
      <c r="G71" s="438"/>
      <c r="H71" s="415"/>
      <c r="I71" s="415"/>
      <c r="J71" s="415"/>
      <c r="K71" s="416"/>
      <c r="L71" s="412"/>
    </row>
    <row r="72" spans="1:12" s="388" customFormat="1" ht="15" customHeight="1">
      <c r="A72" s="413"/>
      <c r="B72" s="403"/>
      <c r="C72" s="1012"/>
      <c r="D72" s="955" t="s">
        <v>663</v>
      </c>
      <c r="E72" s="956"/>
      <c r="F72" s="957"/>
      <c r="G72" s="417">
        <f>SUM(G73:G79)</f>
        <v>0</v>
      </c>
      <c r="H72" s="417">
        <f>SUM(H73:H79)</f>
        <v>0</v>
      </c>
      <c r="I72" s="417">
        <f>SUM(I73:I79)</f>
        <v>0</v>
      </c>
      <c r="J72" s="417">
        <f>SUM(J73:J79)</f>
        <v>0</v>
      </c>
      <c r="K72" s="418"/>
      <c r="L72" s="387"/>
    </row>
    <row r="73" spans="1:12" s="413" customFormat="1" ht="13.5" customHeight="1" outlineLevel="1">
      <c r="A73" s="388"/>
      <c r="B73" s="407"/>
      <c r="C73" s="1012"/>
      <c r="D73" s="1038"/>
      <c r="E73" s="1015" t="s">
        <v>664</v>
      </c>
      <c r="F73" s="1016"/>
      <c r="G73" s="410"/>
      <c r="H73" s="410"/>
      <c r="I73" s="410"/>
      <c r="J73" s="410"/>
      <c r="K73" s="411"/>
      <c r="L73" s="412"/>
    </row>
    <row r="74" spans="1:12" s="413" customFormat="1" ht="13.5" customHeight="1" outlineLevel="1">
      <c r="B74" s="407"/>
      <c r="C74" s="1012"/>
      <c r="D74" s="1001"/>
      <c r="E74" s="1005" t="s">
        <v>665</v>
      </c>
      <c r="F74" s="1006"/>
      <c r="G74" s="415"/>
      <c r="H74" s="415"/>
      <c r="I74" s="415"/>
      <c r="J74" s="415"/>
      <c r="K74" s="416"/>
      <c r="L74" s="412"/>
    </row>
    <row r="75" spans="1:12" s="413" customFormat="1" ht="13.5" customHeight="1" outlineLevel="1">
      <c r="B75" s="407"/>
      <c r="C75" s="1012"/>
      <c r="D75" s="1001"/>
      <c r="E75" s="1005" t="s">
        <v>666</v>
      </c>
      <c r="F75" s="1006"/>
      <c r="G75" s="415"/>
      <c r="H75" s="415"/>
      <c r="I75" s="415"/>
      <c r="J75" s="415"/>
      <c r="K75" s="416"/>
      <c r="L75" s="412"/>
    </row>
    <row r="76" spans="1:12" s="413" customFormat="1" ht="13.5" customHeight="1" outlineLevel="1">
      <c r="B76" s="407"/>
      <c r="C76" s="1012"/>
      <c r="D76" s="1001"/>
      <c r="E76" s="1005" t="s">
        <v>667</v>
      </c>
      <c r="F76" s="1006"/>
      <c r="G76" s="415"/>
      <c r="H76" s="415"/>
      <c r="I76" s="415"/>
      <c r="J76" s="415"/>
      <c r="K76" s="416"/>
      <c r="L76" s="412"/>
    </row>
    <row r="77" spans="1:12" s="413" customFormat="1" ht="13.5" customHeight="1" outlineLevel="1">
      <c r="B77" s="407"/>
      <c r="C77" s="1012"/>
      <c r="D77" s="1001"/>
      <c r="E77" s="1005" t="s">
        <v>668</v>
      </c>
      <c r="F77" s="1006"/>
      <c r="G77" s="415"/>
      <c r="H77" s="415"/>
      <c r="I77" s="415"/>
      <c r="J77" s="415"/>
      <c r="K77" s="416"/>
      <c r="L77" s="412"/>
    </row>
    <row r="78" spans="1:12" s="413" customFormat="1" ht="13.5" customHeight="1" outlineLevel="1">
      <c r="B78" s="407"/>
      <c r="C78" s="1012"/>
      <c r="D78" s="1001"/>
      <c r="E78" s="1005" t="s">
        <v>669</v>
      </c>
      <c r="F78" s="1006"/>
      <c r="G78" s="415"/>
      <c r="H78" s="415"/>
      <c r="I78" s="415"/>
      <c r="J78" s="415"/>
      <c r="K78" s="416"/>
      <c r="L78" s="412"/>
    </row>
    <row r="79" spans="1:12" s="413" customFormat="1" ht="13.5" customHeight="1" outlineLevel="1" thickBot="1">
      <c r="B79" s="407"/>
      <c r="C79" s="1024"/>
      <c r="D79" s="1039"/>
      <c r="E79" s="999" t="s">
        <v>279</v>
      </c>
      <c r="F79" s="1000"/>
      <c r="G79" s="430"/>
      <c r="H79" s="430"/>
      <c r="I79" s="430"/>
      <c r="J79" s="430"/>
      <c r="K79" s="431"/>
      <c r="L79" s="412"/>
    </row>
    <row r="80" spans="1:12" ht="16.5" customHeight="1" thickBot="1">
      <c r="A80" s="413"/>
      <c r="B80" s="379"/>
      <c r="C80" s="1010" t="s">
        <v>670</v>
      </c>
      <c r="D80" s="1011"/>
      <c r="E80" s="1011"/>
      <c r="F80" s="1011"/>
      <c r="G80" s="432">
        <f>G64-G66+G72</f>
        <v>0</v>
      </c>
      <c r="H80" s="432">
        <f>H64-H66+H72</f>
        <v>0</v>
      </c>
      <c r="I80" s="432">
        <f>I64-I66+I72</f>
        <v>0</v>
      </c>
      <c r="J80" s="432">
        <f>J64-J66+J72</f>
        <v>0</v>
      </c>
      <c r="K80" s="433">
        <f>K64-K66+K72</f>
        <v>0</v>
      </c>
      <c r="L80" s="378"/>
    </row>
    <row r="81" spans="1:12" ht="7.5" customHeight="1">
      <c r="B81" s="379"/>
      <c r="C81" s="967"/>
      <c r="D81" s="968"/>
      <c r="E81" s="968"/>
      <c r="F81" s="968"/>
      <c r="G81" s="968"/>
      <c r="H81" s="968"/>
      <c r="I81" s="968"/>
      <c r="J81" s="968"/>
      <c r="K81" s="969"/>
      <c r="L81" s="378"/>
    </row>
    <row r="82" spans="1:12" s="388" customFormat="1" ht="15" customHeight="1" thickBot="1">
      <c r="A82" s="371"/>
      <c r="B82" s="403"/>
      <c r="C82" s="403"/>
      <c r="D82" s="1033" t="s">
        <v>671</v>
      </c>
      <c r="E82" s="1034"/>
      <c r="F82" s="1035"/>
      <c r="G82" s="439"/>
      <c r="H82" s="419"/>
      <c r="I82" s="419"/>
      <c r="J82" s="419"/>
      <c r="K82" s="420"/>
      <c r="L82" s="440"/>
    </row>
    <row r="83" spans="1:12" ht="16.5" customHeight="1" thickBot="1">
      <c r="A83" s="388"/>
      <c r="B83" s="379"/>
      <c r="C83" s="965" t="s">
        <v>115</v>
      </c>
      <c r="D83" s="966"/>
      <c r="E83" s="966"/>
      <c r="F83" s="966"/>
      <c r="G83" s="423">
        <f>G80+G82</f>
        <v>0</v>
      </c>
      <c r="H83" s="423">
        <f>H80+H82</f>
        <v>0</v>
      </c>
      <c r="I83" s="423">
        <f>I80+I82</f>
        <v>0</v>
      </c>
      <c r="J83" s="423">
        <f>J80+J82</f>
        <v>0</v>
      </c>
      <c r="K83" s="424">
        <f>K80+K82</f>
        <v>0</v>
      </c>
      <c r="L83" s="378"/>
    </row>
    <row r="84" spans="1:12" ht="7.5" customHeight="1">
      <c r="B84" s="379"/>
      <c r="C84" s="933"/>
      <c r="D84" s="934"/>
      <c r="E84" s="934"/>
      <c r="F84" s="934"/>
      <c r="G84" s="934"/>
      <c r="H84" s="934"/>
      <c r="I84" s="934"/>
      <c r="J84" s="934"/>
      <c r="K84" s="935"/>
      <c r="L84" s="378"/>
    </row>
    <row r="85" spans="1:12" s="388" customFormat="1" ht="15" customHeight="1">
      <c r="B85" s="403"/>
      <c r="C85" s="403"/>
      <c r="D85" s="1036" t="s">
        <v>672</v>
      </c>
      <c r="E85" s="1036"/>
      <c r="F85" s="1037"/>
      <c r="G85" s="401">
        <f>SUM(G86,G87)</f>
        <v>0</v>
      </c>
      <c r="H85" s="401">
        <f>SUM(H86,H87)</f>
        <v>0</v>
      </c>
      <c r="I85" s="401">
        <f>SUM(I86,I87)</f>
        <v>0</v>
      </c>
      <c r="J85" s="401">
        <f>SUM(J86,J87)</f>
        <v>0</v>
      </c>
      <c r="K85" s="402">
        <f>SUM(K86,K87)</f>
        <v>0</v>
      </c>
      <c r="L85" s="387"/>
    </row>
    <row r="86" spans="1:12" s="413" customFormat="1" ht="15" customHeight="1" outlineLevel="1">
      <c r="B86" s="407"/>
      <c r="C86" s="1012"/>
      <c r="D86" s="408"/>
      <c r="E86" s="997" t="s">
        <v>673</v>
      </c>
      <c r="F86" s="998"/>
      <c r="G86" s="410"/>
      <c r="H86" s="410"/>
      <c r="I86" s="410"/>
      <c r="J86" s="410"/>
      <c r="K86" s="411"/>
      <c r="L86" s="412"/>
    </row>
    <row r="87" spans="1:12" s="413" customFormat="1" ht="15" customHeight="1" outlineLevel="1">
      <c r="B87" s="407"/>
      <c r="C87" s="1012"/>
      <c r="E87" s="991" t="s">
        <v>674</v>
      </c>
      <c r="F87" s="992"/>
      <c r="G87" s="415"/>
      <c r="H87" s="415"/>
      <c r="I87" s="415"/>
      <c r="J87" s="415"/>
      <c r="K87" s="416"/>
      <c r="L87" s="412"/>
    </row>
    <row r="88" spans="1:12" s="388" customFormat="1" ht="15" customHeight="1">
      <c r="B88" s="403"/>
      <c r="C88" s="1012"/>
      <c r="D88" s="955" t="s">
        <v>675</v>
      </c>
      <c r="E88" s="956"/>
      <c r="F88" s="957"/>
      <c r="G88" s="441" t="str">
        <f>IFERROR(G86/G83,"-")</f>
        <v>-</v>
      </c>
      <c r="H88" s="441" t="str">
        <f>IFERROR(H86/H83,"-")</f>
        <v>-</v>
      </c>
      <c r="I88" s="441" t="str">
        <f>IFERROR(I86/I83,"-")</f>
        <v>-</v>
      </c>
      <c r="J88" s="441" t="str">
        <f>IFERROR(J86/J83,"-")</f>
        <v>-</v>
      </c>
      <c r="K88" s="442" t="str">
        <f>IFERROR(K86/K83,"-")</f>
        <v>-</v>
      </c>
      <c r="L88" s="387"/>
    </row>
    <row r="89" spans="1:12" s="448" customFormat="1" ht="12.75">
      <c r="A89" s="443"/>
      <c r="B89" s="444"/>
      <c r="C89" s="1028"/>
      <c r="D89" s="1029" t="s">
        <v>676</v>
      </c>
      <c r="E89" s="1029"/>
      <c r="F89" s="1030"/>
      <c r="G89" s="445"/>
      <c r="H89" s="445"/>
      <c r="I89" s="445"/>
      <c r="J89" s="445"/>
      <c r="K89" s="446"/>
      <c r="L89" s="447"/>
    </row>
    <row r="90" spans="1:12" s="449" customFormat="1" ht="12" thickBot="1">
      <c r="B90" s="450"/>
      <c r="C90" s="1028"/>
      <c r="D90" s="1031" t="s">
        <v>677</v>
      </c>
      <c r="E90" s="1031"/>
      <c r="F90" s="1032"/>
      <c r="G90" s="451"/>
      <c r="H90" s="452">
        <f>IF((H89-G89)/30&lt;0,"No Data",(H89-G89)/30)</f>
        <v>0</v>
      </c>
      <c r="I90" s="452">
        <f>IF((I89-H89)/30&lt;0,"No Data",(I89-H89)/30)</f>
        <v>0</v>
      </c>
      <c r="J90" s="452">
        <f>IF((J89-I89)/30&lt;0,"No Data",(J89-I89)/30)</f>
        <v>0</v>
      </c>
      <c r="K90" s="453">
        <f>IF((K89-J89)/30&lt;0,"No Data",(K89-J89)/30)</f>
        <v>0</v>
      </c>
      <c r="L90" s="454"/>
    </row>
    <row r="91" spans="1:12" ht="16.5" customHeight="1" thickBot="1">
      <c r="A91" s="449"/>
      <c r="B91" s="379"/>
      <c r="C91" s="958" t="s">
        <v>17</v>
      </c>
      <c r="D91" s="959"/>
      <c r="E91" s="959"/>
      <c r="F91" s="959"/>
      <c r="G91" s="455">
        <f>G83-SUM(G86:G87)</f>
        <v>0</v>
      </c>
      <c r="H91" s="455">
        <f>H83-SUM(H86:H87)</f>
        <v>0</v>
      </c>
      <c r="I91" s="455">
        <f>I83-SUM(I86:I87)</f>
        <v>0</v>
      </c>
      <c r="J91" s="455">
        <f>J83-SUM(J86:J87)</f>
        <v>0</v>
      </c>
      <c r="K91" s="456">
        <f>K83-SUM(K86:K87)</f>
        <v>0</v>
      </c>
      <c r="L91" s="378"/>
    </row>
    <row r="92" spans="1:12" ht="7.5" customHeight="1">
      <c r="B92" s="379"/>
      <c r="C92" s="967"/>
      <c r="D92" s="968"/>
      <c r="E92" s="968"/>
      <c r="F92" s="968"/>
      <c r="G92" s="968"/>
      <c r="H92" s="968"/>
      <c r="I92" s="968"/>
      <c r="J92" s="968"/>
      <c r="K92" s="969"/>
      <c r="L92" s="378"/>
    </row>
    <row r="93" spans="1:12" ht="14.25" customHeight="1" thickBot="1">
      <c r="B93" s="379"/>
      <c r="C93" s="379"/>
      <c r="D93" s="955" t="s">
        <v>678</v>
      </c>
      <c r="E93" s="956"/>
      <c r="F93" s="957"/>
      <c r="G93" s="417"/>
      <c r="H93" s="417"/>
      <c r="I93" s="417"/>
      <c r="J93" s="417"/>
      <c r="K93" s="418"/>
      <c r="L93" s="378"/>
    </row>
    <row r="94" spans="1:12" ht="16.5" customHeight="1" thickBot="1">
      <c r="A94" s="449"/>
      <c r="B94" s="379"/>
      <c r="C94" s="958" t="s">
        <v>679</v>
      </c>
      <c r="D94" s="959"/>
      <c r="E94" s="959"/>
      <c r="F94" s="959"/>
      <c r="G94" s="455">
        <f>G91+G93</f>
        <v>0</v>
      </c>
      <c r="H94" s="455">
        <f>H91+H93</f>
        <v>0</v>
      </c>
      <c r="I94" s="455">
        <f>I91+I93</f>
        <v>0</v>
      </c>
      <c r="J94" s="455">
        <f>J91+J93</f>
        <v>0</v>
      </c>
      <c r="K94" s="456">
        <f>K91+K93</f>
        <v>0</v>
      </c>
      <c r="L94" s="378"/>
    </row>
    <row r="95" spans="1:12" ht="15" customHeight="1">
      <c r="B95" s="379"/>
      <c r="C95" s="379"/>
      <c r="D95" s="955" t="s">
        <v>680</v>
      </c>
      <c r="E95" s="956"/>
      <c r="F95" s="957"/>
      <c r="G95" s="417">
        <f>G96+G97</f>
        <v>0</v>
      </c>
      <c r="H95" s="417">
        <f>H96+H97</f>
        <v>0</v>
      </c>
      <c r="I95" s="417">
        <f>I96+I97</f>
        <v>0</v>
      </c>
      <c r="J95" s="417">
        <f>J96+J97</f>
        <v>0</v>
      </c>
      <c r="K95" s="418">
        <f>K96+K97</f>
        <v>0</v>
      </c>
      <c r="L95" s="378"/>
    </row>
    <row r="96" spans="1:12" s="413" customFormat="1" ht="15" customHeight="1" outlineLevel="1">
      <c r="B96" s="407"/>
      <c r="C96" s="407"/>
      <c r="D96" s="408"/>
      <c r="E96" s="1015" t="s">
        <v>681</v>
      </c>
      <c r="F96" s="1016"/>
      <c r="G96" s="410"/>
      <c r="H96" s="410"/>
      <c r="I96" s="410"/>
      <c r="J96" s="410"/>
      <c r="K96" s="411"/>
      <c r="L96" s="412"/>
    </row>
    <row r="97" spans="1:12" s="413" customFormat="1" ht="15" customHeight="1" outlineLevel="1">
      <c r="B97" s="407"/>
      <c r="C97" s="407"/>
      <c r="E97" s="1005" t="s">
        <v>682</v>
      </c>
      <c r="F97" s="1006"/>
      <c r="G97" s="415"/>
      <c r="H97" s="415"/>
      <c r="I97" s="415"/>
      <c r="J97" s="415"/>
      <c r="K97" s="416"/>
      <c r="L97" s="412"/>
    </row>
    <row r="98" spans="1:12" s="388" customFormat="1" ht="15" customHeight="1">
      <c r="A98" s="371"/>
      <c r="B98" s="403"/>
      <c r="C98" s="1025" t="s">
        <v>683</v>
      </c>
      <c r="D98" s="1026"/>
      <c r="E98" s="1026"/>
      <c r="F98" s="1027"/>
      <c r="G98" s="457">
        <f>G91-G95</f>
        <v>0</v>
      </c>
      <c r="H98" s="457">
        <f>H91-H95</f>
        <v>0</v>
      </c>
      <c r="I98" s="457">
        <f>I91-I95</f>
        <v>0</v>
      </c>
      <c r="J98" s="457">
        <f>J91-J95</f>
        <v>0</v>
      </c>
      <c r="K98" s="458">
        <f>K91-K95</f>
        <v>0</v>
      </c>
      <c r="L98" s="387"/>
    </row>
    <row r="99" spans="1:12" s="388" customFormat="1" ht="15" customHeight="1">
      <c r="B99" s="403"/>
      <c r="C99" s="1025" t="s">
        <v>684</v>
      </c>
      <c r="D99" s="1026"/>
      <c r="E99" s="1026"/>
      <c r="F99" s="1027"/>
      <c r="G99" s="457">
        <f>G91+G56+G57+G62+G48</f>
        <v>0</v>
      </c>
      <c r="H99" s="457">
        <f>H91+H56+H57+H62+H48</f>
        <v>0</v>
      </c>
      <c r="I99" s="457">
        <f>I91+I56+I57+I62+I48</f>
        <v>0</v>
      </c>
      <c r="J99" s="457">
        <f>J91+J56+J57+J62+J48</f>
        <v>0</v>
      </c>
      <c r="K99" s="458">
        <f>K91+K56+K57+K62+K48</f>
        <v>0</v>
      </c>
      <c r="L99" s="387"/>
    </row>
    <row r="100" spans="1:12" ht="13.5" customHeight="1" thickBot="1">
      <c r="A100" s="388"/>
      <c r="B100" s="379"/>
      <c r="C100" s="459"/>
      <c r="D100" s="460"/>
      <c r="E100" s="460"/>
      <c r="F100" s="461"/>
      <c r="G100" s="462"/>
      <c r="H100" s="463"/>
      <c r="I100" s="463"/>
      <c r="J100" s="463"/>
      <c r="K100" s="464"/>
      <c r="L100" s="378"/>
    </row>
    <row r="101" spans="1:12" ht="20.25" thickBot="1">
      <c r="B101" s="379"/>
      <c r="C101" s="942" t="s">
        <v>685</v>
      </c>
      <c r="D101" s="943"/>
      <c r="E101" s="943"/>
      <c r="F101" s="943"/>
      <c r="G101" s="943"/>
      <c r="H101" s="943"/>
      <c r="I101" s="943"/>
      <c r="J101" s="943"/>
      <c r="K101" s="944"/>
      <c r="L101" s="378"/>
    </row>
    <row r="102" spans="1:12" ht="16.5" customHeight="1" thickBot="1">
      <c r="B102" s="379"/>
      <c r="C102" s="945" t="s">
        <v>611</v>
      </c>
      <c r="D102" s="946"/>
      <c r="E102" s="946"/>
      <c r="F102" s="947" t="s">
        <v>685</v>
      </c>
      <c r="G102" s="465" t="str">
        <f>G5</f>
        <v>-</v>
      </c>
      <c r="H102" s="465" t="str">
        <f>H5</f>
        <v>-</v>
      </c>
      <c r="I102" s="465" t="str">
        <f>I5</f>
        <v>-</v>
      </c>
      <c r="J102" s="465" t="str">
        <f>J5</f>
        <v>-</v>
      </c>
      <c r="K102" s="466" t="str">
        <f>K5</f>
        <v>-</v>
      </c>
      <c r="L102" s="378"/>
    </row>
    <row r="103" spans="1:12" ht="15" thickBot="1">
      <c r="B103" s="379"/>
      <c r="C103" s="933"/>
      <c r="D103" s="934"/>
      <c r="E103" s="934"/>
      <c r="F103" s="934"/>
      <c r="G103" s="934"/>
      <c r="H103" s="934"/>
      <c r="I103" s="934"/>
      <c r="J103" s="934"/>
      <c r="K103" s="935"/>
      <c r="L103" s="378"/>
    </row>
    <row r="104" spans="1:12" ht="18">
      <c r="B104" s="379"/>
      <c r="C104" s="1019" t="s">
        <v>686</v>
      </c>
      <c r="D104" s="1020"/>
      <c r="E104" s="1020"/>
      <c r="F104" s="1020"/>
      <c r="G104" s="1020"/>
      <c r="H104" s="1020"/>
      <c r="I104" s="1020"/>
      <c r="J104" s="1020"/>
      <c r="K104" s="1021"/>
      <c r="L104" s="378"/>
    </row>
    <row r="105" spans="1:12" ht="16.5" customHeight="1">
      <c r="B105" s="379"/>
      <c r="C105" s="970" t="s">
        <v>687</v>
      </c>
      <c r="D105" s="971"/>
      <c r="E105" s="971"/>
      <c r="F105" s="971"/>
      <c r="G105" s="467"/>
      <c r="H105" s="468"/>
      <c r="I105" s="468"/>
      <c r="J105" s="468"/>
      <c r="K105" s="469"/>
      <c r="L105" s="378"/>
    </row>
    <row r="106" spans="1:12" ht="16.5" customHeight="1">
      <c r="B106" s="379"/>
      <c r="C106" s="470"/>
      <c r="D106" s="1022" t="s">
        <v>688</v>
      </c>
      <c r="E106" s="1022"/>
      <c r="F106" s="1023"/>
      <c r="G106" s="417">
        <f>SUM(G107:G111)</f>
        <v>0</v>
      </c>
      <c r="H106" s="417">
        <f>SUM(H107:H111)</f>
        <v>0</v>
      </c>
      <c r="I106" s="417">
        <f>SUM(I107:I111)</f>
        <v>0</v>
      </c>
      <c r="J106" s="417">
        <f>SUM(J107:J111)</f>
        <v>0</v>
      </c>
      <c r="K106" s="418">
        <f>SUM(K107:K111)</f>
        <v>0</v>
      </c>
      <c r="L106" s="378"/>
    </row>
    <row r="107" spans="1:12" s="413" customFormat="1" ht="15" customHeight="1" outlineLevel="1">
      <c r="B107" s="407"/>
      <c r="C107" s="1012"/>
      <c r="D107" s="408"/>
      <c r="E107" s="997" t="s">
        <v>689</v>
      </c>
      <c r="F107" s="998"/>
      <c r="G107" s="410"/>
      <c r="H107" s="410"/>
      <c r="I107" s="471"/>
      <c r="J107" s="471"/>
      <c r="K107" s="411"/>
      <c r="L107" s="412"/>
    </row>
    <row r="108" spans="1:12" s="413" customFormat="1" ht="15" customHeight="1" outlineLevel="1">
      <c r="B108" s="407"/>
      <c r="C108" s="1012"/>
      <c r="E108" s="1005" t="s">
        <v>690</v>
      </c>
      <c r="F108" s="1006"/>
      <c r="G108" s="438"/>
      <c r="H108" s="438"/>
      <c r="I108" s="438"/>
      <c r="J108" s="438"/>
      <c r="K108" s="416"/>
      <c r="L108" s="412"/>
    </row>
    <row r="109" spans="1:12" s="413" customFormat="1" ht="15" customHeight="1" outlineLevel="1">
      <c r="B109" s="407"/>
      <c r="C109" s="1012"/>
      <c r="E109" s="1005" t="s">
        <v>691</v>
      </c>
      <c r="F109" s="1006"/>
      <c r="G109" s="438"/>
      <c r="H109" s="438"/>
      <c r="I109" s="438"/>
      <c r="J109" s="438"/>
      <c r="K109" s="416"/>
      <c r="L109" s="412"/>
    </row>
    <row r="110" spans="1:12" s="413" customFormat="1" ht="15" customHeight="1" outlineLevel="1">
      <c r="B110" s="407"/>
      <c r="C110" s="1012"/>
      <c r="E110" s="1005" t="s">
        <v>692</v>
      </c>
      <c r="F110" s="1006"/>
      <c r="G110" s="438"/>
      <c r="H110" s="438"/>
      <c r="I110" s="438"/>
      <c r="J110" s="438"/>
      <c r="K110" s="416"/>
      <c r="L110" s="412"/>
    </row>
    <row r="111" spans="1:12" s="413" customFormat="1" ht="15" customHeight="1" outlineLevel="1">
      <c r="B111" s="407"/>
      <c r="C111" s="1012"/>
      <c r="E111" s="1005" t="s">
        <v>693</v>
      </c>
      <c r="F111" s="1006"/>
      <c r="G111" s="438"/>
      <c r="H111" s="438"/>
      <c r="I111" s="438"/>
      <c r="J111" s="438"/>
      <c r="K111" s="416"/>
      <c r="L111" s="412"/>
    </row>
    <row r="112" spans="1:12" s="388" customFormat="1" ht="15" customHeight="1">
      <c r="B112" s="403"/>
      <c r="C112" s="1012"/>
      <c r="D112" s="955" t="s">
        <v>694</v>
      </c>
      <c r="E112" s="956"/>
      <c r="F112" s="957"/>
      <c r="G112" s="417">
        <f>SUM(G113:G117)</f>
        <v>0</v>
      </c>
      <c r="H112" s="417">
        <f>SUM(H113:H117)</f>
        <v>0</v>
      </c>
      <c r="I112" s="417">
        <f>SUM(I113:I117)</f>
        <v>0</v>
      </c>
      <c r="J112" s="417">
        <f>SUM(J113:J117)</f>
        <v>0</v>
      </c>
      <c r="K112" s="418">
        <f>SUM(K113:K117)</f>
        <v>0</v>
      </c>
      <c r="L112" s="387"/>
    </row>
    <row r="113" spans="1:12" s="413" customFormat="1" ht="15" customHeight="1" outlineLevel="1">
      <c r="B113" s="407"/>
      <c r="C113" s="1012"/>
      <c r="D113" s="408"/>
      <c r="E113" s="1015" t="s">
        <v>695</v>
      </c>
      <c r="F113" s="1016"/>
      <c r="G113" s="437"/>
      <c r="H113" s="437"/>
      <c r="I113" s="437"/>
      <c r="J113" s="437"/>
      <c r="K113" s="411"/>
      <c r="L113" s="412"/>
    </row>
    <row r="114" spans="1:12" s="413" customFormat="1" ht="15" customHeight="1" outlineLevel="1">
      <c r="B114" s="407"/>
      <c r="C114" s="1012"/>
      <c r="E114" s="1005" t="s">
        <v>696</v>
      </c>
      <c r="F114" s="1006"/>
      <c r="G114" s="438"/>
      <c r="H114" s="438"/>
      <c r="I114" s="438"/>
      <c r="J114" s="438"/>
      <c r="K114" s="416"/>
      <c r="L114" s="412"/>
    </row>
    <row r="115" spans="1:12" s="413" customFormat="1" ht="15" customHeight="1" outlineLevel="1">
      <c r="B115" s="407"/>
      <c r="C115" s="1012"/>
      <c r="E115" s="991" t="s">
        <v>27</v>
      </c>
      <c r="F115" s="992"/>
      <c r="G115" s="428"/>
      <c r="H115" s="438"/>
      <c r="I115" s="438"/>
      <c r="J115" s="438"/>
      <c r="K115" s="416"/>
      <c r="L115" s="412"/>
    </row>
    <row r="116" spans="1:12" s="413" customFormat="1" ht="15" customHeight="1" outlineLevel="1">
      <c r="B116" s="407"/>
      <c r="C116" s="1012"/>
      <c r="E116" s="991" t="s">
        <v>697</v>
      </c>
      <c r="F116" s="992"/>
      <c r="G116" s="438"/>
      <c r="H116" s="438"/>
      <c r="I116" s="438"/>
      <c r="J116" s="438"/>
      <c r="K116" s="416"/>
      <c r="L116" s="412"/>
    </row>
    <row r="117" spans="1:12" s="413" customFormat="1" ht="15" customHeight="1" outlineLevel="1" thickBot="1">
      <c r="B117" s="407"/>
      <c r="C117" s="1024"/>
      <c r="D117" s="426"/>
      <c r="E117" s="1017" t="s">
        <v>698</v>
      </c>
      <c r="F117" s="1018"/>
      <c r="G117" s="472"/>
      <c r="H117" s="430"/>
      <c r="I117" s="430"/>
      <c r="J117" s="430"/>
      <c r="K117" s="431"/>
      <c r="L117" s="412"/>
    </row>
    <row r="118" spans="1:12" ht="16.5" customHeight="1" thickBot="1">
      <c r="A118" s="388"/>
      <c r="B118" s="379"/>
      <c r="C118" s="965" t="s">
        <v>699</v>
      </c>
      <c r="D118" s="966"/>
      <c r="E118" s="966"/>
      <c r="F118" s="966"/>
      <c r="G118" s="423">
        <f>SUM(G106,G112)</f>
        <v>0</v>
      </c>
      <c r="H118" s="423">
        <f>SUM(H106,H112)</f>
        <v>0</v>
      </c>
      <c r="I118" s="423">
        <f>SUM(I106,I112)</f>
        <v>0</v>
      </c>
      <c r="J118" s="423">
        <f>SUM(J106,J112)</f>
        <v>0</v>
      </c>
      <c r="K118" s="424">
        <f>SUM(K106,K112)</f>
        <v>0</v>
      </c>
      <c r="L118" s="378"/>
    </row>
    <row r="119" spans="1:12" s="388" customFormat="1" ht="7.5" customHeight="1" thickBot="1">
      <c r="A119" s="371"/>
      <c r="B119" s="403"/>
      <c r="C119" s="1012"/>
      <c r="D119" s="1013"/>
      <c r="E119" s="1013"/>
      <c r="F119" s="1013"/>
      <c r="G119" s="1013"/>
      <c r="H119" s="1013"/>
      <c r="I119" s="1013"/>
      <c r="J119" s="1013"/>
      <c r="K119" s="1014"/>
      <c r="L119" s="387"/>
    </row>
    <row r="120" spans="1:12" ht="16.5" customHeight="1" thickBot="1">
      <c r="A120" s="473"/>
      <c r="B120" s="379"/>
      <c r="C120" s="965" t="s">
        <v>700</v>
      </c>
      <c r="D120" s="966"/>
      <c r="E120" s="966"/>
      <c r="F120" s="966" t="s">
        <v>701</v>
      </c>
      <c r="G120" s="423">
        <f>G118-G115+G128+G148-G159-G179-G200</f>
        <v>0</v>
      </c>
      <c r="H120" s="423">
        <f>H118-H115+H128+H148-H159-H179-H200</f>
        <v>0</v>
      </c>
      <c r="I120" s="423">
        <f>I118-I115+I128+I148-I159-I179-I200</f>
        <v>0</v>
      </c>
      <c r="J120" s="423">
        <f>J118-J115+J128+J148-J159-J179-J200</f>
        <v>0</v>
      </c>
      <c r="K120" s="424">
        <f>K118-K115+K128+K148-K159-K179-K200</f>
        <v>0</v>
      </c>
      <c r="L120" s="378"/>
    </row>
    <row r="121" spans="1:12" ht="7.5" customHeight="1">
      <c r="B121" s="379"/>
      <c r="C121" s="967"/>
      <c r="D121" s="968"/>
      <c r="E121" s="968"/>
      <c r="F121" s="968"/>
      <c r="G121" s="968"/>
      <c r="H121" s="968"/>
      <c r="I121" s="968"/>
      <c r="J121" s="968"/>
      <c r="K121" s="969"/>
      <c r="L121" s="378"/>
    </row>
    <row r="122" spans="1:12" ht="16.5" customHeight="1">
      <c r="B122" s="379"/>
      <c r="C122" s="970" t="s">
        <v>702</v>
      </c>
      <c r="D122" s="971"/>
      <c r="E122" s="971"/>
      <c r="F122" s="971"/>
      <c r="G122" s="467"/>
      <c r="H122" s="468"/>
      <c r="I122" s="468"/>
      <c r="J122" s="468"/>
      <c r="K122" s="469"/>
      <c r="L122" s="378"/>
    </row>
    <row r="123" spans="1:12" ht="16.5" customHeight="1">
      <c r="B123" s="379"/>
      <c r="C123" s="970" t="s">
        <v>703</v>
      </c>
      <c r="D123" s="971"/>
      <c r="E123" s="971"/>
      <c r="F123" s="971"/>
      <c r="G123" s="467"/>
      <c r="H123" s="468"/>
      <c r="I123" s="468"/>
      <c r="J123" s="468"/>
      <c r="K123" s="469"/>
      <c r="L123" s="378"/>
    </row>
    <row r="124" spans="1:12" s="388" customFormat="1" ht="15" customHeight="1">
      <c r="A124" s="371"/>
      <c r="B124" s="403"/>
      <c r="C124" s="474"/>
      <c r="D124" s="955" t="s">
        <v>704</v>
      </c>
      <c r="E124" s="956"/>
      <c r="F124" s="957"/>
      <c r="G124" s="417">
        <f>SUM(G125:G131)</f>
        <v>0</v>
      </c>
      <c r="H124" s="417">
        <f>SUM(H125:H131)</f>
        <v>0</v>
      </c>
      <c r="I124" s="417">
        <f>SUM(I125:I131)</f>
        <v>0</v>
      </c>
      <c r="J124" s="417">
        <f>SUM(J125:J131)</f>
        <v>0</v>
      </c>
      <c r="K124" s="418">
        <f>SUM(K125:K131)</f>
        <v>0</v>
      </c>
      <c r="L124" s="387"/>
    </row>
    <row r="125" spans="1:12" s="413" customFormat="1" ht="13.5" customHeight="1" outlineLevel="1">
      <c r="A125" s="388"/>
      <c r="B125" s="407"/>
      <c r="C125" s="474"/>
      <c r="D125" s="408"/>
      <c r="E125" s="997" t="s">
        <v>705</v>
      </c>
      <c r="F125" s="998"/>
      <c r="G125" s="437"/>
      <c r="H125" s="410"/>
      <c r="I125" s="410"/>
      <c r="J125" s="410"/>
      <c r="K125" s="411"/>
      <c r="L125" s="412"/>
    </row>
    <row r="126" spans="1:12" s="413" customFormat="1" ht="13.5" customHeight="1" outlineLevel="1">
      <c r="B126" s="407"/>
      <c r="C126" s="474"/>
      <c r="E126" s="991" t="s">
        <v>706</v>
      </c>
      <c r="F126" s="992"/>
      <c r="G126" s="415"/>
      <c r="H126" s="415"/>
      <c r="I126" s="415"/>
      <c r="J126" s="415"/>
      <c r="K126" s="416"/>
      <c r="L126" s="412"/>
    </row>
    <row r="127" spans="1:12" s="413" customFormat="1" ht="13.5" customHeight="1" outlineLevel="1">
      <c r="B127" s="407"/>
      <c r="C127" s="474"/>
      <c r="E127" s="991" t="s">
        <v>707</v>
      </c>
      <c r="F127" s="992"/>
      <c r="G127" s="415"/>
      <c r="H127" s="415"/>
      <c r="I127" s="415"/>
      <c r="J127" s="415"/>
      <c r="K127" s="416"/>
      <c r="L127" s="412"/>
    </row>
    <row r="128" spans="1:12" s="388" customFormat="1" ht="15" customHeight="1" outlineLevel="1">
      <c r="B128" s="475"/>
      <c r="C128" s="403"/>
      <c r="E128" s="991" t="s">
        <v>708</v>
      </c>
      <c r="F128" s="992"/>
      <c r="G128" s="415"/>
      <c r="H128" s="415"/>
      <c r="I128" s="415"/>
      <c r="J128" s="415"/>
      <c r="K128" s="416"/>
      <c r="L128" s="387"/>
    </row>
    <row r="129" spans="1:12" s="413" customFormat="1" ht="13.5" customHeight="1" outlineLevel="1">
      <c r="B129" s="407"/>
      <c r="C129" s="474"/>
      <c r="E129" s="991" t="s">
        <v>709</v>
      </c>
      <c r="F129" s="992"/>
      <c r="G129" s="415"/>
      <c r="H129" s="415"/>
      <c r="I129" s="415"/>
      <c r="J129" s="415"/>
      <c r="K129" s="416"/>
      <c r="L129" s="412"/>
    </row>
    <row r="130" spans="1:12" s="413" customFormat="1" ht="13.5" customHeight="1" outlineLevel="1">
      <c r="B130" s="407"/>
      <c r="C130" s="474"/>
      <c r="E130" s="991" t="s">
        <v>710</v>
      </c>
      <c r="F130" s="992"/>
      <c r="G130" s="415"/>
      <c r="H130" s="415"/>
      <c r="I130" s="415"/>
      <c r="J130" s="415"/>
      <c r="K130" s="416"/>
      <c r="L130" s="412"/>
    </row>
    <row r="131" spans="1:12" s="388" customFormat="1" ht="15" customHeight="1" outlineLevel="1">
      <c r="B131" s="403"/>
      <c r="C131" s="474"/>
      <c r="E131" s="991" t="s">
        <v>711</v>
      </c>
      <c r="F131" s="992"/>
      <c r="G131" s="415"/>
      <c r="H131" s="415"/>
      <c r="I131" s="415"/>
      <c r="J131" s="415"/>
      <c r="K131" s="416"/>
      <c r="L131" s="387"/>
    </row>
    <row r="132" spans="1:12" s="388" customFormat="1" ht="15" customHeight="1">
      <c r="A132" s="413"/>
      <c r="B132" s="403"/>
      <c r="C132" s="474"/>
      <c r="D132" s="955" t="s">
        <v>712</v>
      </c>
      <c r="E132" s="956"/>
      <c r="F132" s="957"/>
      <c r="G132" s="415"/>
      <c r="H132" s="419"/>
      <c r="I132" s="419"/>
      <c r="J132" s="419"/>
      <c r="K132" s="420"/>
      <c r="L132" s="387"/>
    </row>
    <row r="133" spans="1:12" s="388" customFormat="1" ht="15" customHeight="1">
      <c r="B133" s="403"/>
      <c r="C133" s="474"/>
      <c r="D133" s="955" t="s">
        <v>713</v>
      </c>
      <c r="E133" s="956"/>
      <c r="F133" s="957"/>
      <c r="G133" s="417">
        <f>SUM(G134:G135)</f>
        <v>0</v>
      </c>
      <c r="H133" s="417">
        <f>SUM(H134:H135)</f>
        <v>0</v>
      </c>
      <c r="I133" s="417">
        <f>SUM(I134:I135)</f>
        <v>0</v>
      </c>
      <c r="J133" s="417">
        <f>SUM(J134:J135)</f>
        <v>0</v>
      </c>
      <c r="K133" s="418">
        <f>SUM(K134:K135)</f>
        <v>0</v>
      </c>
      <c r="L133" s="387"/>
    </row>
    <row r="134" spans="1:12" s="388" customFormat="1" ht="15" customHeight="1" outlineLevel="1">
      <c r="B134" s="403"/>
      <c r="C134" s="474"/>
      <c r="D134" s="408"/>
      <c r="E134" s="997" t="s">
        <v>714</v>
      </c>
      <c r="F134" s="998"/>
      <c r="G134" s="437"/>
      <c r="H134" s="410"/>
      <c r="I134" s="410"/>
      <c r="J134" s="410"/>
      <c r="K134" s="411"/>
      <c r="L134" s="387"/>
    </row>
    <row r="135" spans="1:12" s="388" customFormat="1" ht="15" customHeight="1" outlineLevel="1">
      <c r="B135" s="403"/>
      <c r="C135" s="474"/>
      <c r="D135" s="476"/>
      <c r="E135" s="991" t="s">
        <v>279</v>
      </c>
      <c r="F135" s="992"/>
      <c r="G135" s="415"/>
      <c r="H135" s="419"/>
      <c r="I135" s="419"/>
      <c r="J135" s="419"/>
      <c r="K135" s="420"/>
      <c r="L135" s="387"/>
    </row>
    <row r="136" spans="1:12" s="388" customFormat="1" ht="15" customHeight="1">
      <c r="B136" s="403"/>
      <c r="C136" s="474"/>
      <c r="D136" s="955" t="s">
        <v>715</v>
      </c>
      <c r="E136" s="956"/>
      <c r="F136" s="957"/>
      <c r="G136" s="419">
        <f>SUM(G137:G138)</f>
        <v>0</v>
      </c>
      <c r="H136" s="419">
        <f t="shared" ref="H136:K136" si="2">SUM(H137:H138)</f>
        <v>0</v>
      </c>
      <c r="I136" s="419">
        <f t="shared" si="2"/>
        <v>0</v>
      </c>
      <c r="J136" s="419">
        <f t="shared" si="2"/>
        <v>0</v>
      </c>
      <c r="K136" s="420">
        <f t="shared" si="2"/>
        <v>0</v>
      </c>
      <c r="L136" s="387"/>
    </row>
    <row r="137" spans="1:12" s="388" customFormat="1" ht="15" customHeight="1" outlineLevel="1">
      <c r="B137" s="403"/>
      <c r="C137" s="474"/>
      <c r="D137" s="408"/>
      <c r="E137" s="997" t="s">
        <v>716</v>
      </c>
      <c r="F137" s="998"/>
      <c r="G137" s="437"/>
      <c r="H137" s="410"/>
      <c r="I137" s="410"/>
      <c r="J137" s="410"/>
      <c r="K137" s="411"/>
      <c r="L137" s="387"/>
    </row>
    <row r="138" spans="1:12" s="413" customFormat="1" ht="13.5" customHeight="1" outlineLevel="1">
      <c r="B138" s="407"/>
      <c r="C138" s="474"/>
      <c r="E138" s="991" t="s">
        <v>279</v>
      </c>
      <c r="F138" s="992"/>
      <c r="G138" s="415"/>
      <c r="H138" s="415"/>
      <c r="I138" s="415"/>
      <c r="J138" s="415"/>
      <c r="K138" s="416"/>
      <c r="L138" s="412"/>
    </row>
    <row r="139" spans="1:12" s="388" customFormat="1" ht="15" customHeight="1" thickBot="1">
      <c r="B139" s="403"/>
      <c r="C139" s="477"/>
      <c r="D139" s="1007" t="s">
        <v>717</v>
      </c>
      <c r="E139" s="1008"/>
      <c r="F139" s="1009"/>
      <c r="G139" s="478"/>
      <c r="H139" s="421"/>
      <c r="I139" s="421"/>
      <c r="J139" s="421"/>
      <c r="K139" s="422"/>
      <c r="L139" s="387"/>
    </row>
    <row r="140" spans="1:12" ht="16.5" customHeight="1" thickBot="1">
      <c r="A140" s="388"/>
      <c r="B140" s="379"/>
      <c r="C140" s="1010" t="s">
        <v>718</v>
      </c>
      <c r="D140" s="1011"/>
      <c r="E140" s="1011"/>
      <c r="F140" s="1011"/>
      <c r="G140" s="432">
        <f>G124+G132+G133+G136+G139</f>
        <v>0</v>
      </c>
      <c r="H140" s="432">
        <f>H124+H132+H133+H136+H139</f>
        <v>0</v>
      </c>
      <c r="I140" s="432">
        <f>I124+I132+I133+I136+I139</f>
        <v>0</v>
      </c>
      <c r="J140" s="432">
        <f>SUM(J132,J133,J136,J139,J124)</f>
        <v>0</v>
      </c>
      <c r="K140" s="433">
        <f>SUM(K132:K139,K124)</f>
        <v>0</v>
      </c>
      <c r="L140" s="378"/>
    </row>
    <row r="141" spans="1:12" ht="7.5" customHeight="1">
      <c r="B141" s="379"/>
      <c r="C141" s="967"/>
      <c r="D141" s="968"/>
      <c r="E141" s="968"/>
      <c r="F141" s="968"/>
      <c r="G141" s="968"/>
      <c r="H141" s="968"/>
      <c r="I141" s="968"/>
      <c r="J141" s="968"/>
      <c r="K141" s="969"/>
      <c r="L141" s="378"/>
    </row>
    <row r="142" spans="1:12" ht="16.5" customHeight="1">
      <c r="B142" s="379"/>
      <c r="C142" s="970" t="s">
        <v>719</v>
      </c>
      <c r="D142" s="971"/>
      <c r="E142" s="971"/>
      <c r="F142" s="971"/>
      <c r="G142" s="467"/>
      <c r="H142" s="468"/>
      <c r="I142" s="468"/>
      <c r="J142" s="468"/>
      <c r="K142" s="469"/>
      <c r="L142" s="378"/>
    </row>
    <row r="143" spans="1:12" s="388" customFormat="1" ht="15" customHeight="1">
      <c r="A143" s="371"/>
      <c r="B143" s="403"/>
      <c r="C143" s="970"/>
      <c r="D143" s="955" t="s">
        <v>720</v>
      </c>
      <c r="E143" s="956"/>
      <c r="F143" s="957"/>
      <c r="G143" s="417">
        <f>SUM(G144:G150)</f>
        <v>0</v>
      </c>
      <c r="H143" s="417">
        <f>SUM(H144:H150)</f>
        <v>0</v>
      </c>
      <c r="I143" s="417">
        <f>SUM(I144:I150)</f>
        <v>0</v>
      </c>
      <c r="J143" s="417">
        <f>SUM(J144:J150)</f>
        <v>0</v>
      </c>
      <c r="K143" s="418">
        <f>SUM(K144:K150)</f>
        <v>0</v>
      </c>
      <c r="L143" s="387"/>
    </row>
    <row r="144" spans="1:12" s="413" customFormat="1" ht="13.5" customHeight="1" outlineLevel="1">
      <c r="B144" s="407"/>
      <c r="C144" s="970"/>
      <c r="D144" s="408"/>
      <c r="E144" s="997" t="s">
        <v>721</v>
      </c>
      <c r="F144" s="998"/>
      <c r="G144" s="437"/>
      <c r="H144" s="410"/>
      <c r="I144" s="410"/>
      <c r="J144" s="410"/>
      <c r="K144" s="411"/>
      <c r="L144" s="412"/>
    </row>
    <row r="145" spans="1:12" s="413" customFormat="1" ht="15" customHeight="1" outlineLevel="1">
      <c r="B145" s="479"/>
      <c r="C145" s="970"/>
      <c r="E145" s="991" t="s">
        <v>722</v>
      </c>
      <c r="F145" s="992"/>
      <c r="G145" s="438"/>
      <c r="H145" s="438"/>
      <c r="I145" s="438"/>
      <c r="J145" s="438"/>
      <c r="K145" s="480"/>
      <c r="L145" s="412"/>
    </row>
    <row r="146" spans="1:12" s="413" customFormat="1" ht="15" customHeight="1" outlineLevel="1">
      <c r="B146" s="479"/>
      <c r="C146" s="970"/>
      <c r="E146" s="991" t="s">
        <v>723</v>
      </c>
      <c r="F146" s="992"/>
      <c r="G146" s="438"/>
      <c r="H146" s="438"/>
      <c r="I146" s="438"/>
      <c r="J146" s="438"/>
      <c r="K146" s="480"/>
      <c r="L146" s="412"/>
    </row>
    <row r="147" spans="1:12" s="413" customFormat="1" ht="15" customHeight="1" outlineLevel="1">
      <c r="B147" s="479"/>
      <c r="C147" s="970"/>
      <c r="E147" s="991" t="s">
        <v>707</v>
      </c>
      <c r="F147" s="992"/>
      <c r="G147" s="438"/>
      <c r="H147" s="438"/>
      <c r="I147" s="438"/>
      <c r="J147" s="438"/>
      <c r="K147" s="480"/>
      <c r="L147" s="412"/>
    </row>
    <row r="148" spans="1:12" s="413" customFormat="1" ht="13.5" customHeight="1" outlineLevel="1">
      <c r="B148" s="407"/>
      <c r="C148" s="970"/>
      <c r="E148" s="1005" t="s">
        <v>708</v>
      </c>
      <c r="F148" s="1006"/>
      <c r="G148" s="438"/>
      <c r="H148" s="415"/>
      <c r="I148" s="415"/>
      <c r="J148" s="415"/>
      <c r="K148" s="416"/>
      <c r="L148" s="412"/>
    </row>
    <row r="149" spans="1:12" s="413" customFormat="1" ht="13.5" customHeight="1" outlineLevel="1">
      <c r="B149" s="407"/>
      <c r="C149" s="970"/>
      <c r="E149" s="991" t="s">
        <v>709</v>
      </c>
      <c r="F149" s="992"/>
      <c r="G149" s="438"/>
      <c r="H149" s="415"/>
      <c r="I149" s="415"/>
      <c r="J149" s="415"/>
      <c r="K149" s="416"/>
      <c r="L149" s="412"/>
    </row>
    <row r="150" spans="1:12" s="413" customFormat="1" ht="13.5" customHeight="1" outlineLevel="1">
      <c r="B150" s="407"/>
      <c r="C150" s="970"/>
      <c r="E150" s="991" t="s">
        <v>279</v>
      </c>
      <c r="F150" s="992"/>
      <c r="G150" s="438"/>
      <c r="H150" s="438"/>
      <c r="I150" s="415"/>
      <c r="J150" s="415"/>
      <c r="K150" s="416"/>
      <c r="L150" s="412"/>
    </row>
    <row r="151" spans="1:12" s="388" customFormat="1" ht="15" customHeight="1">
      <c r="A151" s="413"/>
      <c r="B151" s="403"/>
      <c r="C151" s="970"/>
      <c r="D151" s="955" t="s">
        <v>724</v>
      </c>
      <c r="E151" s="956"/>
      <c r="F151" s="957"/>
      <c r="G151" s="417">
        <f>SUM(G152:G155)</f>
        <v>0</v>
      </c>
      <c r="H151" s="417">
        <f>SUM(H152:H155)</f>
        <v>0</v>
      </c>
      <c r="I151" s="417">
        <f>SUM(I152:I155)</f>
        <v>0</v>
      </c>
      <c r="J151" s="417">
        <f>SUM(J152:J155)</f>
        <v>0</v>
      </c>
      <c r="K151" s="418">
        <f>SUM(K152:K155)</f>
        <v>0</v>
      </c>
      <c r="L151" s="387"/>
    </row>
    <row r="152" spans="1:12" s="413" customFormat="1" ht="15" customHeight="1" outlineLevel="1">
      <c r="B152" s="407"/>
      <c r="C152" s="970"/>
      <c r="D152" s="434"/>
      <c r="E152" s="997" t="s">
        <v>725</v>
      </c>
      <c r="F152" s="998"/>
      <c r="G152" s="437"/>
      <c r="H152" s="410"/>
      <c r="I152" s="410"/>
      <c r="J152" s="410"/>
      <c r="K152" s="411"/>
      <c r="L152" s="412"/>
    </row>
    <row r="153" spans="1:12" s="413" customFormat="1" ht="15" customHeight="1" outlineLevel="1">
      <c r="B153" s="407"/>
      <c r="C153" s="970"/>
      <c r="E153" s="1001" t="s">
        <v>726</v>
      </c>
      <c r="F153" s="1002"/>
      <c r="G153" s="415"/>
      <c r="H153" s="415"/>
      <c r="I153" s="415"/>
      <c r="J153" s="415"/>
      <c r="K153" s="416"/>
      <c r="L153" s="412"/>
    </row>
    <row r="154" spans="1:12" s="413" customFormat="1" ht="15" customHeight="1" outlineLevel="1">
      <c r="B154" s="407"/>
      <c r="C154" s="970"/>
      <c r="E154" s="1003" t="s">
        <v>716</v>
      </c>
      <c r="F154" s="1004"/>
      <c r="G154" s="415"/>
      <c r="H154" s="415"/>
      <c r="I154" s="415"/>
      <c r="J154" s="415"/>
      <c r="K154" s="416"/>
      <c r="L154" s="412"/>
    </row>
    <row r="155" spans="1:12" s="413" customFormat="1" ht="15" customHeight="1" outlineLevel="1">
      <c r="B155" s="407"/>
      <c r="C155" s="970"/>
      <c r="E155" s="1003" t="s">
        <v>279</v>
      </c>
      <c r="F155" s="1004"/>
      <c r="G155" s="415"/>
      <c r="H155" s="415"/>
      <c r="I155" s="438"/>
      <c r="J155" s="438"/>
      <c r="K155" s="416"/>
      <c r="L155" s="412"/>
    </row>
    <row r="156" spans="1:12" s="388" customFormat="1" ht="15" customHeight="1">
      <c r="B156" s="403"/>
      <c r="C156" s="970"/>
      <c r="D156" s="955" t="s">
        <v>727</v>
      </c>
      <c r="E156" s="956"/>
      <c r="F156" s="957"/>
      <c r="G156" s="419"/>
      <c r="H156" s="419"/>
      <c r="I156" s="417"/>
      <c r="J156" s="417"/>
      <c r="K156" s="420"/>
      <c r="L156" s="387"/>
    </row>
    <row r="157" spans="1:12" s="388" customFormat="1" ht="15" customHeight="1">
      <c r="B157" s="403"/>
      <c r="C157" s="970"/>
      <c r="D157" s="955" t="s">
        <v>728</v>
      </c>
      <c r="E157" s="956"/>
      <c r="F157" s="957"/>
      <c r="G157" s="417">
        <f>SUM(G158:G160)</f>
        <v>0</v>
      </c>
      <c r="H157" s="417">
        <f>SUM(H158:H160)</f>
        <v>0</v>
      </c>
      <c r="I157" s="417">
        <f>SUM(I158:I160)</f>
        <v>0</v>
      </c>
      <c r="J157" s="417">
        <f>SUM(J158:J160)</f>
        <v>0</v>
      </c>
      <c r="K157" s="418">
        <f>SUM(K158:K160)</f>
        <v>0</v>
      </c>
      <c r="L157" s="387"/>
    </row>
    <row r="158" spans="1:12" s="413" customFormat="1" ht="15" customHeight="1" outlineLevel="1">
      <c r="B158" s="407"/>
      <c r="C158" s="970"/>
      <c r="D158" s="434"/>
      <c r="E158" s="997" t="s">
        <v>808</v>
      </c>
      <c r="F158" s="998"/>
      <c r="G158" s="437"/>
      <c r="H158" s="410"/>
      <c r="I158" s="410"/>
      <c r="J158" s="410"/>
      <c r="K158" s="411"/>
      <c r="L158" s="412"/>
    </row>
    <row r="159" spans="1:12" s="413" customFormat="1" ht="15" customHeight="1" outlineLevel="1">
      <c r="B159" s="407"/>
      <c r="C159" s="970"/>
      <c r="D159" s="428"/>
      <c r="E159" s="991" t="s">
        <v>729</v>
      </c>
      <c r="F159" s="992"/>
      <c r="G159" s="438"/>
      <c r="H159" s="415"/>
      <c r="I159" s="415"/>
      <c r="J159" s="415"/>
      <c r="K159" s="416"/>
      <c r="L159" s="412"/>
    </row>
    <row r="160" spans="1:12" s="413" customFormat="1" ht="15" customHeight="1" outlineLevel="1" thickBot="1">
      <c r="B160" s="407"/>
      <c r="C160" s="988"/>
      <c r="D160" s="481"/>
      <c r="E160" s="999" t="s">
        <v>279</v>
      </c>
      <c r="F160" s="1000"/>
      <c r="G160" s="472"/>
      <c r="H160" s="430"/>
      <c r="I160" s="430"/>
      <c r="J160" s="430"/>
      <c r="K160" s="431"/>
      <c r="L160" s="412"/>
    </row>
    <row r="161" spans="1:14" ht="16.5" customHeight="1" thickBot="1">
      <c r="A161" s="388"/>
      <c r="B161" s="379"/>
      <c r="C161" s="965" t="s">
        <v>730</v>
      </c>
      <c r="D161" s="966"/>
      <c r="E161" s="966"/>
      <c r="F161" s="966" t="s">
        <v>731</v>
      </c>
      <c r="G161" s="423">
        <f>G143+G151+G156+G157</f>
        <v>0</v>
      </c>
      <c r="H161" s="423">
        <f>H143+H151+H156+H157</f>
        <v>0</v>
      </c>
      <c r="I161" s="423">
        <f>I143+I151+I156+I157</f>
        <v>0</v>
      </c>
      <c r="J161" s="423">
        <f>SUM(J143,J151,J156,J157)</f>
        <v>0</v>
      </c>
      <c r="K161" s="424">
        <f>SUM(K143,K151,K156,K157)</f>
        <v>0</v>
      </c>
      <c r="L161" s="378"/>
    </row>
    <row r="162" spans="1:14" ht="16.5" customHeight="1" thickBot="1">
      <c r="A162" s="388"/>
      <c r="B162" s="379"/>
      <c r="C162" s="961" t="s">
        <v>731</v>
      </c>
      <c r="D162" s="962"/>
      <c r="E162" s="962"/>
      <c r="F162" s="962"/>
      <c r="G162" s="482">
        <f>G118+G140+G161</f>
        <v>0</v>
      </c>
      <c r="H162" s="482">
        <f>H118+H140+H161</f>
        <v>0</v>
      </c>
      <c r="I162" s="482">
        <f>I118+I140+I161</f>
        <v>0</v>
      </c>
      <c r="J162" s="482">
        <f>J118+J140+J161</f>
        <v>0</v>
      </c>
      <c r="K162" s="483">
        <f>K118+K140+K161</f>
        <v>0</v>
      </c>
      <c r="L162" s="378"/>
    </row>
    <row r="163" spans="1:14" ht="16.5" customHeight="1" thickBot="1">
      <c r="B163" s="379"/>
      <c r="C163" s="967"/>
      <c r="D163" s="968"/>
      <c r="E163" s="968"/>
      <c r="F163" s="968"/>
      <c r="G163" s="968"/>
      <c r="H163" s="968"/>
      <c r="I163" s="968"/>
      <c r="J163" s="968"/>
      <c r="K163" s="969"/>
      <c r="L163" s="378"/>
    </row>
    <row r="164" spans="1:14" ht="18.75" thickBot="1">
      <c r="B164" s="379"/>
      <c r="C164" s="983" t="s">
        <v>732</v>
      </c>
      <c r="D164" s="984"/>
      <c r="E164" s="984"/>
      <c r="F164" s="984" t="s">
        <v>732</v>
      </c>
      <c r="G164" s="984"/>
      <c r="H164" s="984"/>
      <c r="I164" s="984"/>
      <c r="J164" s="984"/>
      <c r="K164" s="985"/>
      <c r="L164" s="378"/>
      <c r="M164" s="415"/>
      <c r="N164" s="415"/>
    </row>
    <row r="165" spans="1:14" ht="16.5" customHeight="1">
      <c r="B165" s="379"/>
      <c r="C165" s="986" t="s">
        <v>733</v>
      </c>
      <c r="D165" s="987"/>
      <c r="E165" s="987"/>
      <c r="F165" s="987"/>
      <c r="G165" s="484"/>
      <c r="H165" s="485"/>
      <c r="I165" s="485"/>
      <c r="J165" s="485"/>
      <c r="K165" s="486"/>
      <c r="L165" s="378"/>
    </row>
    <row r="166" spans="1:14" s="388" customFormat="1" ht="15" customHeight="1">
      <c r="A166" s="371"/>
      <c r="B166" s="403"/>
      <c r="C166" s="970"/>
      <c r="D166" s="955" t="s">
        <v>734</v>
      </c>
      <c r="E166" s="956"/>
      <c r="F166" s="957"/>
      <c r="G166" s="417">
        <f>G167-G171+G172-G173+G174+G175</f>
        <v>0</v>
      </c>
      <c r="H166" s="417">
        <f>H167-H171+H172-H173+H174+H175</f>
        <v>0</v>
      </c>
      <c r="I166" s="417">
        <f>I167-I171+I172-I173+I174+I175</f>
        <v>0</v>
      </c>
      <c r="J166" s="417">
        <f>J167-J171+J172-J173+J174+J175</f>
        <v>0</v>
      </c>
      <c r="K166" s="418">
        <f>K167-K171+K172-K173+K174+K175</f>
        <v>0</v>
      </c>
      <c r="L166" s="387"/>
    </row>
    <row r="167" spans="1:14" s="388" customFormat="1" ht="12.75" outlineLevel="1">
      <c r="B167" s="403"/>
      <c r="C167" s="970"/>
      <c r="D167" s="404"/>
      <c r="E167" s="989" t="s">
        <v>735</v>
      </c>
      <c r="F167" s="990"/>
      <c r="G167" s="405">
        <f>SUM(G168:G170)</f>
        <v>0</v>
      </c>
      <c r="H167" s="405">
        <f>SUM(H168:H170)</f>
        <v>0</v>
      </c>
      <c r="I167" s="405">
        <f>SUM(I168:I170)</f>
        <v>0</v>
      </c>
      <c r="J167" s="405">
        <f>SUM(J168:J170)</f>
        <v>0</v>
      </c>
      <c r="K167" s="406">
        <f>SUM(K168:K170)</f>
        <v>0</v>
      </c>
      <c r="L167" s="387"/>
    </row>
    <row r="168" spans="1:14" s="413" customFormat="1" ht="13.5" customHeight="1" outlineLevel="1">
      <c r="B168" s="407"/>
      <c r="C168" s="970"/>
      <c r="E168" s="434"/>
      <c r="F168" s="409" t="s">
        <v>736</v>
      </c>
      <c r="G168" s="437"/>
      <c r="H168" s="410"/>
      <c r="I168" s="471"/>
      <c r="J168" s="471"/>
      <c r="K168" s="411"/>
      <c r="L168" s="412"/>
    </row>
    <row r="169" spans="1:14" s="413" customFormat="1" ht="13.5" customHeight="1" outlineLevel="1">
      <c r="B169" s="407"/>
      <c r="C169" s="970"/>
      <c r="E169" s="428"/>
      <c r="F169" s="414" t="s">
        <v>737</v>
      </c>
      <c r="G169" s="415"/>
      <c r="H169" s="415"/>
      <c r="I169" s="415"/>
      <c r="J169" s="415"/>
      <c r="K169" s="416"/>
      <c r="L169" s="412"/>
    </row>
    <row r="170" spans="1:14" s="413" customFormat="1" ht="13.5" customHeight="1" outlineLevel="1">
      <c r="B170" s="407"/>
      <c r="C170" s="970"/>
      <c r="E170" s="428"/>
      <c r="F170" s="414" t="s">
        <v>638</v>
      </c>
      <c r="G170" s="415"/>
      <c r="H170" s="415"/>
      <c r="I170" s="487"/>
      <c r="J170" s="487"/>
      <c r="K170" s="416"/>
      <c r="L170" s="412"/>
    </row>
    <row r="171" spans="1:14" s="413" customFormat="1" ht="15" customHeight="1" outlineLevel="1">
      <c r="B171" s="407"/>
      <c r="C171" s="970"/>
      <c r="E171" s="991" t="s">
        <v>738</v>
      </c>
      <c r="F171" s="992"/>
      <c r="G171" s="438"/>
      <c r="H171" s="415"/>
      <c r="I171" s="415"/>
      <c r="J171" s="415"/>
      <c r="K171" s="416"/>
      <c r="L171" s="412"/>
    </row>
    <row r="172" spans="1:14" s="413" customFormat="1" ht="13.5" customHeight="1" outlineLevel="1">
      <c r="B172" s="407"/>
      <c r="C172" s="970"/>
      <c r="E172" s="991" t="s">
        <v>739</v>
      </c>
      <c r="F172" s="992"/>
      <c r="G172" s="415"/>
      <c r="H172" s="415"/>
      <c r="I172" s="415"/>
      <c r="J172" s="415"/>
      <c r="K172" s="416"/>
      <c r="L172" s="412"/>
    </row>
    <row r="173" spans="1:14" s="413" customFormat="1" ht="13.5" customHeight="1" outlineLevel="1">
      <c r="B173" s="407"/>
      <c r="C173" s="970"/>
      <c r="E173" s="991" t="s">
        <v>738</v>
      </c>
      <c r="F173" s="992"/>
      <c r="G173" s="415"/>
      <c r="H173" s="415"/>
      <c r="I173" s="415"/>
      <c r="J173" s="415"/>
      <c r="K173" s="416"/>
      <c r="L173" s="412"/>
    </row>
    <row r="174" spans="1:14" s="413" customFormat="1" ht="13.5" customHeight="1" outlineLevel="1">
      <c r="B174" s="407"/>
      <c r="C174" s="970"/>
      <c r="E174" s="991" t="s">
        <v>740</v>
      </c>
      <c r="F174" s="992"/>
      <c r="G174" s="438"/>
      <c r="H174" s="415"/>
      <c r="I174" s="415"/>
      <c r="J174" s="415"/>
      <c r="K174" s="416"/>
      <c r="L174" s="412"/>
    </row>
    <row r="175" spans="1:14" s="413" customFormat="1" ht="13.5" customHeight="1" outlineLevel="1">
      <c r="B175" s="407"/>
      <c r="C175" s="970"/>
      <c r="E175" s="991" t="s">
        <v>741</v>
      </c>
      <c r="F175" s="992"/>
      <c r="G175" s="438"/>
      <c r="H175" s="415"/>
      <c r="I175" s="415"/>
      <c r="J175" s="415"/>
      <c r="K175" s="416"/>
      <c r="L175" s="412"/>
    </row>
    <row r="176" spans="1:14" s="388" customFormat="1" ht="15" customHeight="1">
      <c r="A176" s="413"/>
      <c r="B176" s="403"/>
      <c r="C176" s="970"/>
      <c r="D176" s="955" t="s">
        <v>742</v>
      </c>
      <c r="E176" s="956"/>
      <c r="F176" s="957"/>
      <c r="G176" s="417">
        <f>SUM(G177:G180)</f>
        <v>0</v>
      </c>
      <c r="H176" s="417">
        <f>SUM(H177:H180)</f>
        <v>0</v>
      </c>
      <c r="I176" s="417">
        <f>SUM(I177:I180)</f>
        <v>0</v>
      </c>
      <c r="J176" s="417">
        <f>SUM(J177:J180)</f>
        <v>0</v>
      </c>
      <c r="K176" s="418">
        <f>SUM(K177:K180)</f>
        <v>0</v>
      </c>
      <c r="L176" s="387"/>
    </row>
    <row r="177" spans="1:12" s="413" customFormat="1" ht="13.5" customHeight="1" outlineLevel="1">
      <c r="B177" s="407"/>
      <c r="C177" s="970"/>
      <c r="D177" s="408"/>
      <c r="E177" s="973" t="s">
        <v>743</v>
      </c>
      <c r="F177" s="974"/>
      <c r="G177" s="410"/>
      <c r="H177" s="410"/>
      <c r="I177" s="410"/>
      <c r="J177" s="410"/>
      <c r="K177" s="411"/>
      <c r="L177" s="412"/>
    </row>
    <row r="178" spans="1:12" s="413" customFormat="1" ht="13.5" customHeight="1" outlineLevel="1">
      <c r="B178" s="407"/>
      <c r="C178" s="970"/>
      <c r="E178" s="975" t="s">
        <v>744</v>
      </c>
      <c r="F178" s="976"/>
      <c r="G178" s="415"/>
      <c r="H178" s="415"/>
      <c r="I178" s="415"/>
      <c r="J178" s="415"/>
      <c r="K178" s="416"/>
      <c r="L178" s="412"/>
    </row>
    <row r="179" spans="1:12" s="413" customFormat="1" ht="13.5" customHeight="1" outlineLevel="1">
      <c r="B179" s="407"/>
      <c r="C179" s="970"/>
      <c r="E179" s="975" t="s">
        <v>745</v>
      </c>
      <c r="F179" s="976"/>
      <c r="G179" s="415"/>
      <c r="H179" s="415"/>
      <c r="I179" s="415"/>
      <c r="J179" s="415"/>
      <c r="K179" s="416"/>
      <c r="L179" s="412"/>
    </row>
    <row r="180" spans="1:12" s="413" customFormat="1" ht="13.5" customHeight="1" outlineLevel="1">
      <c r="B180" s="407"/>
      <c r="C180" s="970"/>
      <c r="E180" s="975" t="s">
        <v>746</v>
      </c>
      <c r="F180" s="976"/>
      <c r="G180" s="415"/>
      <c r="H180" s="415"/>
      <c r="I180" s="415"/>
      <c r="J180" s="415"/>
      <c r="K180" s="416"/>
      <c r="L180" s="412"/>
    </row>
    <row r="181" spans="1:12" s="388" customFormat="1" ht="15" customHeight="1">
      <c r="A181" s="413"/>
      <c r="B181" s="403"/>
      <c r="C181" s="970"/>
      <c r="D181" s="955" t="s">
        <v>747</v>
      </c>
      <c r="E181" s="956"/>
      <c r="F181" s="957"/>
      <c r="G181" s="417">
        <f>SUM(G182,G186)</f>
        <v>0</v>
      </c>
      <c r="H181" s="417">
        <f>SUM(H182,H186)</f>
        <v>0</v>
      </c>
      <c r="I181" s="417">
        <f>SUM(I182,I186)</f>
        <v>0</v>
      </c>
      <c r="J181" s="417">
        <f>SUM(J182,J186)</f>
        <v>0</v>
      </c>
      <c r="K181" s="418">
        <f>SUM(K182,K186)</f>
        <v>0</v>
      </c>
      <c r="L181" s="387"/>
    </row>
    <row r="182" spans="1:12" s="413" customFormat="1" ht="13.5" customHeight="1" outlineLevel="1">
      <c r="B182" s="407"/>
      <c r="C182" s="970"/>
      <c r="D182" s="408"/>
      <c r="E182" s="951" t="s">
        <v>716</v>
      </c>
      <c r="F182" s="952"/>
      <c r="G182" s="488">
        <f>SUM(G183:G185)</f>
        <v>0</v>
      </c>
      <c r="H182" s="488">
        <f>SUM(H183:H185)</f>
        <v>0</v>
      </c>
      <c r="I182" s="488">
        <f>SUM(I183:I185)</f>
        <v>0</v>
      </c>
      <c r="J182" s="488">
        <f>SUM(J183:J185)</f>
        <v>0</v>
      </c>
      <c r="K182" s="489">
        <f>SUM(K183:K185)</f>
        <v>0</v>
      </c>
      <c r="L182" s="412"/>
    </row>
    <row r="183" spans="1:12" s="413" customFormat="1" ht="13.5" customHeight="1" outlineLevel="1">
      <c r="B183" s="407"/>
      <c r="C183" s="970"/>
      <c r="E183" s="490"/>
      <c r="F183" s="491" t="s">
        <v>748</v>
      </c>
      <c r="G183" s="488"/>
      <c r="H183" s="488"/>
      <c r="I183" s="488"/>
      <c r="J183" s="488"/>
      <c r="K183" s="489"/>
      <c r="L183" s="412"/>
    </row>
    <row r="184" spans="1:12" s="413" customFormat="1" ht="13.5" customHeight="1" outlineLevel="1">
      <c r="B184" s="407"/>
      <c r="C184" s="970"/>
      <c r="E184" s="492"/>
      <c r="F184" s="493" t="s">
        <v>749</v>
      </c>
      <c r="G184" s="494"/>
      <c r="H184" s="494"/>
      <c r="I184" s="494"/>
      <c r="J184" s="494"/>
      <c r="K184" s="495"/>
      <c r="L184" s="412"/>
    </row>
    <row r="185" spans="1:12" s="413" customFormat="1" ht="13.5" customHeight="1" outlineLevel="1">
      <c r="B185" s="407"/>
      <c r="C185" s="970"/>
      <c r="E185" s="492"/>
      <c r="F185" s="493" t="s">
        <v>750</v>
      </c>
      <c r="G185" s="494"/>
      <c r="H185" s="494"/>
      <c r="I185" s="494"/>
      <c r="J185" s="494"/>
      <c r="K185" s="495"/>
      <c r="L185" s="412"/>
    </row>
    <row r="186" spans="1:12" s="413" customFormat="1" ht="13.5" customHeight="1" outlineLevel="1">
      <c r="B186" s="407"/>
      <c r="C186" s="970"/>
      <c r="E186" s="953" t="s">
        <v>279</v>
      </c>
      <c r="F186" s="954"/>
      <c r="G186" s="415"/>
      <c r="H186" s="415"/>
      <c r="I186" s="415"/>
      <c r="J186" s="415"/>
      <c r="K186" s="416"/>
      <c r="L186" s="412"/>
    </row>
    <row r="187" spans="1:12" s="388" customFormat="1" ht="15" customHeight="1">
      <c r="A187" s="413"/>
      <c r="B187" s="403"/>
      <c r="C187" s="970"/>
      <c r="D187" s="955" t="s">
        <v>45</v>
      </c>
      <c r="E187" s="956"/>
      <c r="F187" s="957"/>
      <c r="G187" s="496"/>
      <c r="H187" s="496"/>
      <c r="I187" s="496"/>
      <c r="J187" s="496"/>
      <c r="K187" s="497"/>
      <c r="L187" s="387"/>
    </row>
    <row r="188" spans="1:12" s="388" customFormat="1" ht="15" customHeight="1">
      <c r="A188" s="413"/>
      <c r="B188" s="403"/>
      <c r="C188" s="970"/>
      <c r="D188" s="955" t="s">
        <v>751</v>
      </c>
      <c r="E188" s="956"/>
      <c r="F188" s="957"/>
      <c r="G188" s="496">
        <f>SUM(G189:G191)</f>
        <v>0</v>
      </c>
      <c r="H188" s="496">
        <f>SUM(H189:H191)</f>
        <v>0</v>
      </c>
      <c r="I188" s="496">
        <f>SUM(I189:I191)</f>
        <v>0</v>
      </c>
      <c r="J188" s="496">
        <f>SUM(J189:J191)</f>
        <v>0</v>
      </c>
      <c r="K188" s="497">
        <f>SUM(K189:K191)</f>
        <v>0</v>
      </c>
      <c r="L188" s="387"/>
    </row>
    <row r="189" spans="1:12" s="413" customFormat="1" ht="15" customHeight="1" outlineLevel="1">
      <c r="B189" s="407"/>
      <c r="C189" s="970"/>
      <c r="D189" s="490"/>
      <c r="E189" s="993" t="s">
        <v>752</v>
      </c>
      <c r="F189" s="994"/>
      <c r="G189" s="498"/>
      <c r="H189" s="498"/>
      <c r="I189" s="498"/>
      <c r="J189" s="498"/>
      <c r="K189" s="499"/>
      <c r="L189" s="412"/>
    </row>
    <row r="190" spans="1:12" s="413" customFormat="1" ht="15" customHeight="1" outlineLevel="1">
      <c r="B190" s="407"/>
      <c r="C190" s="970"/>
      <c r="D190" s="492"/>
      <c r="E190" s="977" t="s">
        <v>753</v>
      </c>
      <c r="F190" s="978"/>
      <c r="G190" s="500"/>
      <c r="H190" s="500"/>
      <c r="I190" s="500"/>
      <c r="J190" s="500"/>
      <c r="K190" s="501"/>
      <c r="L190" s="412"/>
    </row>
    <row r="191" spans="1:12" s="413" customFormat="1" ht="15" customHeight="1" outlineLevel="1" thickBot="1">
      <c r="B191" s="407"/>
      <c r="C191" s="988"/>
      <c r="D191" s="502"/>
      <c r="E191" s="995" t="s">
        <v>279</v>
      </c>
      <c r="F191" s="996"/>
      <c r="G191" s="503"/>
      <c r="H191" s="504"/>
      <c r="I191" s="504"/>
      <c r="J191" s="504"/>
      <c r="K191" s="422"/>
      <c r="L191" s="412"/>
    </row>
    <row r="192" spans="1:12" ht="16.5" customHeight="1" thickBot="1">
      <c r="A192" s="388"/>
      <c r="B192" s="379"/>
      <c r="C192" s="965" t="s">
        <v>754</v>
      </c>
      <c r="D192" s="966"/>
      <c r="E192" s="966"/>
      <c r="F192" s="966" t="s">
        <v>755</v>
      </c>
      <c r="G192" s="423">
        <f>SUM(G166,G176,G181,G187,G188)</f>
        <v>0</v>
      </c>
      <c r="H192" s="423">
        <f>SUM(H166,H176,H181,H187,H188)</f>
        <v>0</v>
      </c>
      <c r="I192" s="423">
        <f>SUM(I166,I176,I181,I187,I188)</f>
        <v>0</v>
      </c>
      <c r="J192" s="423">
        <f>SUM(J166,J176,J181,J187,J188)</f>
        <v>0</v>
      </c>
      <c r="K192" s="424">
        <f>SUM(K166,K176,K181,K187,K188)</f>
        <v>0</v>
      </c>
      <c r="L192" s="378"/>
    </row>
    <row r="193" spans="1:12" ht="7.5" customHeight="1">
      <c r="B193" s="379"/>
      <c r="C193" s="967"/>
      <c r="D193" s="968"/>
      <c r="E193" s="968"/>
      <c r="F193" s="968"/>
      <c r="G193" s="968"/>
      <c r="H193" s="968"/>
      <c r="I193" s="968"/>
      <c r="J193" s="968"/>
      <c r="K193" s="969"/>
      <c r="L193" s="378"/>
    </row>
    <row r="194" spans="1:12" ht="16.5" customHeight="1">
      <c r="B194" s="379"/>
      <c r="C194" s="970" t="s">
        <v>44</v>
      </c>
      <c r="D194" s="971"/>
      <c r="E194" s="971"/>
      <c r="F194" s="971"/>
      <c r="G194" s="467"/>
      <c r="H194" s="468"/>
      <c r="I194" s="468"/>
      <c r="J194" s="468"/>
      <c r="K194" s="469"/>
      <c r="L194" s="378"/>
    </row>
    <row r="195" spans="1:12" s="388" customFormat="1" ht="15" customHeight="1">
      <c r="A195" s="371"/>
      <c r="B195" s="403"/>
      <c r="C195" s="933"/>
      <c r="D195" s="955" t="s">
        <v>756</v>
      </c>
      <c r="E195" s="956"/>
      <c r="F195" s="957"/>
      <c r="G195" s="417">
        <f>SUM(G196,G199,G200,G201)</f>
        <v>0</v>
      </c>
      <c r="H195" s="417">
        <f t="shared" ref="H195:K195" si="3">SUM(H196,H199,H200,H201)</f>
        <v>0</v>
      </c>
      <c r="I195" s="417">
        <f t="shared" si="3"/>
        <v>0</v>
      </c>
      <c r="J195" s="417">
        <f t="shared" si="3"/>
        <v>0</v>
      </c>
      <c r="K195" s="418">
        <f t="shared" si="3"/>
        <v>0</v>
      </c>
      <c r="L195" s="387"/>
    </row>
    <row r="196" spans="1:12" s="413" customFormat="1" ht="13.5" customHeight="1" outlineLevel="1">
      <c r="B196" s="407"/>
      <c r="C196" s="933"/>
      <c r="D196" s="408"/>
      <c r="E196" s="973" t="s">
        <v>743</v>
      </c>
      <c r="F196" s="974"/>
      <c r="G196" s="410">
        <f>SUM(G197:G198)</f>
        <v>0</v>
      </c>
      <c r="H196" s="410">
        <f>SUM(H197:H198)</f>
        <v>0</v>
      </c>
      <c r="I196" s="410">
        <f>SUM(I197:I198)</f>
        <v>0</v>
      </c>
      <c r="J196" s="410">
        <f>SUM(J197:J198)</f>
        <v>0</v>
      </c>
      <c r="K196" s="411">
        <f>SUM(K197:K198)</f>
        <v>0</v>
      </c>
      <c r="L196" s="412"/>
    </row>
    <row r="197" spans="1:12" s="413" customFormat="1" ht="13.5" customHeight="1" outlineLevel="2">
      <c r="B197" s="407"/>
      <c r="C197" s="933"/>
      <c r="E197" s="505"/>
      <c r="F197" s="506" t="s">
        <v>757</v>
      </c>
      <c r="G197" s="410"/>
      <c r="H197" s="410"/>
      <c r="I197" s="410"/>
      <c r="J197" s="410"/>
      <c r="K197" s="411"/>
      <c r="L197" s="412"/>
    </row>
    <row r="198" spans="1:12" s="413" customFormat="1" ht="13.5" customHeight="1" outlineLevel="2">
      <c r="B198" s="407"/>
      <c r="C198" s="933"/>
      <c r="E198" s="507"/>
      <c r="F198" s="508" t="s">
        <v>758</v>
      </c>
      <c r="G198" s="415"/>
      <c r="H198" s="415"/>
      <c r="I198" s="415"/>
      <c r="J198" s="415"/>
      <c r="K198" s="416"/>
      <c r="L198" s="412"/>
    </row>
    <row r="199" spans="1:12" s="413" customFormat="1" ht="13.5" customHeight="1" outlineLevel="1">
      <c r="B199" s="407"/>
      <c r="C199" s="933"/>
      <c r="E199" s="975" t="s">
        <v>744</v>
      </c>
      <c r="F199" s="976"/>
      <c r="G199" s="415"/>
      <c r="H199" s="415"/>
      <c r="I199" s="415"/>
      <c r="J199" s="415"/>
      <c r="K199" s="416"/>
      <c r="L199" s="412"/>
    </row>
    <row r="200" spans="1:12" s="413" customFormat="1" ht="13.5" customHeight="1" outlineLevel="1">
      <c r="B200" s="407"/>
      <c r="C200" s="933"/>
      <c r="E200" s="975" t="s">
        <v>745</v>
      </c>
      <c r="F200" s="976"/>
      <c r="G200" s="415"/>
      <c r="H200" s="415"/>
      <c r="I200" s="415"/>
      <c r="J200" s="415"/>
      <c r="K200" s="416"/>
      <c r="L200" s="412"/>
    </row>
    <row r="201" spans="1:12" s="413" customFormat="1" ht="13.5" customHeight="1" outlineLevel="1">
      <c r="B201" s="407"/>
      <c r="C201" s="933"/>
      <c r="E201" s="975" t="s">
        <v>746</v>
      </c>
      <c r="F201" s="976"/>
      <c r="G201" s="415"/>
      <c r="H201" s="415"/>
      <c r="I201" s="415"/>
      <c r="J201" s="415"/>
      <c r="K201" s="416"/>
      <c r="L201" s="412"/>
    </row>
    <row r="202" spans="1:12" s="388" customFormat="1" ht="15" customHeight="1">
      <c r="A202" s="413"/>
      <c r="B202" s="403"/>
      <c r="C202" s="933"/>
      <c r="D202" s="955" t="s">
        <v>759</v>
      </c>
      <c r="E202" s="956"/>
      <c r="F202" s="957"/>
      <c r="G202" s="496">
        <f>SUM(G203:G206)</f>
        <v>0</v>
      </c>
      <c r="H202" s="496">
        <f>SUM(H203:H206)</f>
        <v>0</v>
      </c>
      <c r="I202" s="496">
        <f>SUM(I203:I206)</f>
        <v>0</v>
      </c>
      <c r="J202" s="496">
        <f>SUM(J203:J206)</f>
        <v>0</v>
      </c>
      <c r="K202" s="497">
        <f>SUM(K203:K206)</f>
        <v>0</v>
      </c>
      <c r="L202" s="387"/>
    </row>
    <row r="203" spans="1:12" s="413" customFormat="1" ht="15" customHeight="1" outlineLevel="1">
      <c r="B203" s="407"/>
      <c r="C203" s="933"/>
      <c r="D203" s="490"/>
      <c r="E203" s="979" t="s">
        <v>760</v>
      </c>
      <c r="F203" s="980"/>
      <c r="G203" s="498"/>
      <c r="H203" s="498"/>
      <c r="I203" s="498"/>
      <c r="J203" s="498"/>
      <c r="K203" s="499"/>
      <c r="L203" s="412"/>
    </row>
    <row r="204" spans="1:12" s="413" customFormat="1" ht="15" customHeight="1" outlineLevel="1">
      <c r="B204" s="407"/>
      <c r="C204" s="933"/>
      <c r="D204" s="492"/>
      <c r="E204" s="981" t="s">
        <v>761</v>
      </c>
      <c r="F204" s="982"/>
      <c r="G204" s="500"/>
      <c r="H204" s="500"/>
      <c r="I204" s="500"/>
      <c r="J204" s="500"/>
      <c r="K204" s="501"/>
      <c r="L204" s="412"/>
    </row>
    <row r="205" spans="1:12" s="413" customFormat="1" ht="15" customHeight="1" outlineLevel="1">
      <c r="B205" s="407"/>
      <c r="C205" s="933"/>
      <c r="D205" s="492"/>
      <c r="E205" s="981" t="s">
        <v>762</v>
      </c>
      <c r="F205" s="982"/>
      <c r="G205" s="500"/>
      <c r="H205" s="500"/>
      <c r="I205" s="500"/>
      <c r="J205" s="500"/>
      <c r="K205" s="501"/>
      <c r="L205" s="412"/>
    </row>
    <row r="206" spans="1:12" s="413" customFormat="1" ht="15" customHeight="1" outlineLevel="1">
      <c r="B206" s="407"/>
      <c r="C206" s="933"/>
      <c r="D206" s="492"/>
      <c r="E206" s="981" t="s">
        <v>763</v>
      </c>
      <c r="F206" s="982"/>
      <c r="G206" s="500"/>
      <c r="H206" s="500"/>
      <c r="I206" s="500"/>
      <c r="J206" s="500"/>
      <c r="K206" s="501"/>
      <c r="L206" s="412"/>
    </row>
    <row r="207" spans="1:12" s="388" customFormat="1" ht="15" customHeight="1">
      <c r="B207" s="403"/>
      <c r="C207" s="933"/>
      <c r="D207" s="955" t="s">
        <v>764</v>
      </c>
      <c r="E207" s="956"/>
      <c r="F207" s="957"/>
      <c r="G207" s="417">
        <f>SUM(G208:G210)-G211</f>
        <v>0</v>
      </c>
      <c r="H207" s="417">
        <f t="shared" ref="H207:K207" si="4">SUM(H208:H210)-H211</f>
        <v>0</v>
      </c>
      <c r="I207" s="417">
        <f t="shared" si="4"/>
        <v>0</v>
      </c>
      <c r="J207" s="417">
        <f t="shared" si="4"/>
        <v>0</v>
      </c>
      <c r="K207" s="418">
        <f t="shared" si="4"/>
        <v>0</v>
      </c>
      <c r="L207" s="387"/>
    </row>
    <row r="208" spans="1:12" s="413" customFormat="1" ht="13.5" customHeight="1" outlineLevel="1">
      <c r="B208" s="407"/>
      <c r="C208" s="933"/>
      <c r="D208" s="408"/>
      <c r="E208" s="951" t="s">
        <v>765</v>
      </c>
      <c r="F208" s="952"/>
      <c r="G208" s="498"/>
      <c r="H208" s="498"/>
      <c r="I208" s="498"/>
      <c r="J208" s="498"/>
      <c r="K208" s="499"/>
      <c r="L208" s="412"/>
    </row>
    <row r="209" spans="1:12" s="413" customFormat="1" ht="13.5" customHeight="1" outlineLevel="1">
      <c r="B209" s="407"/>
      <c r="C209" s="933"/>
      <c r="E209" s="953" t="s">
        <v>766</v>
      </c>
      <c r="F209" s="954"/>
      <c r="G209" s="500"/>
      <c r="H209" s="500"/>
      <c r="I209" s="500"/>
      <c r="J209" s="500"/>
      <c r="K209" s="501"/>
      <c r="L209" s="412"/>
    </row>
    <row r="210" spans="1:12" s="413" customFormat="1" ht="13.5" hidden="1" customHeight="1" outlineLevel="1">
      <c r="B210" s="407"/>
      <c r="C210" s="933"/>
      <c r="E210" s="953" t="s">
        <v>716</v>
      </c>
      <c r="F210" s="954"/>
      <c r="G210" s="500"/>
      <c r="H210" s="500"/>
      <c r="I210" s="500"/>
      <c r="J210" s="500"/>
      <c r="K210" s="501"/>
      <c r="L210" s="412"/>
    </row>
    <row r="211" spans="1:12" s="413" customFormat="1" ht="13.5" hidden="1" customHeight="1" outlineLevel="1">
      <c r="B211" s="407"/>
      <c r="C211" s="933"/>
      <c r="E211" s="977" t="s">
        <v>767</v>
      </c>
      <c r="F211" s="978"/>
      <c r="G211" s="500"/>
      <c r="H211" s="500"/>
      <c r="I211" s="500"/>
      <c r="J211" s="500"/>
      <c r="K211" s="501"/>
      <c r="L211" s="412"/>
    </row>
    <row r="212" spans="1:12" s="388" customFormat="1" ht="15" customHeight="1">
      <c r="A212" s="413"/>
      <c r="B212" s="403"/>
      <c r="C212" s="933"/>
      <c r="D212" s="955" t="s">
        <v>768</v>
      </c>
      <c r="E212" s="956"/>
      <c r="F212" s="957"/>
      <c r="G212" s="496"/>
      <c r="H212" s="496"/>
      <c r="I212" s="496"/>
      <c r="J212" s="496"/>
      <c r="K212" s="497"/>
      <c r="L212" s="387"/>
    </row>
    <row r="213" spans="1:12" s="388" customFormat="1" ht="15" customHeight="1">
      <c r="B213" s="403"/>
      <c r="C213" s="933"/>
      <c r="D213" s="955" t="s">
        <v>769</v>
      </c>
      <c r="E213" s="956"/>
      <c r="F213" s="957"/>
      <c r="G213" s="417">
        <f>SUM(G214,G218)</f>
        <v>0</v>
      </c>
      <c r="H213" s="417">
        <f>SUM(H214,H218)</f>
        <v>0</v>
      </c>
      <c r="I213" s="417">
        <f>SUM(I214,I218)</f>
        <v>0</v>
      </c>
      <c r="J213" s="417">
        <f>SUM(J214,J218)</f>
        <v>0</v>
      </c>
      <c r="K213" s="418">
        <f>SUM(K214,K218)</f>
        <v>0</v>
      </c>
      <c r="L213" s="387"/>
    </row>
    <row r="214" spans="1:12" s="413" customFormat="1" ht="13.5" customHeight="1" outlineLevel="1">
      <c r="A214" s="388"/>
      <c r="B214" s="407"/>
      <c r="C214" s="933"/>
      <c r="D214" s="408"/>
      <c r="E214" s="951" t="s">
        <v>716</v>
      </c>
      <c r="F214" s="952"/>
      <c r="G214" s="509">
        <f>SUM(G215:G217)</f>
        <v>0</v>
      </c>
      <c r="H214" s="509">
        <f>SUM(H215:H217)</f>
        <v>0</v>
      </c>
      <c r="I214" s="509">
        <f>SUM(I215:I217)</f>
        <v>0</v>
      </c>
      <c r="J214" s="509">
        <f>SUM(J215:J217)</f>
        <v>0</v>
      </c>
      <c r="K214" s="510">
        <f>SUM(K215:K217)</f>
        <v>0</v>
      </c>
      <c r="L214" s="412"/>
    </row>
    <row r="215" spans="1:12" s="413" customFormat="1" ht="13.5" customHeight="1" outlineLevel="1">
      <c r="A215" s="388"/>
      <c r="B215" s="407"/>
      <c r="C215" s="933"/>
      <c r="E215" s="490"/>
      <c r="F215" s="491" t="s">
        <v>748</v>
      </c>
      <c r="G215" s="509"/>
      <c r="H215" s="509"/>
      <c r="I215" s="509"/>
      <c r="J215" s="509"/>
      <c r="K215" s="510"/>
      <c r="L215" s="412"/>
    </row>
    <row r="216" spans="1:12" s="413" customFormat="1" ht="13.5" customHeight="1" outlineLevel="1">
      <c r="A216" s="388"/>
      <c r="B216" s="407"/>
      <c r="C216" s="933"/>
      <c r="E216" s="492"/>
      <c r="F216" s="493" t="s">
        <v>749</v>
      </c>
      <c r="G216" s="511"/>
      <c r="H216" s="511"/>
      <c r="I216" s="511"/>
      <c r="J216" s="511"/>
      <c r="K216" s="512"/>
      <c r="L216" s="412"/>
    </row>
    <row r="217" spans="1:12" s="413" customFormat="1" ht="13.5" customHeight="1" outlineLevel="1">
      <c r="A217" s="388"/>
      <c r="B217" s="407"/>
      <c r="C217" s="933"/>
      <c r="E217" s="492"/>
      <c r="F217" s="493" t="s">
        <v>750</v>
      </c>
      <c r="G217" s="511"/>
      <c r="H217" s="511"/>
      <c r="I217" s="511"/>
      <c r="J217" s="511"/>
      <c r="K217" s="512"/>
      <c r="L217" s="412"/>
    </row>
    <row r="218" spans="1:12" s="413" customFormat="1" ht="13.5" customHeight="1" outlineLevel="1">
      <c r="B218" s="407"/>
      <c r="C218" s="933"/>
      <c r="E218" s="953" t="s">
        <v>279</v>
      </c>
      <c r="F218" s="954"/>
      <c r="G218" s="415"/>
      <c r="H218" s="415"/>
      <c r="I218" s="415"/>
      <c r="J218" s="415"/>
      <c r="K218" s="416"/>
      <c r="L218" s="412"/>
    </row>
    <row r="219" spans="1:12" s="388" customFormat="1" ht="15" customHeight="1" thickBot="1">
      <c r="A219" s="413"/>
      <c r="B219" s="403"/>
      <c r="C219" s="972"/>
      <c r="D219" s="955" t="s">
        <v>770</v>
      </c>
      <c r="E219" s="956"/>
      <c r="F219" s="957"/>
      <c r="G219" s="504"/>
      <c r="H219" s="504"/>
      <c r="I219" s="504"/>
      <c r="J219" s="504"/>
      <c r="K219" s="513"/>
      <c r="L219" s="387"/>
    </row>
    <row r="220" spans="1:12" ht="16.5" customHeight="1" thickBot="1">
      <c r="A220" s="388"/>
      <c r="B220" s="379"/>
      <c r="C220" s="958" t="s">
        <v>771</v>
      </c>
      <c r="D220" s="959"/>
      <c r="E220" s="959"/>
      <c r="F220" s="960" t="s">
        <v>755</v>
      </c>
      <c r="G220" s="423">
        <f>SUM(G195,G202,G207,G212:G213,G219)</f>
        <v>0</v>
      </c>
      <c r="H220" s="423">
        <f>SUM(H195,H202,H207,H212:H213,H219)</f>
        <v>0</v>
      </c>
      <c r="I220" s="423">
        <f>SUM(I195,I202,I207,I212:I213,I219)</f>
        <v>0</v>
      </c>
      <c r="J220" s="423">
        <f>SUM(J195,J202,J207,J212:J213,J219)</f>
        <v>0</v>
      </c>
      <c r="K220" s="424">
        <f>SUM(K195,K202,K207,K212:K213,K219)</f>
        <v>0</v>
      </c>
      <c r="L220" s="378"/>
    </row>
    <row r="221" spans="1:12" ht="16.5" customHeight="1" thickBot="1">
      <c r="A221" s="388"/>
      <c r="B221" s="379"/>
      <c r="C221" s="961" t="s">
        <v>772</v>
      </c>
      <c r="D221" s="962"/>
      <c r="E221" s="962"/>
      <c r="F221" s="962" t="s">
        <v>772</v>
      </c>
      <c r="G221" s="482">
        <f>SUM(G192,G220)</f>
        <v>0</v>
      </c>
      <c r="H221" s="482">
        <f>SUM(H192,H220)</f>
        <v>0</v>
      </c>
      <c r="I221" s="482">
        <f>SUM(I192,I220)</f>
        <v>0</v>
      </c>
      <c r="J221" s="482">
        <f>SUM(J192,J220)</f>
        <v>0</v>
      </c>
      <c r="K221" s="483">
        <f>SUM(K192,K220)</f>
        <v>0</v>
      </c>
      <c r="L221" s="378"/>
    </row>
    <row r="222" spans="1:12" ht="13.5" customHeight="1">
      <c r="B222" s="379"/>
      <c r="F222" s="514"/>
      <c r="G222" s="515"/>
      <c r="H222" s="516"/>
      <c r="I222" s="516"/>
      <c r="J222" s="516"/>
      <c r="K222" s="516"/>
      <c r="L222" s="378"/>
    </row>
    <row r="223" spans="1:12" s="413" customFormat="1" ht="15" customHeight="1">
      <c r="B223" s="407"/>
      <c r="C223" s="963" t="s">
        <v>773</v>
      </c>
      <c r="D223" s="964"/>
      <c r="E223" s="964"/>
      <c r="F223" s="964"/>
      <c r="G223" s="517">
        <f>G162-G221</f>
        <v>0</v>
      </c>
      <c r="H223" s="517">
        <f>H162-H221</f>
        <v>0</v>
      </c>
      <c r="I223" s="517">
        <f>I162-I221</f>
        <v>0</v>
      </c>
      <c r="J223" s="517">
        <f>J162-J221</f>
        <v>0</v>
      </c>
      <c r="K223" s="518">
        <f>K162-K221</f>
        <v>0</v>
      </c>
      <c r="L223" s="412"/>
    </row>
    <row r="224" spans="1:12" s="473" customFormat="1" ht="13.5" customHeight="1" thickBot="1">
      <c r="A224" s="388"/>
      <c r="B224" s="379"/>
      <c r="C224" s="371"/>
      <c r="D224" s="371"/>
      <c r="E224" s="371"/>
      <c r="F224" s="519"/>
      <c r="G224" s="520"/>
      <c r="H224" s="521"/>
      <c r="I224" s="521"/>
      <c r="J224" s="521"/>
      <c r="K224" s="521"/>
      <c r="L224" s="378"/>
    </row>
    <row r="225" spans="1:12" s="473" customFormat="1" ht="20.25" thickBot="1">
      <c r="A225" s="371"/>
      <c r="B225" s="379"/>
      <c r="C225" s="942" t="s">
        <v>774</v>
      </c>
      <c r="D225" s="943"/>
      <c r="E225" s="943"/>
      <c r="F225" s="943"/>
      <c r="G225" s="943"/>
      <c r="H225" s="943"/>
      <c r="I225" s="943"/>
      <c r="J225" s="943"/>
      <c r="K225" s="944"/>
      <c r="L225" s="378"/>
    </row>
    <row r="226" spans="1:12" s="473" customFormat="1" ht="16.5" customHeight="1" thickBot="1">
      <c r="A226" s="371"/>
      <c r="B226" s="379"/>
      <c r="C226" s="945" t="s">
        <v>611</v>
      </c>
      <c r="D226" s="946"/>
      <c r="E226" s="946"/>
      <c r="F226" s="947" t="s">
        <v>685</v>
      </c>
      <c r="G226" s="465" t="str">
        <f>G5</f>
        <v>-</v>
      </c>
      <c r="H226" s="465" t="str">
        <f>H5</f>
        <v>-</v>
      </c>
      <c r="I226" s="465" t="str">
        <f>I5</f>
        <v>-</v>
      </c>
      <c r="J226" s="465" t="str">
        <f>J5</f>
        <v>-</v>
      </c>
      <c r="K226" s="466" t="str">
        <f>K5</f>
        <v>-</v>
      </c>
      <c r="L226" s="378"/>
    </row>
    <row r="227" spans="1:12" s="524" customFormat="1" ht="16.5">
      <c r="A227" s="371"/>
      <c r="B227" s="522"/>
      <c r="C227" s="936" t="s">
        <v>775</v>
      </c>
      <c r="D227" s="937"/>
      <c r="E227" s="937"/>
      <c r="F227" s="937"/>
      <c r="G227" s="937"/>
      <c r="H227" s="937"/>
      <c r="I227" s="937"/>
      <c r="J227" s="937"/>
      <c r="K227" s="938"/>
      <c r="L227" s="523"/>
    </row>
    <row r="228" spans="1:12" s="473" customFormat="1" ht="15" customHeight="1">
      <c r="A228" s="525"/>
      <c r="B228" s="403"/>
      <c r="C228" s="948" t="s">
        <v>776</v>
      </c>
      <c r="D228" s="949"/>
      <c r="E228" s="949"/>
      <c r="F228" s="950"/>
      <c r="G228" s="526"/>
      <c r="H228" s="527" t="str">
        <f>IFERROR((H22-G22)/G22,"-")</f>
        <v>-</v>
      </c>
      <c r="I228" s="527" t="str">
        <f>IFERROR((I22-H22)/H22,"-")</f>
        <v>-</v>
      </c>
      <c r="J228" s="527" t="str">
        <f>IFERROR((J22-I22)/I22,"-")</f>
        <v>-</v>
      </c>
      <c r="K228" s="528" t="str">
        <f>IFERROR((K22-J22)/J22,"-")</f>
        <v>-</v>
      </c>
      <c r="L228" s="387"/>
    </row>
    <row r="229" spans="1:12" s="473" customFormat="1" ht="15" customHeight="1">
      <c r="A229" s="388"/>
      <c r="B229" s="403"/>
      <c r="C229" s="948" t="s">
        <v>777</v>
      </c>
      <c r="D229" s="949"/>
      <c r="E229" s="949"/>
      <c r="F229" s="950"/>
      <c r="G229" s="526"/>
      <c r="H229" s="527" t="str">
        <f>IFERROR(H54/G54-1,"-")</f>
        <v>-</v>
      </c>
      <c r="I229" s="527" t="str">
        <f>IFERROR(I54/H54-1,"-")</f>
        <v>-</v>
      </c>
      <c r="J229" s="527" t="str">
        <f>IFERROR(J54/I54-1,"-")</f>
        <v>-</v>
      </c>
      <c r="K229" s="528" t="str">
        <f>IFERROR(K54/J54-1,"-")</f>
        <v>-</v>
      </c>
      <c r="L229" s="387"/>
    </row>
    <row r="230" spans="1:12" s="473" customFormat="1" ht="15" customHeight="1">
      <c r="A230" s="388"/>
      <c r="B230" s="403"/>
      <c r="C230" s="948" t="s">
        <v>778</v>
      </c>
      <c r="D230" s="949"/>
      <c r="E230" s="949"/>
      <c r="F230" s="950"/>
      <c r="G230" s="526"/>
      <c r="H230" s="527" t="str">
        <f>IFERROR((H91-G91)/G91,"-")</f>
        <v>-</v>
      </c>
      <c r="I230" s="527" t="str">
        <f>IFERROR((I91-H91)/H91,"-")</f>
        <v>-</v>
      </c>
      <c r="J230" s="527" t="str">
        <f>IFERROR((J91-I91)/I91,"-")</f>
        <v>-</v>
      </c>
      <c r="K230" s="528" t="str">
        <f>IFERROR((K91-J91)/J91,"-")</f>
        <v>-</v>
      </c>
      <c r="L230" s="387"/>
    </row>
    <row r="231" spans="1:12" ht="7.5" customHeight="1" thickBot="1">
      <c r="A231" s="388"/>
      <c r="B231" s="379"/>
      <c r="C231" s="933"/>
      <c r="D231" s="934"/>
      <c r="E231" s="934"/>
      <c r="F231" s="934"/>
      <c r="G231" s="934"/>
      <c r="H231" s="934"/>
      <c r="I231" s="934"/>
      <c r="J231" s="934"/>
      <c r="K231" s="935"/>
      <c r="L231" s="378"/>
    </row>
    <row r="232" spans="1:12" s="524" customFormat="1" ht="16.5">
      <c r="A232" s="371"/>
      <c r="B232" s="522"/>
      <c r="C232" s="936" t="s">
        <v>779</v>
      </c>
      <c r="D232" s="937"/>
      <c r="E232" s="937"/>
      <c r="F232" s="937"/>
      <c r="G232" s="937"/>
      <c r="H232" s="937"/>
      <c r="I232" s="937"/>
      <c r="J232" s="937"/>
      <c r="K232" s="938"/>
      <c r="L232" s="523"/>
    </row>
    <row r="233" spans="1:12" s="473" customFormat="1" ht="15" customHeight="1">
      <c r="A233" s="525"/>
      <c r="B233" s="403"/>
      <c r="C233" s="927" t="s">
        <v>780</v>
      </c>
      <c r="D233" s="928"/>
      <c r="E233" s="928"/>
      <c r="F233" s="929"/>
      <c r="G233" s="527" t="str">
        <f>IFERROR(G54/G22,"-")</f>
        <v>-</v>
      </c>
      <c r="H233" s="527" t="str">
        <f>IFERROR(H54/H22,"-")</f>
        <v>-</v>
      </c>
      <c r="I233" s="527" t="str">
        <f>IFERROR(I54/I22,"-")</f>
        <v>-</v>
      </c>
      <c r="J233" s="527" t="str">
        <f>IFERROR(J54/J22,"-")</f>
        <v>-</v>
      </c>
      <c r="K233" s="528" t="str">
        <f>IFERROR(K54/K22,"-")</f>
        <v>-</v>
      </c>
      <c r="L233" s="387"/>
    </row>
    <row r="234" spans="1:12" s="473" customFormat="1" ht="15" customHeight="1">
      <c r="A234" s="388"/>
      <c r="B234" s="403"/>
      <c r="C234" s="939" t="s">
        <v>781</v>
      </c>
      <c r="D234" s="940"/>
      <c r="E234" s="940"/>
      <c r="F234" s="941"/>
      <c r="G234" s="527" t="str">
        <f>IFERROR((G91-G72)/G22,"-")</f>
        <v>-</v>
      </c>
      <c r="H234" s="527" t="str">
        <f>IFERROR((H91-H72)/H22,"-")</f>
        <v>-</v>
      </c>
      <c r="I234" s="527" t="str">
        <f>IFERROR((I91-I72)/I22,"-")</f>
        <v>-</v>
      </c>
      <c r="J234" s="527" t="str">
        <f>IFERROR((J91-J72)/J22,"-")</f>
        <v>-</v>
      </c>
      <c r="K234" s="528" t="str">
        <f>IFERROR((K91-K72)/K22,"-")</f>
        <v>-</v>
      </c>
      <c r="L234" s="387"/>
    </row>
    <row r="235" spans="1:12" s="473" customFormat="1" ht="15" customHeight="1">
      <c r="A235" s="388"/>
      <c r="B235" s="403"/>
      <c r="C235" s="927" t="s">
        <v>782</v>
      </c>
      <c r="D235" s="928"/>
      <c r="E235" s="928"/>
      <c r="F235" s="929"/>
      <c r="G235" s="527" t="str">
        <f>IFERROR((G99-G72)/G22,"-")</f>
        <v>-</v>
      </c>
      <c r="H235" s="527" t="str">
        <f>IFERROR((H99-H72)/H22,"-")</f>
        <v>-</v>
      </c>
      <c r="I235" s="527" t="str">
        <f>IFERROR((I99-I72)/I22,"-")</f>
        <v>-</v>
      </c>
      <c r="J235" s="527" t="str">
        <f>IFERROR((J99-J72)/J22,"-")</f>
        <v>-</v>
      </c>
      <c r="K235" s="528" t="str">
        <f>IFERROR((K99-K72)/K22,"-")</f>
        <v>-</v>
      </c>
      <c r="L235" s="387"/>
    </row>
    <row r="236" spans="1:12" s="473" customFormat="1" ht="15" customHeight="1">
      <c r="A236" s="388"/>
      <c r="B236" s="403"/>
      <c r="C236" s="927" t="s">
        <v>783</v>
      </c>
      <c r="D236" s="928"/>
      <c r="E236" s="928"/>
      <c r="F236" s="929"/>
      <c r="G236" s="527" t="str">
        <f>IFERROR(G64/(G221-G161),"-")</f>
        <v>-</v>
      </c>
      <c r="H236" s="527" t="str">
        <f>IFERROR(H64/(H221-H161),"-")</f>
        <v>-</v>
      </c>
      <c r="I236" s="527" t="str">
        <f>IFERROR(I64/(I221-I161),"-")</f>
        <v>-</v>
      </c>
      <c r="J236" s="527" t="str">
        <f>IFERROR(J64/(J221-J161),"-")</f>
        <v>-</v>
      </c>
      <c r="K236" s="528" t="str">
        <f>IFERROR(K64/(K221-K161),"-")</f>
        <v>-</v>
      </c>
      <c r="L236" s="387"/>
    </row>
    <row r="237" spans="1:12" s="473" customFormat="1" ht="15" customHeight="1">
      <c r="A237" s="388"/>
      <c r="B237" s="403"/>
      <c r="C237" s="927" t="s">
        <v>784</v>
      </c>
      <c r="D237" s="928"/>
      <c r="E237" s="928"/>
      <c r="F237" s="929"/>
      <c r="G237" s="527" t="str">
        <f>IFERROR(G91/G118,"-")</f>
        <v>-</v>
      </c>
      <c r="H237" s="527" t="str">
        <f>IFERROR(H91/H118,"-")</f>
        <v>-</v>
      </c>
      <c r="I237" s="527" t="str">
        <f>IFERROR(I91/I118,"-")</f>
        <v>-</v>
      </c>
      <c r="J237" s="527" t="str">
        <f>IFERROR(J91/J118,"-")</f>
        <v>-</v>
      </c>
      <c r="K237" s="528" t="str">
        <f>IFERROR(K91/K118,"-")</f>
        <v>-</v>
      </c>
      <c r="L237" s="387"/>
    </row>
    <row r="238" spans="1:12" s="473" customFormat="1" ht="15" customHeight="1">
      <c r="A238" s="388"/>
      <c r="B238" s="403"/>
      <c r="C238" s="927" t="s">
        <v>785</v>
      </c>
      <c r="D238" s="928"/>
      <c r="E238" s="928"/>
      <c r="F238" s="929"/>
      <c r="G238" s="527" t="str">
        <f>IFERROR(G91/G221,"-")</f>
        <v>-</v>
      </c>
      <c r="H238" s="527" t="str">
        <f>IFERROR(H91/H221,"-")</f>
        <v>-</v>
      </c>
      <c r="I238" s="527" t="str">
        <f>IFERROR(I91/I221,"-")</f>
        <v>-</v>
      </c>
      <c r="J238" s="527" t="str">
        <f>IFERROR(J91/J221,"-")</f>
        <v>-</v>
      </c>
      <c r="K238" s="528" t="str">
        <f>IFERROR(K91/K221,"-")</f>
        <v>-</v>
      </c>
      <c r="L238" s="387"/>
    </row>
    <row r="239" spans="1:12" ht="7.5" customHeight="1" thickBot="1">
      <c r="A239" s="388"/>
      <c r="B239" s="379"/>
      <c r="C239" s="933"/>
      <c r="D239" s="934"/>
      <c r="E239" s="934"/>
      <c r="F239" s="934"/>
      <c r="G239" s="934"/>
      <c r="H239" s="934"/>
      <c r="I239" s="934"/>
      <c r="J239" s="934"/>
      <c r="K239" s="935"/>
      <c r="L239" s="378"/>
    </row>
    <row r="240" spans="1:12" s="524" customFormat="1" ht="16.5">
      <c r="A240" s="371"/>
      <c r="B240" s="522"/>
      <c r="C240" s="936" t="s">
        <v>786</v>
      </c>
      <c r="D240" s="937"/>
      <c r="E240" s="937"/>
      <c r="F240" s="937"/>
      <c r="G240" s="937"/>
      <c r="H240" s="937"/>
      <c r="I240" s="937"/>
      <c r="J240" s="937"/>
      <c r="K240" s="938"/>
      <c r="L240" s="523"/>
    </row>
    <row r="241" spans="1:12" s="473" customFormat="1" ht="15" customHeight="1">
      <c r="A241" s="525"/>
      <c r="B241" s="403"/>
      <c r="C241" s="927" t="s">
        <v>787</v>
      </c>
      <c r="D241" s="928"/>
      <c r="E241" s="928"/>
      <c r="F241" s="929"/>
      <c r="G241" s="529" t="str">
        <f>IFERROR(G220/G161,"-")</f>
        <v>-</v>
      </c>
      <c r="H241" s="529" t="str">
        <f>IFERROR(H220/H161,"-")</f>
        <v>-</v>
      </c>
      <c r="I241" s="529" t="str">
        <f>IFERROR(I220/I161,"-")</f>
        <v>-</v>
      </c>
      <c r="J241" s="529" t="str">
        <f>IFERROR(J220/J161,"-")</f>
        <v>-</v>
      </c>
      <c r="K241" s="530" t="str">
        <f>IFERROR(K220/K161,"-")</f>
        <v>-</v>
      </c>
      <c r="L241" s="387"/>
    </row>
    <row r="242" spans="1:12" s="473" customFormat="1" ht="15" customHeight="1">
      <c r="A242" s="388"/>
      <c r="B242" s="403"/>
      <c r="C242" s="927" t="s">
        <v>788</v>
      </c>
      <c r="D242" s="928"/>
      <c r="E242" s="928"/>
      <c r="F242" s="929"/>
      <c r="G242" s="529">
        <f>G220-G161</f>
        <v>0</v>
      </c>
      <c r="H242" s="529">
        <f>H220-H161</f>
        <v>0</v>
      </c>
      <c r="I242" s="529">
        <f>I220-I161</f>
        <v>0</v>
      </c>
      <c r="J242" s="529">
        <f>J220-J161</f>
        <v>0</v>
      </c>
      <c r="K242" s="530">
        <f>K220-K161</f>
        <v>0</v>
      </c>
      <c r="L242" s="387"/>
    </row>
    <row r="243" spans="1:12" s="473" customFormat="1" ht="15" customHeight="1">
      <c r="A243" s="388"/>
      <c r="B243" s="403"/>
      <c r="C243" s="927" t="s">
        <v>789</v>
      </c>
      <c r="D243" s="928"/>
      <c r="E243" s="928"/>
      <c r="F243" s="929"/>
      <c r="G243" s="529" t="str">
        <f>IFERROR((G22/G242),"-")</f>
        <v>-</v>
      </c>
      <c r="H243" s="529" t="str">
        <f>IFERROR((H22/H242),"-")</f>
        <v>-</v>
      </c>
      <c r="I243" s="529" t="str">
        <f>IFERROR((I22/I242),"-")</f>
        <v>-</v>
      </c>
      <c r="J243" s="529" t="str">
        <f>IFERROR((J22/J242),"-")</f>
        <v>-</v>
      </c>
      <c r="K243" s="530" t="str">
        <f>IFERROR((K22/K242),"-")</f>
        <v>-</v>
      </c>
      <c r="L243" s="387"/>
    </row>
    <row r="244" spans="1:12" s="473" customFormat="1" ht="15" customHeight="1">
      <c r="A244" s="388"/>
      <c r="B244" s="403"/>
      <c r="C244" s="927" t="s">
        <v>790</v>
      </c>
      <c r="D244" s="928"/>
      <c r="E244" s="928"/>
      <c r="F244" s="929"/>
      <c r="G244" s="529" t="str">
        <f>IFERROR((G220-G219-G202)/G161,"-")</f>
        <v>-</v>
      </c>
      <c r="H244" s="529" t="str">
        <f>IFERROR((H220-H219-H202)/H161,"-")</f>
        <v>-</v>
      </c>
      <c r="I244" s="529" t="str">
        <f>IFERROR((I220-I219-I202)/I161,"-")</f>
        <v>-</v>
      </c>
      <c r="J244" s="529" t="str">
        <f>IFERROR((J220-J219-J202)/J161,"-")</f>
        <v>-</v>
      </c>
      <c r="K244" s="530" t="str">
        <f>IFERROR((K220-K219-K202)/K161,"-")</f>
        <v>-</v>
      </c>
      <c r="L244" s="387"/>
    </row>
    <row r="245" spans="1:12" ht="7.5" customHeight="1" thickBot="1">
      <c r="A245" s="388"/>
      <c r="B245" s="379"/>
      <c r="C245" s="933"/>
      <c r="D245" s="934"/>
      <c r="E245" s="934"/>
      <c r="F245" s="934"/>
      <c r="G245" s="934"/>
      <c r="H245" s="934"/>
      <c r="I245" s="934"/>
      <c r="J245" s="934"/>
      <c r="K245" s="935"/>
      <c r="L245" s="378"/>
    </row>
    <row r="246" spans="1:12" s="524" customFormat="1" ht="16.5">
      <c r="A246" s="371"/>
      <c r="B246" s="522"/>
      <c r="C246" s="936" t="s">
        <v>791</v>
      </c>
      <c r="D246" s="937"/>
      <c r="E246" s="937"/>
      <c r="F246" s="937"/>
      <c r="G246" s="937"/>
      <c r="H246" s="937"/>
      <c r="I246" s="937"/>
      <c r="J246" s="937"/>
      <c r="K246" s="938"/>
      <c r="L246" s="523"/>
    </row>
    <row r="247" spans="1:12" s="473" customFormat="1" ht="15" customHeight="1">
      <c r="A247" s="525"/>
      <c r="B247" s="403"/>
      <c r="C247" s="927" t="s">
        <v>792</v>
      </c>
      <c r="D247" s="928"/>
      <c r="E247" s="928"/>
      <c r="F247" s="929"/>
      <c r="G247" s="529" t="str">
        <f>IFERROR((G25/G202),"-")</f>
        <v>-</v>
      </c>
      <c r="H247" s="529" t="str">
        <f>IFERROR((H25/H202),"-")</f>
        <v>-</v>
      </c>
      <c r="I247" s="529" t="str">
        <f>IFERROR((I25/I202),"-")</f>
        <v>-</v>
      </c>
      <c r="J247" s="529" t="str">
        <f>IFERROR((J25/J202),"-")</f>
        <v>-</v>
      </c>
      <c r="K247" s="530" t="str">
        <f>IFERROR((K25/K202),"-")</f>
        <v>-</v>
      </c>
      <c r="L247" s="387"/>
    </row>
    <row r="248" spans="1:12" s="473" customFormat="1" ht="15" customHeight="1">
      <c r="A248" s="388"/>
      <c r="B248" s="403"/>
      <c r="C248" s="927" t="s">
        <v>793</v>
      </c>
      <c r="D248" s="928"/>
      <c r="E248" s="928"/>
      <c r="F248" s="929"/>
      <c r="G248" s="529" t="str">
        <f>IFERROR(365/G247,"-")</f>
        <v>-</v>
      </c>
      <c r="H248" s="529" t="str">
        <f>IFERROR(365/H247,"-")</f>
        <v>-</v>
      </c>
      <c r="I248" s="529" t="str">
        <f>IFERROR(365/I247,"-")</f>
        <v>-</v>
      </c>
      <c r="J248" s="529" t="str">
        <f>IFERROR(365/J247,"-")</f>
        <v>-</v>
      </c>
      <c r="K248" s="530" t="str">
        <f>IFERROR(365/K247,"-")</f>
        <v>-</v>
      </c>
      <c r="L248" s="387"/>
    </row>
    <row r="249" spans="1:12" s="473" customFormat="1" ht="15" customHeight="1">
      <c r="A249" s="388"/>
      <c r="B249" s="403"/>
      <c r="C249" s="927" t="s">
        <v>794</v>
      </c>
      <c r="D249" s="928"/>
      <c r="E249" s="928"/>
      <c r="F249" s="929"/>
      <c r="G249" s="529" t="str">
        <f>IFERROR(G22/G207,"-")</f>
        <v>-</v>
      </c>
      <c r="H249" s="529" t="str">
        <f>IFERROR(H22/H207,"-")</f>
        <v>-</v>
      </c>
      <c r="I249" s="529" t="str">
        <f>IFERROR(I22/I207,"-")</f>
        <v>-</v>
      </c>
      <c r="J249" s="529" t="str">
        <f>IFERROR(J22/J207,"-")</f>
        <v>-</v>
      </c>
      <c r="K249" s="530" t="str">
        <f>IFERROR(K22/K207,"-")</f>
        <v>-</v>
      </c>
      <c r="L249" s="387"/>
    </row>
    <row r="250" spans="1:12" s="473" customFormat="1" ht="15" customHeight="1">
      <c r="A250" s="388"/>
      <c r="B250" s="403"/>
      <c r="C250" s="927" t="s">
        <v>795</v>
      </c>
      <c r="D250" s="928"/>
      <c r="E250" s="928"/>
      <c r="F250" s="929"/>
      <c r="G250" s="529" t="str">
        <f>IFERROR(365/G249,"-")</f>
        <v>-</v>
      </c>
      <c r="H250" s="529" t="str">
        <f>IFERROR(365/H249,"-")</f>
        <v>-</v>
      </c>
      <c r="I250" s="529" t="str">
        <f>IFERROR(365/I249,"-")</f>
        <v>-</v>
      </c>
      <c r="J250" s="529" t="str">
        <f>IFERROR(365/J249,"-")</f>
        <v>-</v>
      </c>
      <c r="K250" s="530" t="str">
        <f>IFERROR(365/K249,"-")</f>
        <v>-</v>
      </c>
      <c r="L250" s="387"/>
    </row>
    <row r="251" spans="1:12" s="473" customFormat="1" ht="15" customHeight="1">
      <c r="A251" s="388"/>
      <c r="B251" s="403"/>
      <c r="C251" s="927" t="s">
        <v>796</v>
      </c>
      <c r="D251" s="928"/>
      <c r="E251" s="928"/>
      <c r="F251" s="929"/>
      <c r="G251" s="529" t="str">
        <f>IFERROR((G25+G37)/G151,"-")</f>
        <v>-</v>
      </c>
      <c r="H251" s="529" t="str">
        <f>IFERROR((H25+H37)/H151,"-")</f>
        <v>-</v>
      </c>
      <c r="I251" s="529" t="str">
        <f>IFERROR((I25+I37)/I151,"-")</f>
        <v>-</v>
      </c>
      <c r="J251" s="529" t="str">
        <f>IFERROR((J25+J37)/J151,"-")</f>
        <v>-</v>
      </c>
      <c r="K251" s="530" t="str">
        <f>IFERROR((K25+K37)/K151,"-")</f>
        <v>-</v>
      </c>
      <c r="L251" s="387"/>
    </row>
    <row r="252" spans="1:12" s="473" customFormat="1" ht="15" customHeight="1">
      <c r="A252" s="388"/>
      <c r="B252" s="403"/>
      <c r="C252" s="927" t="s">
        <v>797</v>
      </c>
      <c r="D252" s="928"/>
      <c r="E252" s="928"/>
      <c r="F252" s="929"/>
      <c r="G252" s="529" t="str">
        <f>IFERROR(365/G251,"-")</f>
        <v>-</v>
      </c>
      <c r="H252" s="529" t="str">
        <f>IFERROR(365/H251,"-")</f>
        <v>-</v>
      </c>
      <c r="I252" s="529" t="str">
        <f>IFERROR(365/I251,"-")</f>
        <v>-</v>
      </c>
      <c r="J252" s="529" t="str">
        <f>IFERROR(365/J251,"-")</f>
        <v>-</v>
      </c>
      <c r="K252" s="530" t="str">
        <f>IFERROR(365/K251,"-")</f>
        <v>-</v>
      </c>
      <c r="L252" s="387"/>
    </row>
    <row r="253" spans="1:12" s="473" customFormat="1" ht="15" customHeight="1">
      <c r="A253" s="388"/>
      <c r="B253" s="403"/>
      <c r="C253" s="927" t="s">
        <v>798</v>
      </c>
      <c r="D253" s="928"/>
      <c r="E253" s="928"/>
      <c r="F253" s="929"/>
      <c r="G253" s="529" t="str">
        <f>IFERROR(G248+G250-G252,"-")</f>
        <v>-</v>
      </c>
      <c r="H253" s="529" t="str">
        <f>IFERROR(H248+H250-H252,"-")</f>
        <v>-</v>
      </c>
      <c r="I253" s="529" t="str">
        <f>IFERROR(I248+I250-I252,"-")</f>
        <v>-</v>
      </c>
      <c r="J253" s="529" t="str">
        <f>IFERROR(J248+J250-J252,"-")</f>
        <v>-</v>
      </c>
      <c r="K253" s="530" t="str">
        <f>IFERROR(K248+K250-K252,"-")</f>
        <v>-</v>
      </c>
      <c r="L253" s="387"/>
    </row>
    <row r="254" spans="1:12" s="473" customFormat="1" ht="15" customHeight="1">
      <c r="A254" s="388"/>
      <c r="B254" s="403"/>
      <c r="C254" s="927" t="s">
        <v>799</v>
      </c>
      <c r="D254" s="928"/>
      <c r="E254" s="928"/>
      <c r="F254" s="929"/>
      <c r="G254" s="529" t="str">
        <f>IFERROR(G22/(G167-G171),"-")</f>
        <v>-</v>
      </c>
      <c r="H254" s="529" t="str">
        <f>IFERROR(H22/(H167-H171),"-")</f>
        <v>-</v>
      </c>
      <c r="I254" s="529" t="str">
        <f>IFERROR(I22/(I167-I171),"-")</f>
        <v>-</v>
      </c>
      <c r="J254" s="529" t="str">
        <f>IFERROR(J22/(J167-J171),"-")</f>
        <v>-</v>
      </c>
      <c r="K254" s="530" t="str">
        <f>IFERROR(K22/(K167-K171),"-")</f>
        <v>-</v>
      </c>
      <c r="L254" s="387"/>
    </row>
    <row r="255" spans="1:12" s="473" customFormat="1" ht="15" customHeight="1">
      <c r="A255" s="388"/>
      <c r="B255" s="403"/>
      <c r="C255" s="927" t="s">
        <v>800</v>
      </c>
      <c r="D255" s="928"/>
      <c r="E255" s="928"/>
      <c r="F255" s="929"/>
      <c r="G255" s="529" t="str">
        <f>IFERROR(G22/G221,"-")</f>
        <v>-</v>
      </c>
      <c r="H255" s="529" t="str">
        <f>IFERROR(H22/H221,"-")</f>
        <v>-</v>
      </c>
      <c r="I255" s="529" t="str">
        <f>IFERROR(I22/I221,"-")</f>
        <v>-</v>
      </c>
      <c r="J255" s="529" t="str">
        <f>IFERROR(J22/J221,"-")</f>
        <v>-</v>
      </c>
      <c r="K255" s="530" t="str">
        <f>IFERROR(K22/K221,"-")</f>
        <v>-</v>
      </c>
      <c r="L255" s="387"/>
    </row>
    <row r="256" spans="1:12" s="473" customFormat="1" ht="7.5" customHeight="1" thickBot="1">
      <c r="A256" s="388"/>
      <c r="B256" s="403"/>
      <c r="C256" s="933"/>
      <c r="D256" s="934"/>
      <c r="E256" s="934"/>
      <c r="F256" s="934"/>
      <c r="G256" s="934"/>
      <c r="H256" s="934"/>
      <c r="I256" s="934"/>
      <c r="J256" s="934"/>
      <c r="K256" s="935"/>
      <c r="L256" s="387"/>
    </row>
    <row r="257" spans="1:12" s="524" customFormat="1" ht="16.5">
      <c r="A257" s="388"/>
      <c r="B257" s="522"/>
      <c r="C257" s="936" t="s">
        <v>801</v>
      </c>
      <c r="D257" s="937"/>
      <c r="E257" s="937"/>
      <c r="F257" s="937"/>
      <c r="G257" s="937"/>
      <c r="H257" s="937"/>
      <c r="I257" s="937"/>
      <c r="J257" s="937"/>
      <c r="K257" s="938"/>
      <c r="L257" s="523"/>
    </row>
    <row r="258" spans="1:12" s="388" customFormat="1" ht="15" customHeight="1">
      <c r="A258" s="525"/>
      <c r="B258" s="403"/>
      <c r="C258" s="927" t="s">
        <v>802</v>
      </c>
      <c r="D258" s="928"/>
      <c r="E258" s="928"/>
      <c r="F258" s="929"/>
      <c r="G258" s="529" t="str">
        <f>IFERROR(G54/G66,"-")</f>
        <v>-</v>
      </c>
      <c r="H258" s="529" t="str">
        <f>IFERROR(H64/H66,"-")</f>
        <v>-</v>
      </c>
      <c r="I258" s="529" t="str">
        <f>IFERROR(I64/I66,"-")</f>
        <v>-</v>
      </c>
      <c r="J258" s="529" t="str">
        <f>IFERROR(J54/J66,"-")</f>
        <v>-</v>
      </c>
      <c r="K258" s="530" t="str">
        <f>IFERROR(K54/K66,"-")</f>
        <v>-</v>
      </c>
      <c r="L258" s="387"/>
    </row>
    <row r="259" spans="1:12" s="388" customFormat="1" ht="27.75" customHeight="1">
      <c r="B259" s="403"/>
      <c r="C259" s="927" t="s">
        <v>803</v>
      </c>
      <c r="D259" s="928"/>
      <c r="E259" s="928"/>
      <c r="F259" s="929"/>
      <c r="G259" s="531" t="str">
        <f>IF(G143+G151=0,"No Short Term Obligation", G54/(G143+G151))</f>
        <v>No Short Term Obligation</v>
      </c>
      <c r="H259" s="531" t="str">
        <f>IF(H143+H151=0,"No Short Term Obligation", H54/(H143+H151))</f>
        <v>No Short Term Obligation</v>
      </c>
      <c r="I259" s="531" t="str">
        <f>IF(I143+I151=0,"No Short Term Obligation", I54/(I143+I151))</f>
        <v>No Short Term Obligation</v>
      </c>
      <c r="J259" s="531" t="str">
        <f>IF(J143+J151=0,"No Short Term Obligation", J54/(J143+J151))</f>
        <v>No Short Term Obligation</v>
      </c>
      <c r="K259" s="532" t="str">
        <f>IF(K143+K151=0,"No Short Term Obligation", K54/(K143+K151))</f>
        <v>No Short Term Obligation</v>
      </c>
      <c r="L259" s="387"/>
    </row>
    <row r="260" spans="1:12" s="388" customFormat="1" ht="15" customHeight="1">
      <c r="B260" s="403"/>
      <c r="C260" s="927" t="s">
        <v>804</v>
      </c>
      <c r="D260" s="928"/>
      <c r="E260" s="928"/>
      <c r="F260" s="929"/>
      <c r="G260" s="529" t="str">
        <f>IFERROR((G140+G161+#REF!)/G118,"-")</f>
        <v>-</v>
      </c>
      <c r="H260" s="529" t="str">
        <f>IFERROR((H140+H161+#REF!)/H118,"-")</f>
        <v>-</v>
      </c>
      <c r="I260" s="529" t="str">
        <f>IFERROR((I140+I161+#REF!)/I118,"-")</f>
        <v>-</v>
      </c>
      <c r="J260" s="529" t="str">
        <f>IFERROR((J140+J161+#REF!)/J118,"-")</f>
        <v>-</v>
      </c>
      <c r="K260" s="530" t="str">
        <f>IFERROR((K140+K161+#REF!)/K118,"-")</f>
        <v>-</v>
      </c>
      <c r="L260" s="387"/>
    </row>
    <row r="261" spans="1:12" s="388" customFormat="1" ht="40.5" customHeight="1">
      <c r="B261" s="403"/>
      <c r="C261" s="927" t="s">
        <v>805</v>
      </c>
      <c r="D261" s="928"/>
      <c r="E261" s="928"/>
      <c r="F261" s="929"/>
      <c r="G261" s="529" t="str">
        <f>IFERROR((G124+SUM(G143,G151))/(G91+G56),"-")</f>
        <v>-</v>
      </c>
      <c r="H261" s="529" t="str">
        <f>IFERROR((H124+SUM(H143,H151))/(H91+H56),"-")</f>
        <v>-</v>
      </c>
      <c r="I261" s="529" t="str">
        <f>IFERROR((I124+SUM(I143,I151))/(I91+I56),"-")</f>
        <v>-</v>
      </c>
      <c r="J261" s="529" t="str">
        <f>IFERROR((J124+SUM(J143,J151))/(J91+J56),"-")</f>
        <v>-</v>
      </c>
      <c r="K261" s="530" t="str">
        <f>IFERROR((K124+SUM(K143,K151))/(K91+K56),"-")</f>
        <v>-</v>
      </c>
      <c r="L261" s="387"/>
    </row>
    <row r="262" spans="1:12" s="388" customFormat="1" ht="15" customHeight="1">
      <c r="B262" s="403"/>
      <c r="C262" s="927" t="s">
        <v>806</v>
      </c>
      <c r="D262" s="928"/>
      <c r="E262" s="928"/>
      <c r="F262" s="929"/>
      <c r="G262" s="529" t="str">
        <f>IFERROR((SUM(G143,G151,G124))/G118,"-")</f>
        <v>-</v>
      </c>
      <c r="H262" s="529" t="str">
        <f>IFERROR((SUM(H143,H151,H124))/H118,"-")</f>
        <v>-</v>
      </c>
      <c r="I262" s="529" t="str">
        <f>IFERROR((SUM(I143,I151,I124))/I118,"-")</f>
        <v>-</v>
      </c>
      <c r="J262" s="529" t="str">
        <f>IFERROR((SUM(J143,J151,J124))/J118,"-")</f>
        <v>-</v>
      </c>
      <c r="K262" s="530" t="str">
        <f>IFERROR((SUM(K143,K151,K124))/K118,"-")</f>
        <v>-</v>
      </c>
      <c r="L262" s="387"/>
    </row>
    <row r="263" spans="1:12" s="388" customFormat="1" ht="15" customHeight="1" thickBot="1">
      <c r="B263" s="403"/>
      <c r="C263" s="930" t="s">
        <v>807</v>
      </c>
      <c r="D263" s="931"/>
      <c r="E263" s="931"/>
      <c r="F263" s="932"/>
      <c r="G263" s="533" t="str">
        <f>IF((G124+G143+G151)=0,"No Debt", ((G221-(G172+G173)-G190)-(G161-(G143+G151)))/(G124+G143+G151))</f>
        <v>No Debt</v>
      </c>
      <c r="H263" s="533" t="str">
        <f>IF((H124+H143+H151)=0,"No Debt", ((H221-(H172+H173)-H190)-(H161-(H143+H151)))/(H124+H143+H151))</f>
        <v>No Debt</v>
      </c>
      <c r="I263" s="533" t="str">
        <f>IF((I124+I143+I151)=0,"No Debt", ((I221-(I172+I173)-I190)-(I161-(I143+I151)))/(I124+I143+I151))</f>
        <v>No Debt</v>
      </c>
      <c r="J263" s="533" t="str">
        <f>IF((J124+J143+J151)=0,"No Debt", ((J221-(J172+J173)-J190)-(J161-(J143+J151)))/(J124+J143+J151))</f>
        <v>No Debt</v>
      </c>
      <c r="K263" s="534" t="str">
        <f>IF((K124+K143+K151)=0,"No Debt", ((K221-(K172+K173)-K190)-(K161-(K143+K151)))/(K124+K143+K151))</f>
        <v>No Debt</v>
      </c>
      <c r="L263" s="387"/>
    </row>
    <row r="264" spans="1:12" ht="12.75" customHeight="1" thickBot="1">
      <c r="A264" s="388"/>
      <c r="B264" s="459"/>
      <c r="C264" s="460"/>
      <c r="D264" s="460"/>
      <c r="E264" s="460"/>
      <c r="F264" s="535"/>
      <c r="G264" s="460"/>
      <c r="H264" s="460"/>
      <c r="I264" s="460"/>
      <c r="J264" s="460"/>
      <c r="K264" s="460"/>
      <c r="L264" s="536"/>
    </row>
  </sheetData>
  <sheetProtection algorithmName="SHA-512" hashValue="O27QT5OqgEOVvMPYkSwpfq+ZwidYdDlhWQeTWvtgI9L8xEZRb0/YyUnowuK8jgsSWqeAPxnS6G5yRvTWJuh32Q==" saltValue="DAGEEIJ++mafR9BgbgxgTw==" spinCount="100000" sheet="1" objects="1" scenarios="1" formatCells="0" formatColumns="0" formatRows="0"/>
  <mergeCells count="252">
    <mergeCell ref="C261:F261"/>
    <mergeCell ref="C262:F262"/>
    <mergeCell ref="C263:F263"/>
    <mergeCell ref="C255:F255"/>
    <mergeCell ref="C256:K256"/>
    <mergeCell ref="C257:K257"/>
    <mergeCell ref="C258:F258"/>
    <mergeCell ref="C259:F259"/>
    <mergeCell ref="C260:F260"/>
    <mergeCell ref="C249:F249"/>
    <mergeCell ref="C250:F250"/>
    <mergeCell ref="C251:F251"/>
    <mergeCell ref="C252:F252"/>
    <mergeCell ref="C253:F253"/>
    <mergeCell ref="C254:F254"/>
    <mergeCell ref="C243:F243"/>
    <mergeCell ref="C244:F244"/>
    <mergeCell ref="C245:K245"/>
    <mergeCell ref="C246:K246"/>
    <mergeCell ref="C247:F247"/>
    <mergeCell ref="C248:F248"/>
    <mergeCell ref="C237:F237"/>
    <mergeCell ref="C238:F238"/>
    <mergeCell ref="C239:K239"/>
    <mergeCell ref="C240:K240"/>
    <mergeCell ref="C241:F241"/>
    <mergeCell ref="C242:F242"/>
    <mergeCell ref="C231:K231"/>
    <mergeCell ref="C232:K232"/>
    <mergeCell ref="C233:F233"/>
    <mergeCell ref="C234:F234"/>
    <mergeCell ref="C235:F235"/>
    <mergeCell ref="C236:F236"/>
    <mergeCell ref="C225:K225"/>
    <mergeCell ref="C226:F226"/>
    <mergeCell ref="C227:K227"/>
    <mergeCell ref="C228:F228"/>
    <mergeCell ref="C229:F229"/>
    <mergeCell ref="C230:F230"/>
    <mergeCell ref="E214:F214"/>
    <mergeCell ref="E218:F218"/>
    <mergeCell ref="D219:F219"/>
    <mergeCell ref="C220:F220"/>
    <mergeCell ref="C221:F221"/>
    <mergeCell ref="C223:F223"/>
    <mergeCell ref="C192:F192"/>
    <mergeCell ref="C193:K193"/>
    <mergeCell ref="C194:F194"/>
    <mergeCell ref="C195:C219"/>
    <mergeCell ref="D195:F195"/>
    <mergeCell ref="E196:F196"/>
    <mergeCell ref="E199:F199"/>
    <mergeCell ref="E200:F200"/>
    <mergeCell ref="E201:F201"/>
    <mergeCell ref="E208:F208"/>
    <mergeCell ref="E209:F209"/>
    <mergeCell ref="E210:F210"/>
    <mergeCell ref="E211:F211"/>
    <mergeCell ref="D212:F212"/>
    <mergeCell ref="D213:F213"/>
    <mergeCell ref="D202:F202"/>
    <mergeCell ref="E203:F203"/>
    <mergeCell ref="E204:F204"/>
    <mergeCell ref="E205:F205"/>
    <mergeCell ref="E206:F206"/>
    <mergeCell ref="D207:F207"/>
    <mergeCell ref="C164:K164"/>
    <mergeCell ref="C165:F165"/>
    <mergeCell ref="C166:C191"/>
    <mergeCell ref="D166:F166"/>
    <mergeCell ref="E167:F167"/>
    <mergeCell ref="E171:F171"/>
    <mergeCell ref="E172:F172"/>
    <mergeCell ref="E173:F173"/>
    <mergeCell ref="E174:F174"/>
    <mergeCell ref="E175:F175"/>
    <mergeCell ref="E182:F182"/>
    <mergeCell ref="E186:F186"/>
    <mergeCell ref="D187:F187"/>
    <mergeCell ref="D188:F188"/>
    <mergeCell ref="E189:F189"/>
    <mergeCell ref="E190:F190"/>
    <mergeCell ref="D176:F176"/>
    <mergeCell ref="E177:F177"/>
    <mergeCell ref="E178:F178"/>
    <mergeCell ref="E179:F179"/>
    <mergeCell ref="E180:F180"/>
    <mergeCell ref="D181:F181"/>
    <mergeCell ref="E191:F191"/>
    <mergeCell ref="E158:F158"/>
    <mergeCell ref="E159:F159"/>
    <mergeCell ref="E160:F160"/>
    <mergeCell ref="C161:F161"/>
    <mergeCell ref="C162:F162"/>
    <mergeCell ref="C163:K163"/>
    <mergeCell ref="E152:F152"/>
    <mergeCell ref="E153:F153"/>
    <mergeCell ref="E154:F154"/>
    <mergeCell ref="E155:F155"/>
    <mergeCell ref="D156:F156"/>
    <mergeCell ref="D157:F157"/>
    <mergeCell ref="C143:C160"/>
    <mergeCell ref="D143:F143"/>
    <mergeCell ref="E144:F144"/>
    <mergeCell ref="E145:F145"/>
    <mergeCell ref="E146:F146"/>
    <mergeCell ref="E147:F147"/>
    <mergeCell ref="E148:F148"/>
    <mergeCell ref="E149:F149"/>
    <mergeCell ref="E150:F150"/>
    <mergeCell ref="D151:F151"/>
    <mergeCell ref="E137:F137"/>
    <mergeCell ref="E138:F138"/>
    <mergeCell ref="D139:F139"/>
    <mergeCell ref="C140:F140"/>
    <mergeCell ref="C141:K141"/>
    <mergeCell ref="C142:F142"/>
    <mergeCell ref="E131:F131"/>
    <mergeCell ref="D132:F132"/>
    <mergeCell ref="D133:F133"/>
    <mergeCell ref="E134:F134"/>
    <mergeCell ref="E135:F135"/>
    <mergeCell ref="D136:F136"/>
    <mergeCell ref="E125:F125"/>
    <mergeCell ref="E126:F126"/>
    <mergeCell ref="E127:F127"/>
    <mergeCell ref="E128:F128"/>
    <mergeCell ref="E129:F129"/>
    <mergeCell ref="E130:F130"/>
    <mergeCell ref="C119:K119"/>
    <mergeCell ref="C120:F120"/>
    <mergeCell ref="C121:K121"/>
    <mergeCell ref="C122:F122"/>
    <mergeCell ref="C123:F123"/>
    <mergeCell ref="D124:F124"/>
    <mergeCell ref="E113:F113"/>
    <mergeCell ref="E114:F114"/>
    <mergeCell ref="E115:F115"/>
    <mergeCell ref="E116:F116"/>
    <mergeCell ref="E117:F117"/>
    <mergeCell ref="C118:F118"/>
    <mergeCell ref="C104:K104"/>
    <mergeCell ref="C105:F105"/>
    <mergeCell ref="D106:F106"/>
    <mergeCell ref="C107:C117"/>
    <mergeCell ref="E107:F107"/>
    <mergeCell ref="E108:F108"/>
    <mergeCell ref="E109:F109"/>
    <mergeCell ref="E110:F110"/>
    <mergeCell ref="E111:F111"/>
    <mergeCell ref="D112:F112"/>
    <mergeCell ref="E97:F97"/>
    <mergeCell ref="C98:F98"/>
    <mergeCell ref="C99:F99"/>
    <mergeCell ref="C101:K101"/>
    <mergeCell ref="C102:F102"/>
    <mergeCell ref="C103:K103"/>
    <mergeCell ref="C91:F91"/>
    <mergeCell ref="C92:K92"/>
    <mergeCell ref="D93:F93"/>
    <mergeCell ref="C94:F94"/>
    <mergeCell ref="D95:F95"/>
    <mergeCell ref="E96:F96"/>
    <mergeCell ref="C86:C88"/>
    <mergeCell ref="E86:F86"/>
    <mergeCell ref="E87:F87"/>
    <mergeCell ref="D88:F88"/>
    <mergeCell ref="C89:C90"/>
    <mergeCell ref="D89:F89"/>
    <mergeCell ref="D90:F90"/>
    <mergeCell ref="C80:F80"/>
    <mergeCell ref="C81:K81"/>
    <mergeCell ref="D82:F82"/>
    <mergeCell ref="C83:F83"/>
    <mergeCell ref="C84:K84"/>
    <mergeCell ref="D85:F85"/>
    <mergeCell ref="C64:F64"/>
    <mergeCell ref="C65:K65"/>
    <mergeCell ref="C66:C79"/>
    <mergeCell ref="D66:F66"/>
    <mergeCell ref="D67:D70"/>
    <mergeCell ref="E67:F67"/>
    <mergeCell ref="E68:F68"/>
    <mergeCell ref="E69:F69"/>
    <mergeCell ref="E70:F70"/>
    <mergeCell ref="E71:F71"/>
    <mergeCell ref="D72:F72"/>
    <mergeCell ref="D73:D79"/>
    <mergeCell ref="E73:F73"/>
    <mergeCell ref="E74:F74"/>
    <mergeCell ref="E75:F75"/>
    <mergeCell ref="E76:F76"/>
    <mergeCell ref="E77:F77"/>
    <mergeCell ref="E78:F78"/>
    <mergeCell ref="E79:F79"/>
    <mergeCell ref="C56:C63"/>
    <mergeCell ref="D56:F56"/>
    <mergeCell ref="D57:F57"/>
    <mergeCell ref="E58:F58"/>
    <mergeCell ref="E59:F59"/>
    <mergeCell ref="D60:F60"/>
    <mergeCell ref="E61:F61"/>
    <mergeCell ref="E62:F62"/>
    <mergeCell ref="D63:F63"/>
    <mergeCell ref="E50:F50"/>
    <mergeCell ref="D51:F51"/>
    <mergeCell ref="E52:F52"/>
    <mergeCell ref="E53:F53"/>
    <mergeCell ref="C54:F54"/>
    <mergeCell ref="C55:K55"/>
    <mergeCell ref="E41:F41"/>
    <mergeCell ref="C42:F42"/>
    <mergeCell ref="C43:K43"/>
    <mergeCell ref="D44:F44"/>
    <mergeCell ref="C45:C53"/>
    <mergeCell ref="E45:F45"/>
    <mergeCell ref="E46:F46"/>
    <mergeCell ref="E47:F47"/>
    <mergeCell ref="D48:F48"/>
    <mergeCell ref="E49:F49"/>
    <mergeCell ref="D37:F37"/>
    <mergeCell ref="E38:F38"/>
    <mergeCell ref="E39:F39"/>
    <mergeCell ref="E40:F40"/>
    <mergeCell ref="D21:F21"/>
    <mergeCell ref="C22:F22"/>
    <mergeCell ref="C23:K23"/>
    <mergeCell ref="C24:F24"/>
    <mergeCell ref="D25:F25"/>
    <mergeCell ref="C26:C41"/>
    <mergeCell ref="E26:F26"/>
    <mergeCell ref="D27:D29"/>
    <mergeCell ref="E30:F30"/>
    <mergeCell ref="D31:D32"/>
    <mergeCell ref="C11:C21"/>
    <mergeCell ref="E11:F11"/>
    <mergeCell ref="D12:D14"/>
    <mergeCell ref="E15:F15"/>
    <mergeCell ref="D16:D18"/>
    <mergeCell ref="E19:F19"/>
    <mergeCell ref="D20:F20"/>
    <mergeCell ref="E33:F33"/>
    <mergeCell ref="D34:D36"/>
    <mergeCell ref="B2:L2"/>
    <mergeCell ref="C3:E3"/>
    <mergeCell ref="C4:K4"/>
    <mergeCell ref="C5:F5"/>
    <mergeCell ref="C6:F6"/>
    <mergeCell ref="C7:F7"/>
    <mergeCell ref="C8:F8"/>
    <mergeCell ref="C9:F9"/>
    <mergeCell ref="D10:F10"/>
  </mergeCells>
  <conditionalFormatting sqref="G10:K21 G25:K41 G44:K53 G56:K63 G66:K79 G82:K82 G85:K90 G93:K93 G95:K99 G106:K117 G124:K139 G143:K160 G166:K191 G195:K219 G223:K223 G228:K230 G233:K238 G241:K244 G247:K255 G258:K263">
    <cfRule type="expression" dxfId="370" priority="14">
      <formula>G$6=""</formula>
    </cfRule>
  </conditionalFormatting>
  <dataValidations count="3">
    <dataValidation type="list" allowBlank="1" showInputMessage="1" showErrorMessage="1" sqref="G6:K6" xr:uid="{4036F88D-C755-4659-85E5-92FFE671ACF1}">
      <formula1>"Audited,Unaudited,Provisional,Projection"</formula1>
    </dataValidation>
    <dataValidation type="list" allowBlank="1" showInputMessage="1" showErrorMessage="1" sqref="J3:K3" xr:uid="{A9208582-38D1-4C5C-8216-EC598FEC6115}">
      <formula1>"Actuals, Thousands, Lakhs, Millions, Crores"</formula1>
    </dataValidation>
    <dataValidation type="list" allowBlank="1" showInputMessage="1" showErrorMessage="1" sqref="G8:K8" xr:uid="{94BF8526-FF6C-4252-BA81-305A23B4DCD4}">
      <formula1>"Auditor's opinion,Material Qualification,Unqualified,No opinion / Unknown"</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779CC-BE35-45D3-B6E7-C5781C24B93D}">
  <sheetPr codeName="Sheet27">
    <tabColor theme="3" tint="-0.499984740745262"/>
  </sheetPr>
  <dimension ref="A1:N264"/>
  <sheetViews>
    <sheetView workbookViewId="0"/>
  </sheetViews>
  <sheetFormatPr defaultRowHeight="14.25" outlineLevelRow="2"/>
  <cols>
    <col min="1" max="5" width="2.125" style="371" customWidth="1"/>
    <col min="6" max="6" width="40" style="372" customWidth="1"/>
    <col min="7" max="11" width="13.125" style="371" customWidth="1"/>
    <col min="12" max="12" width="1.625" style="371" customWidth="1"/>
    <col min="13" max="14" width="10.875" style="371" bestFit="1" customWidth="1"/>
    <col min="15" max="16384" width="9" style="371"/>
  </cols>
  <sheetData>
    <row r="1" spans="2:12" ht="15" thickBot="1"/>
    <row r="2" spans="2:12" ht="25.5" customHeight="1">
      <c r="B2" s="1049" t="s">
        <v>606</v>
      </c>
      <c r="C2" s="1050"/>
      <c r="D2" s="1050"/>
      <c r="E2" s="1050"/>
      <c r="F2" s="1050"/>
      <c r="G2" s="1050"/>
      <c r="H2" s="1050"/>
      <c r="I2" s="1050"/>
      <c r="J2" s="1050"/>
      <c r="K2" s="1050"/>
      <c r="L2" s="1051"/>
    </row>
    <row r="3" spans="2:12" ht="15" customHeight="1" thickBot="1">
      <c r="B3" s="373"/>
      <c r="C3" s="1052" t="s">
        <v>607</v>
      </c>
      <c r="D3" s="1052"/>
      <c r="E3" s="1052"/>
      <c r="F3" s="374"/>
      <c r="G3" s="375"/>
      <c r="J3" s="376" t="s">
        <v>608</v>
      </c>
      <c r="K3" s="377" t="s">
        <v>609</v>
      </c>
      <c r="L3" s="378"/>
    </row>
    <row r="4" spans="2:12" ht="20.25" thickBot="1">
      <c r="B4" s="379"/>
      <c r="C4" s="1053" t="s">
        <v>610</v>
      </c>
      <c r="D4" s="1054"/>
      <c r="E4" s="1054"/>
      <c r="F4" s="1054"/>
      <c r="G4" s="1054"/>
      <c r="H4" s="1054"/>
      <c r="I4" s="1054"/>
      <c r="J4" s="1054"/>
      <c r="K4" s="1055"/>
      <c r="L4" s="378"/>
    </row>
    <row r="5" spans="2:12" s="384" customFormat="1" ht="18.75" customHeight="1" thickBot="1">
      <c r="B5" s="380"/>
      <c r="C5" s="1056" t="s">
        <v>611</v>
      </c>
      <c r="D5" s="1057"/>
      <c r="E5" s="1057"/>
      <c r="F5" s="1057"/>
      <c r="G5" s="381" t="str">
        <f>'Financial Statement1'!G5</f>
        <v>-</v>
      </c>
      <c r="H5" s="381" t="str">
        <f>IFERROR(EDATE(G5,12),"-")</f>
        <v>-</v>
      </c>
      <c r="I5" s="381" t="str">
        <f t="shared" ref="I5:K5" si="0">IFERROR(EDATE(H5,12),"-")</f>
        <v>-</v>
      </c>
      <c r="J5" s="381" t="str">
        <f t="shared" si="0"/>
        <v>-</v>
      </c>
      <c r="K5" s="382" t="str">
        <f t="shared" si="0"/>
        <v>-</v>
      </c>
      <c r="L5" s="383"/>
    </row>
    <row r="6" spans="2:12" s="388" customFormat="1" ht="15.75" customHeight="1">
      <c r="B6" s="373"/>
      <c r="C6" s="1148" t="s">
        <v>612</v>
      </c>
      <c r="D6" s="1149"/>
      <c r="E6" s="1149"/>
      <c r="F6" s="1150"/>
      <c r="G6" s="385"/>
      <c r="H6" s="385"/>
      <c r="I6" s="385"/>
      <c r="J6" s="385"/>
      <c r="K6" s="386"/>
      <c r="L6" s="387"/>
    </row>
    <row r="7" spans="2:12" s="394" customFormat="1" ht="12.75">
      <c r="B7" s="389"/>
      <c r="C7" s="1151" t="s">
        <v>613</v>
      </c>
      <c r="D7" s="1152"/>
      <c r="E7" s="1152"/>
      <c r="F7" s="1153"/>
      <c r="G7" s="390"/>
      <c r="H7" s="391"/>
      <c r="I7" s="391"/>
      <c r="J7" s="391"/>
      <c r="K7" s="392"/>
      <c r="L7" s="393"/>
    </row>
    <row r="8" spans="2:12" s="394" customFormat="1" ht="13.5" thickBot="1">
      <c r="B8" s="389"/>
      <c r="C8" s="1154" t="s">
        <v>614</v>
      </c>
      <c r="D8" s="1155"/>
      <c r="E8" s="1155"/>
      <c r="F8" s="1156"/>
      <c r="G8" s="395"/>
      <c r="H8" s="396"/>
      <c r="I8" s="396"/>
      <c r="J8" s="396"/>
      <c r="K8" s="397"/>
      <c r="L8" s="393"/>
    </row>
    <row r="9" spans="2:12" ht="16.5" customHeight="1">
      <c r="B9" s="379"/>
      <c r="C9" s="986" t="s">
        <v>615</v>
      </c>
      <c r="D9" s="987"/>
      <c r="E9" s="987"/>
      <c r="F9" s="987"/>
      <c r="G9" s="398"/>
      <c r="H9" s="398"/>
      <c r="I9" s="398"/>
      <c r="J9" s="398"/>
      <c r="K9" s="399"/>
      <c r="L9" s="378"/>
    </row>
    <row r="10" spans="2:12" ht="16.5" customHeight="1">
      <c r="B10" s="379"/>
      <c r="C10" s="400"/>
      <c r="D10" s="955" t="s">
        <v>616</v>
      </c>
      <c r="E10" s="956"/>
      <c r="F10" s="957"/>
      <c r="G10" s="401">
        <f>SUM(G11,G15,G19)</f>
        <v>0</v>
      </c>
      <c r="H10" s="401">
        <f>SUM(H11,H15,H19)</f>
        <v>0</v>
      </c>
      <c r="I10" s="401">
        <f>SUM(I11,I15,I19)</f>
        <v>0</v>
      </c>
      <c r="J10" s="401">
        <f>SUM(J11,J15,J19)</f>
        <v>0</v>
      </c>
      <c r="K10" s="402">
        <f>SUM(K11,K15,K19)</f>
        <v>0</v>
      </c>
      <c r="L10" s="378"/>
    </row>
    <row r="11" spans="2:12" s="388" customFormat="1" ht="15" customHeight="1" outlineLevel="1">
      <c r="B11" s="403"/>
      <c r="C11" s="1045"/>
      <c r="D11" s="404"/>
      <c r="E11" s="1058" t="s">
        <v>617</v>
      </c>
      <c r="F11" s="1059"/>
      <c r="G11" s="405">
        <f>SUM(G12:G14)</f>
        <v>0</v>
      </c>
      <c r="H11" s="405">
        <f>SUM(H12:H14)</f>
        <v>0</v>
      </c>
      <c r="I11" s="405">
        <f>SUM(I12:I14)</f>
        <v>0</v>
      </c>
      <c r="J11" s="405">
        <f>SUM(J12:J14)</f>
        <v>0</v>
      </c>
      <c r="K11" s="406">
        <f>SUM(K12:K14)</f>
        <v>0</v>
      </c>
      <c r="L11" s="387"/>
    </row>
    <row r="12" spans="2:12" s="413" customFormat="1" ht="13.5" customHeight="1" outlineLevel="2">
      <c r="B12" s="407"/>
      <c r="C12" s="1045"/>
      <c r="D12" s="1042"/>
      <c r="E12" s="408"/>
      <c r="F12" s="409" t="s">
        <v>618</v>
      </c>
      <c r="G12" s="410"/>
      <c r="H12" s="410"/>
      <c r="I12" s="410"/>
      <c r="J12" s="410"/>
      <c r="K12" s="411"/>
      <c r="L12" s="412"/>
    </row>
    <row r="13" spans="2:12" s="413" customFormat="1" ht="13.5" customHeight="1" outlineLevel="2">
      <c r="B13" s="407"/>
      <c r="C13" s="1045"/>
      <c r="D13" s="1042"/>
      <c r="F13" s="414" t="s">
        <v>619</v>
      </c>
      <c r="G13" s="415"/>
      <c r="H13" s="415"/>
      <c r="I13" s="415"/>
      <c r="J13" s="415"/>
      <c r="K13" s="416"/>
      <c r="L13" s="412"/>
    </row>
    <row r="14" spans="2:12" s="413" customFormat="1" ht="13.5" customHeight="1" outlineLevel="2">
      <c r="B14" s="407"/>
      <c r="C14" s="1045"/>
      <c r="D14" s="1042"/>
      <c r="F14" s="414" t="s">
        <v>620</v>
      </c>
      <c r="G14" s="415"/>
      <c r="H14" s="415"/>
      <c r="I14" s="415"/>
      <c r="J14" s="415"/>
      <c r="K14" s="416"/>
      <c r="L14" s="412"/>
    </row>
    <row r="15" spans="2:12" s="388" customFormat="1" ht="15" customHeight="1" outlineLevel="1">
      <c r="B15" s="403"/>
      <c r="C15" s="1045"/>
      <c r="E15" s="955" t="s">
        <v>621</v>
      </c>
      <c r="F15" s="957"/>
      <c r="G15" s="417">
        <f>SUM(G16:G18)</f>
        <v>0</v>
      </c>
      <c r="H15" s="417">
        <f>SUM(H16:H18)</f>
        <v>0</v>
      </c>
      <c r="I15" s="417">
        <f>SUM(I16:I18)</f>
        <v>0</v>
      </c>
      <c r="J15" s="417">
        <f>SUM(J16:J18)</f>
        <v>0</v>
      </c>
      <c r="K15" s="418">
        <f>SUM(K16:K18)</f>
        <v>0</v>
      </c>
      <c r="L15" s="387"/>
    </row>
    <row r="16" spans="2:12" s="413" customFormat="1" ht="13.5" customHeight="1" outlineLevel="2">
      <c r="B16" s="407"/>
      <c r="C16" s="1045"/>
      <c r="D16" s="1042"/>
      <c r="E16" s="408"/>
      <c r="F16" s="409" t="s">
        <v>618</v>
      </c>
      <c r="G16" s="410"/>
      <c r="H16" s="410"/>
      <c r="I16" s="410"/>
      <c r="J16" s="410"/>
      <c r="K16" s="411"/>
      <c r="L16" s="412"/>
    </row>
    <row r="17" spans="2:12" s="413" customFormat="1" ht="13.5" customHeight="1" outlineLevel="2">
      <c r="B17" s="407"/>
      <c r="C17" s="1045"/>
      <c r="D17" s="1042"/>
      <c r="F17" s="414" t="s">
        <v>619</v>
      </c>
      <c r="G17" s="415"/>
      <c r="H17" s="415"/>
      <c r="I17" s="415"/>
      <c r="J17" s="415"/>
      <c r="K17" s="416"/>
      <c r="L17" s="412"/>
    </row>
    <row r="18" spans="2:12" s="413" customFormat="1" ht="13.5" customHeight="1" outlineLevel="2">
      <c r="B18" s="407"/>
      <c r="C18" s="1045"/>
      <c r="D18" s="1042"/>
      <c r="F18" s="414" t="s">
        <v>620</v>
      </c>
      <c r="G18" s="415"/>
      <c r="H18" s="415"/>
      <c r="I18" s="415"/>
      <c r="J18" s="415"/>
      <c r="K18" s="416"/>
      <c r="L18" s="412"/>
    </row>
    <row r="19" spans="2:12" s="413" customFormat="1" ht="13.5" customHeight="1" outlineLevel="1">
      <c r="B19" s="407"/>
      <c r="C19" s="1045"/>
      <c r="E19" s="955" t="s">
        <v>622</v>
      </c>
      <c r="F19" s="957"/>
      <c r="G19" s="415"/>
      <c r="H19" s="415"/>
      <c r="I19" s="415"/>
      <c r="J19" s="415"/>
      <c r="K19" s="416"/>
      <c r="L19" s="412"/>
    </row>
    <row r="20" spans="2:12" s="388" customFormat="1" ht="15" customHeight="1">
      <c r="B20" s="403"/>
      <c r="C20" s="1045"/>
      <c r="D20" s="955" t="s">
        <v>623</v>
      </c>
      <c r="E20" s="956"/>
      <c r="F20" s="957"/>
      <c r="G20" s="419"/>
      <c r="H20" s="419"/>
      <c r="I20" s="419"/>
      <c r="J20" s="419"/>
      <c r="K20" s="420"/>
      <c r="L20" s="387"/>
    </row>
    <row r="21" spans="2:12" s="388" customFormat="1" ht="15" customHeight="1" thickBot="1">
      <c r="B21" s="403"/>
      <c r="C21" s="1046"/>
      <c r="D21" s="1007" t="s">
        <v>624</v>
      </c>
      <c r="E21" s="1008"/>
      <c r="F21" s="1009"/>
      <c r="G21" s="421"/>
      <c r="H21" s="421"/>
      <c r="I21" s="421"/>
      <c r="J21" s="421"/>
      <c r="K21" s="422"/>
      <c r="L21" s="387"/>
    </row>
    <row r="22" spans="2:12" ht="16.5" customHeight="1" thickBot="1">
      <c r="B22" s="379"/>
      <c r="C22" s="965" t="s">
        <v>625</v>
      </c>
      <c r="D22" s="966"/>
      <c r="E22" s="966"/>
      <c r="F22" s="966"/>
      <c r="G22" s="423">
        <f>SUM(G10+G20)-G21</f>
        <v>0</v>
      </c>
      <c r="H22" s="423">
        <f>SUM(H10+H20)-H21</f>
        <v>0</v>
      </c>
      <c r="I22" s="423">
        <f t="shared" ref="I22:K22" si="1">SUM(I10+I20)-I21</f>
        <v>0</v>
      </c>
      <c r="J22" s="423">
        <f t="shared" si="1"/>
        <v>0</v>
      </c>
      <c r="K22" s="424">
        <f t="shared" si="1"/>
        <v>0</v>
      </c>
      <c r="L22" s="378"/>
    </row>
    <row r="23" spans="2:12" ht="7.5" customHeight="1">
      <c r="B23" s="379"/>
      <c r="C23" s="967"/>
      <c r="D23" s="968"/>
      <c r="E23" s="968"/>
      <c r="F23" s="968"/>
      <c r="G23" s="968"/>
      <c r="H23" s="968"/>
      <c r="I23" s="968"/>
      <c r="J23" s="968"/>
      <c r="K23" s="969"/>
      <c r="L23" s="378"/>
    </row>
    <row r="24" spans="2:12" ht="16.5" customHeight="1">
      <c r="B24" s="379"/>
      <c r="C24" s="1043" t="s">
        <v>626</v>
      </c>
      <c r="D24" s="1044"/>
      <c r="E24" s="1044"/>
      <c r="F24" s="1044"/>
      <c r="G24" s="413"/>
      <c r="H24" s="413"/>
      <c r="I24" s="413"/>
      <c r="J24" s="413"/>
      <c r="K24" s="412"/>
      <c r="L24" s="412"/>
    </row>
    <row r="25" spans="2:12" ht="16.5" customHeight="1">
      <c r="B25" s="379"/>
      <c r="C25" s="425"/>
      <c r="D25" s="955" t="s">
        <v>627</v>
      </c>
      <c r="E25" s="956"/>
      <c r="F25" s="957"/>
      <c r="G25" s="417">
        <f>G26+G30+G33</f>
        <v>0</v>
      </c>
      <c r="H25" s="417">
        <f>H26+H30+H33</f>
        <v>0</v>
      </c>
      <c r="I25" s="417">
        <f>I26+I30+I33</f>
        <v>0</v>
      </c>
      <c r="J25" s="417">
        <f>J26+J30+J33</f>
        <v>0</v>
      </c>
      <c r="K25" s="418">
        <f>K26+K30+K33</f>
        <v>0</v>
      </c>
      <c r="L25" s="412"/>
    </row>
    <row r="26" spans="2:12" s="388" customFormat="1" ht="15" customHeight="1" outlineLevel="1">
      <c r="B26" s="403"/>
      <c r="C26" s="1045"/>
      <c r="D26" s="404"/>
      <c r="E26" s="1047" t="s">
        <v>628</v>
      </c>
      <c r="F26" s="1048"/>
      <c r="G26" s="405">
        <f>G28+G27-G29</f>
        <v>0</v>
      </c>
      <c r="H26" s="405">
        <f>H28+H27-H29</f>
        <v>0</v>
      </c>
      <c r="I26" s="405">
        <f>I28+I27-I29</f>
        <v>0</v>
      </c>
      <c r="J26" s="405">
        <f>J28+J27-J29</f>
        <v>0</v>
      </c>
      <c r="K26" s="406">
        <f>K28+K27-K29</f>
        <v>0</v>
      </c>
      <c r="L26" s="387"/>
    </row>
    <row r="27" spans="2:12" s="413" customFormat="1" ht="13.5" customHeight="1" outlineLevel="2">
      <c r="B27" s="407"/>
      <c r="C27" s="1045"/>
      <c r="D27" s="1042"/>
      <c r="E27" s="408"/>
      <c r="F27" s="409" t="s">
        <v>629</v>
      </c>
      <c r="G27" s="410"/>
      <c r="H27" s="410"/>
      <c r="I27" s="410"/>
      <c r="J27" s="410"/>
      <c r="K27" s="411"/>
      <c r="L27" s="412"/>
    </row>
    <row r="28" spans="2:12" s="413" customFormat="1" ht="16.5" customHeight="1" outlineLevel="2">
      <c r="B28" s="407"/>
      <c r="C28" s="1045"/>
      <c r="D28" s="1042"/>
      <c r="F28" s="414" t="s">
        <v>630</v>
      </c>
      <c r="G28" s="415"/>
      <c r="H28" s="415"/>
      <c r="I28" s="415"/>
      <c r="J28" s="415"/>
      <c r="K28" s="416"/>
      <c r="L28" s="412"/>
    </row>
    <row r="29" spans="2:12" s="413" customFormat="1" ht="16.5" customHeight="1" outlineLevel="2">
      <c r="B29" s="407"/>
      <c r="C29" s="1045"/>
      <c r="D29" s="1042"/>
      <c r="F29" s="414" t="s">
        <v>631</v>
      </c>
      <c r="G29" s="415"/>
      <c r="H29" s="415"/>
      <c r="I29" s="415"/>
      <c r="J29" s="415"/>
      <c r="K29" s="416"/>
      <c r="L29" s="412"/>
    </row>
    <row r="30" spans="2:12" s="388" customFormat="1" ht="16.5" customHeight="1" outlineLevel="1">
      <c r="B30" s="403"/>
      <c r="C30" s="1045"/>
      <c r="E30" s="1040" t="s">
        <v>632</v>
      </c>
      <c r="F30" s="1041"/>
      <c r="G30" s="417">
        <f>G31-G32</f>
        <v>0</v>
      </c>
      <c r="H30" s="417">
        <f>H31-H32</f>
        <v>0</v>
      </c>
      <c r="I30" s="417">
        <f>I31-I32</f>
        <v>0</v>
      </c>
      <c r="J30" s="417">
        <f>J31-J32</f>
        <v>0</v>
      </c>
      <c r="K30" s="418">
        <f>K31-K32</f>
        <v>0</v>
      </c>
      <c r="L30" s="387"/>
    </row>
    <row r="31" spans="2:12" s="413" customFormat="1" ht="13.5" customHeight="1" outlineLevel="2">
      <c r="B31" s="407"/>
      <c r="C31" s="1045"/>
      <c r="D31" s="1042"/>
      <c r="E31" s="408"/>
      <c r="F31" s="409" t="s">
        <v>629</v>
      </c>
      <c r="G31" s="410"/>
      <c r="H31" s="410"/>
      <c r="I31" s="410"/>
      <c r="J31" s="410"/>
      <c r="K31" s="411"/>
      <c r="L31" s="412"/>
    </row>
    <row r="32" spans="2:12" s="413" customFormat="1" ht="13.5" customHeight="1" outlineLevel="2">
      <c r="B32" s="407"/>
      <c r="C32" s="1045"/>
      <c r="D32" s="1042"/>
      <c r="F32" s="414" t="s">
        <v>631</v>
      </c>
      <c r="G32" s="415"/>
      <c r="H32" s="415"/>
      <c r="I32" s="415"/>
      <c r="J32" s="415"/>
      <c r="K32" s="416"/>
      <c r="L32" s="412"/>
    </row>
    <row r="33" spans="2:12" s="388" customFormat="1" ht="15" customHeight="1" outlineLevel="1">
      <c r="B33" s="403"/>
      <c r="C33" s="1045"/>
      <c r="E33" s="1040" t="s">
        <v>633</v>
      </c>
      <c r="F33" s="1041"/>
      <c r="G33" s="417">
        <f>G35+G34-G36</f>
        <v>0</v>
      </c>
      <c r="H33" s="417">
        <f>H35+H34-H36</f>
        <v>0</v>
      </c>
      <c r="I33" s="417">
        <f>I35+I34-I36</f>
        <v>0</v>
      </c>
      <c r="J33" s="417">
        <f>J35+J34-J36</f>
        <v>0</v>
      </c>
      <c r="K33" s="418">
        <f>K35+K34-K36</f>
        <v>0</v>
      </c>
      <c r="L33" s="387"/>
    </row>
    <row r="34" spans="2:12" s="413" customFormat="1" ht="13.5" customHeight="1" outlineLevel="1">
      <c r="B34" s="407"/>
      <c r="C34" s="1045"/>
      <c r="D34" s="1042"/>
      <c r="E34" s="408"/>
      <c r="F34" s="409" t="s">
        <v>629</v>
      </c>
      <c r="G34" s="410"/>
      <c r="H34" s="410"/>
      <c r="I34" s="410"/>
      <c r="J34" s="410"/>
      <c r="K34" s="411"/>
      <c r="L34" s="412"/>
    </row>
    <row r="35" spans="2:12" s="413" customFormat="1" ht="13.5" customHeight="1" outlineLevel="1">
      <c r="B35" s="407"/>
      <c r="C35" s="1045"/>
      <c r="D35" s="1042"/>
      <c r="F35" s="414" t="s">
        <v>630</v>
      </c>
      <c r="G35" s="415"/>
      <c r="H35" s="415"/>
      <c r="I35" s="415"/>
      <c r="J35" s="415"/>
      <c r="K35" s="416"/>
      <c r="L35" s="412"/>
    </row>
    <row r="36" spans="2:12" s="413" customFormat="1" ht="13.5" customHeight="1" outlineLevel="1">
      <c r="B36" s="407"/>
      <c r="C36" s="1045"/>
      <c r="D36" s="1042"/>
      <c r="F36" s="414" t="s">
        <v>631</v>
      </c>
      <c r="G36" s="415"/>
      <c r="H36" s="415"/>
      <c r="I36" s="415"/>
      <c r="J36" s="415"/>
      <c r="K36" s="416"/>
      <c r="L36" s="412"/>
    </row>
    <row r="37" spans="2:12" s="413" customFormat="1" ht="13.5" customHeight="1">
      <c r="B37" s="407"/>
      <c r="C37" s="1045"/>
      <c r="D37" s="955" t="s">
        <v>634</v>
      </c>
      <c r="E37" s="956"/>
      <c r="F37" s="957"/>
      <c r="G37" s="415">
        <f>SUM(G38:G41)</f>
        <v>0</v>
      </c>
      <c r="H37" s="415">
        <f>SUM(H38:H41)</f>
        <v>0</v>
      </c>
      <c r="I37" s="415">
        <f>SUM(I38:I41)</f>
        <v>0</v>
      </c>
      <c r="J37" s="415">
        <f>SUM(J38:J41)</f>
        <v>0</v>
      </c>
      <c r="K37" s="416">
        <f>SUM(K38:K41)</f>
        <v>0</v>
      </c>
      <c r="L37" s="412"/>
    </row>
    <row r="38" spans="2:12" s="413" customFormat="1" ht="15" customHeight="1" outlineLevel="1">
      <c r="B38" s="407"/>
      <c r="C38" s="1045"/>
      <c r="D38" s="408"/>
      <c r="E38" s="997" t="s">
        <v>635</v>
      </c>
      <c r="F38" s="998"/>
      <c r="G38" s="410"/>
      <c r="H38" s="410"/>
      <c r="I38" s="410"/>
      <c r="J38" s="410"/>
      <c r="K38" s="411"/>
      <c r="L38" s="412"/>
    </row>
    <row r="39" spans="2:12" s="413" customFormat="1" ht="15" customHeight="1" outlineLevel="1">
      <c r="B39" s="407"/>
      <c r="C39" s="1045"/>
      <c r="E39" s="991" t="s">
        <v>636</v>
      </c>
      <c r="F39" s="992"/>
      <c r="G39" s="415"/>
      <c r="H39" s="415"/>
      <c r="I39" s="415"/>
      <c r="J39" s="415"/>
      <c r="K39" s="416"/>
      <c r="L39" s="412"/>
    </row>
    <row r="40" spans="2:12" s="413" customFormat="1" ht="15" customHeight="1" outlineLevel="1">
      <c r="B40" s="407"/>
      <c r="C40" s="1045"/>
      <c r="E40" s="991" t="s">
        <v>637</v>
      </c>
      <c r="F40" s="992"/>
      <c r="G40" s="415"/>
      <c r="H40" s="415"/>
      <c r="I40" s="415"/>
      <c r="J40" s="415"/>
      <c r="K40" s="416"/>
      <c r="L40" s="412"/>
    </row>
    <row r="41" spans="2:12" s="413" customFormat="1" ht="15" customHeight="1" outlineLevel="1" thickBot="1">
      <c r="B41" s="407"/>
      <c r="C41" s="1046"/>
      <c r="D41" s="426"/>
      <c r="E41" s="1017" t="s">
        <v>638</v>
      </c>
      <c r="F41" s="1018"/>
      <c r="G41" s="415"/>
      <c r="H41" s="415"/>
      <c r="I41" s="415"/>
      <c r="J41" s="415"/>
      <c r="K41" s="416"/>
      <c r="L41" s="412"/>
    </row>
    <row r="42" spans="2:12" ht="16.5" customHeight="1" thickBot="1">
      <c r="B42" s="379"/>
      <c r="C42" s="965" t="s">
        <v>9</v>
      </c>
      <c r="D42" s="966"/>
      <c r="E42" s="966"/>
      <c r="F42" s="966" t="s">
        <v>639</v>
      </c>
      <c r="G42" s="423">
        <f>G22-SUM(G25,G37)</f>
        <v>0</v>
      </c>
      <c r="H42" s="423">
        <f>H22-SUM(H25,H37)</f>
        <v>0</v>
      </c>
      <c r="I42" s="423">
        <f>I22-SUM(I25,I37)</f>
        <v>0</v>
      </c>
      <c r="J42" s="423">
        <f>J22-SUM(J25,J37)</f>
        <v>0</v>
      </c>
      <c r="K42" s="424">
        <f>K22-SUM(K25,K37)</f>
        <v>0</v>
      </c>
      <c r="L42" s="378"/>
    </row>
    <row r="43" spans="2:12" ht="7.5" customHeight="1">
      <c r="B43" s="379"/>
      <c r="C43" s="967"/>
      <c r="D43" s="968"/>
      <c r="E43" s="968"/>
      <c r="F43" s="968"/>
      <c r="G43" s="968"/>
      <c r="H43" s="968"/>
      <c r="I43" s="968"/>
      <c r="J43" s="968"/>
      <c r="K43" s="969"/>
      <c r="L43" s="378"/>
    </row>
    <row r="44" spans="2:12" s="388" customFormat="1" ht="15" customHeight="1">
      <c r="B44" s="403"/>
      <c r="C44" s="403"/>
      <c r="D44" s="955" t="s">
        <v>640</v>
      </c>
      <c r="E44" s="956"/>
      <c r="F44" s="957"/>
      <c r="G44" s="401">
        <f>SUM(G45,G46,G47)</f>
        <v>0</v>
      </c>
      <c r="H44" s="401">
        <f>SUM(H45,H46,H47)</f>
        <v>0</v>
      </c>
      <c r="I44" s="401">
        <f>SUM(I45,I46,I47)</f>
        <v>0</v>
      </c>
      <c r="J44" s="401">
        <f>SUM(J45,J46,J47)</f>
        <v>0</v>
      </c>
      <c r="K44" s="402">
        <f>SUM(K45,K46,K47)</f>
        <v>0</v>
      </c>
      <c r="L44" s="387"/>
    </row>
    <row r="45" spans="2:12" s="413" customFormat="1" ht="15" customHeight="1" outlineLevel="1">
      <c r="B45" s="407"/>
      <c r="C45" s="1012"/>
      <c r="D45" s="408"/>
      <c r="E45" s="1015" t="s">
        <v>641</v>
      </c>
      <c r="F45" s="1016"/>
      <c r="G45" s="427"/>
      <c r="H45" s="410"/>
      <c r="I45" s="410"/>
      <c r="J45" s="410"/>
      <c r="K45" s="411"/>
      <c r="L45" s="412"/>
    </row>
    <row r="46" spans="2:12" s="413" customFormat="1" ht="15" customHeight="1" outlineLevel="1">
      <c r="B46" s="407"/>
      <c r="C46" s="1012"/>
      <c r="D46" s="428"/>
      <c r="E46" s="991" t="s">
        <v>642</v>
      </c>
      <c r="F46" s="992"/>
      <c r="G46" s="415"/>
      <c r="H46" s="415"/>
      <c r="I46" s="415"/>
      <c r="J46" s="415"/>
      <c r="K46" s="416"/>
      <c r="L46" s="412"/>
    </row>
    <row r="47" spans="2:12" s="413" customFormat="1" ht="15" customHeight="1" outlineLevel="1">
      <c r="B47" s="407"/>
      <c r="C47" s="1012"/>
      <c r="D47" s="428"/>
      <c r="E47" s="1005" t="s">
        <v>279</v>
      </c>
      <c r="F47" s="1006"/>
      <c r="G47" s="429"/>
      <c r="H47" s="429"/>
      <c r="I47" s="415"/>
      <c r="J47" s="415"/>
      <c r="K47" s="416"/>
      <c r="L47" s="412"/>
    </row>
    <row r="48" spans="2:12" s="388" customFormat="1" ht="15" customHeight="1">
      <c r="B48" s="403"/>
      <c r="C48" s="1012"/>
      <c r="D48" s="955" t="s">
        <v>643</v>
      </c>
      <c r="E48" s="956"/>
      <c r="F48" s="957"/>
      <c r="G48" s="417">
        <f>SUM(G49:G50)</f>
        <v>0</v>
      </c>
      <c r="H48" s="417">
        <f>SUM(H49:H50)</f>
        <v>0</v>
      </c>
      <c r="I48" s="417">
        <f>SUM(I49:I50)</f>
        <v>0</v>
      </c>
      <c r="J48" s="417">
        <f>SUM(J49:J50)</f>
        <v>0</v>
      </c>
      <c r="K48" s="418">
        <f>SUM(K49:K50)</f>
        <v>0</v>
      </c>
      <c r="L48" s="387"/>
    </row>
    <row r="49" spans="1:12" s="413" customFormat="1" ht="13.5" customHeight="1" outlineLevel="1">
      <c r="B49" s="407"/>
      <c r="C49" s="1012"/>
      <c r="D49" s="408"/>
      <c r="E49" s="997" t="s">
        <v>644</v>
      </c>
      <c r="F49" s="998"/>
      <c r="G49" s="410"/>
      <c r="H49" s="410"/>
      <c r="I49" s="410"/>
      <c r="J49" s="410"/>
      <c r="K49" s="411"/>
      <c r="L49" s="412"/>
    </row>
    <row r="50" spans="1:12" s="413" customFormat="1" ht="13.5" customHeight="1" outlineLevel="1">
      <c r="B50" s="407"/>
      <c r="C50" s="1012"/>
      <c r="E50" s="991" t="s">
        <v>645</v>
      </c>
      <c r="F50" s="992"/>
      <c r="G50" s="415"/>
      <c r="H50" s="415"/>
      <c r="I50" s="415"/>
      <c r="J50" s="415"/>
      <c r="K50" s="416"/>
      <c r="L50" s="412"/>
    </row>
    <row r="51" spans="1:12" s="388" customFormat="1" ht="15" customHeight="1">
      <c r="A51" s="413"/>
      <c r="B51" s="403"/>
      <c r="C51" s="1012"/>
      <c r="D51" s="955" t="s">
        <v>646</v>
      </c>
      <c r="E51" s="956"/>
      <c r="F51" s="957"/>
      <c r="G51" s="417">
        <f>SUM(G52:G53)</f>
        <v>0</v>
      </c>
      <c r="H51" s="417">
        <f>SUM(H52:H53)</f>
        <v>0</v>
      </c>
      <c r="I51" s="417">
        <f>SUM(I52:I53)</f>
        <v>0</v>
      </c>
      <c r="J51" s="417">
        <f>SUM(J52:J53)</f>
        <v>0</v>
      </c>
      <c r="K51" s="418">
        <f>SUM(K52:K53)</f>
        <v>0</v>
      </c>
      <c r="L51" s="387"/>
    </row>
    <row r="52" spans="1:12" s="413" customFormat="1" ht="13.5" customHeight="1" outlineLevel="1">
      <c r="B52" s="407"/>
      <c r="C52" s="1012"/>
      <c r="D52" s="408"/>
      <c r="E52" s="997" t="s">
        <v>647</v>
      </c>
      <c r="F52" s="998"/>
      <c r="G52" s="410"/>
      <c r="H52" s="410"/>
      <c r="I52" s="410"/>
      <c r="J52" s="410"/>
      <c r="K52" s="411"/>
      <c r="L52" s="412"/>
    </row>
    <row r="53" spans="1:12" s="413" customFormat="1" ht="13.5" customHeight="1" outlineLevel="1" thickBot="1">
      <c r="B53" s="407"/>
      <c r="C53" s="1024"/>
      <c r="D53" s="426"/>
      <c r="E53" s="1017" t="s">
        <v>279</v>
      </c>
      <c r="F53" s="1018"/>
      <c r="G53" s="430"/>
      <c r="H53" s="430"/>
      <c r="I53" s="430"/>
      <c r="J53" s="430"/>
      <c r="K53" s="431"/>
      <c r="L53" s="412"/>
    </row>
    <row r="54" spans="1:12" ht="16.5" customHeight="1" thickBot="1">
      <c r="A54" s="413"/>
      <c r="B54" s="379"/>
      <c r="C54" s="1010" t="s">
        <v>648</v>
      </c>
      <c r="D54" s="1011"/>
      <c r="E54" s="1011"/>
      <c r="F54" s="1011"/>
      <c r="G54" s="432">
        <f>G42-SUM(G44,G48,G51)</f>
        <v>0</v>
      </c>
      <c r="H54" s="432">
        <f>H42-SUM(H44,H48,H51)</f>
        <v>0</v>
      </c>
      <c r="I54" s="432">
        <f>I42-SUM(I44,I48,I51)</f>
        <v>0</v>
      </c>
      <c r="J54" s="432">
        <f>J42-SUM(J44,J48,J51)</f>
        <v>0</v>
      </c>
      <c r="K54" s="433">
        <f>K42-SUM(K44,K48,K51)</f>
        <v>0</v>
      </c>
      <c r="L54" s="378"/>
    </row>
    <row r="55" spans="1:12" ht="7.5" customHeight="1">
      <c r="B55" s="379"/>
      <c r="C55" s="967"/>
      <c r="D55" s="968"/>
      <c r="E55" s="968"/>
      <c r="F55" s="968"/>
      <c r="G55" s="968"/>
      <c r="H55" s="968"/>
      <c r="I55" s="968"/>
      <c r="J55" s="968"/>
      <c r="K55" s="969"/>
      <c r="L55" s="378"/>
    </row>
    <row r="56" spans="1:12" s="388" customFormat="1" ht="15" customHeight="1">
      <c r="A56" s="371"/>
      <c r="B56" s="403"/>
      <c r="C56" s="1012"/>
      <c r="D56" s="955" t="s">
        <v>649</v>
      </c>
      <c r="E56" s="956"/>
      <c r="F56" s="957"/>
      <c r="G56" s="419"/>
      <c r="H56" s="419"/>
      <c r="I56" s="419"/>
      <c r="J56" s="419"/>
      <c r="K56" s="420"/>
      <c r="L56" s="387"/>
    </row>
    <row r="57" spans="1:12" s="388" customFormat="1" ht="15" customHeight="1">
      <c r="B57" s="403"/>
      <c r="C57" s="1012"/>
      <c r="D57" s="955" t="s">
        <v>650</v>
      </c>
      <c r="E57" s="956"/>
      <c r="F57" s="957"/>
      <c r="G57" s="419">
        <f>SUM(G59:G59)</f>
        <v>0</v>
      </c>
      <c r="H57" s="419">
        <f>SUM(H58:H59)</f>
        <v>0</v>
      </c>
      <c r="I57" s="419">
        <f>SUM(I58:I59)</f>
        <v>0</v>
      </c>
      <c r="J57" s="419">
        <f>SUM(J58:J59)</f>
        <v>0</v>
      </c>
      <c r="K57" s="420">
        <f>SUM(K59:K59)</f>
        <v>0</v>
      </c>
      <c r="L57" s="387"/>
    </row>
    <row r="58" spans="1:12" s="413" customFormat="1" ht="15" customHeight="1" outlineLevel="1">
      <c r="B58" s="407"/>
      <c r="C58" s="1012"/>
      <c r="D58" s="408"/>
      <c r="E58" s="997" t="s">
        <v>651</v>
      </c>
      <c r="F58" s="998"/>
      <c r="G58" s="410"/>
      <c r="H58" s="410"/>
      <c r="I58" s="410"/>
      <c r="J58" s="410"/>
      <c r="K58" s="411"/>
      <c r="L58" s="412"/>
    </row>
    <row r="59" spans="1:12" s="413" customFormat="1" ht="15" customHeight="1" outlineLevel="1">
      <c r="B59" s="407"/>
      <c r="C59" s="1012"/>
      <c r="E59" s="991" t="s">
        <v>652</v>
      </c>
      <c r="F59" s="992"/>
      <c r="G59" s="415"/>
      <c r="H59" s="415"/>
      <c r="I59" s="415"/>
      <c r="J59" s="415"/>
      <c r="K59" s="416"/>
      <c r="L59" s="412"/>
    </row>
    <row r="60" spans="1:12" s="388" customFormat="1" ht="15" customHeight="1">
      <c r="B60" s="403"/>
      <c r="C60" s="1012"/>
      <c r="D60" s="955" t="s">
        <v>653</v>
      </c>
      <c r="E60" s="956"/>
      <c r="F60" s="957"/>
      <c r="G60" s="419">
        <f>SUM(G61:G62)</f>
        <v>0</v>
      </c>
      <c r="H60" s="419">
        <f>SUM(H61:H62)</f>
        <v>0</v>
      </c>
      <c r="I60" s="419">
        <f>SUM(I61:I62)</f>
        <v>0</v>
      </c>
      <c r="J60" s="419">
        <f>SUM(J61:J62)</f>
        <v>0</v>
      </c>
      <c r="K60" s="420">
        <f>SUM(K61:K62)</f>
        <v>0</v>
      </c>
      <c r="L60" s="387"/>
    </row>
    <row r="61" spans="1:12" s="413" customFormat="1" ht="15" customHeight="1" outlineLevel="1">
      <c r="B61" s="407"/>
      <c r="C61" s="1012"/>
      <c r="D61" s="434"/>
      <c r="E61" s="1015" t="s">
        <v>654</v>
      </c>
      <c r="F61" s="1016"/>
      <c r="G61" s="410"/>
      <c r="H61" s="410"/>
      <c r="I61" s="410"/>
      <c r="J61" s="410"/>
      <c r="K61" s="411"/>
      <c r="L61" s="412"/>
    </row>
    <row r="62" spans="1:12" s="413" customFormat="1" ht="15" customHeight="1" outlineLevel="1">
      <c r="B62" s="407"/>
      <c r="C62" s="1012"/>
      <c r="D62" s="428"/>
      <c r="E62" s="991" t="s">
        <v>655</v>
      </c>
      <c r="F62" s="992"/>
      <c r="G62" s="415"/>
      <c r="H62" s="415"/>
      <c r="I62" s="415"/>
      <c r="J62" s="415"/>
      <c r="K62" s="416"/>
      <c r="L62" s="412"/>
    </row>
    <row r="63" spans="1:12" s="388" customFormat="1" ht="15" customHeight="1" thickBot="1">
      <c r="B63" s="403"/>
      <c r="C63" s="1024"/>
      <c r="D63" s="1007" t="s">
        <v>656</v>
      </c>
      <c r="E63" s="1008"/>
      <c r="F63" s="1009"/>
      <c r="G63" s="421"/>
      <c r="H63" s="415"/>
      <c r="I63" s="415"/>
      <c r="J63" s="415"/>
      <c r="K63" s="422"/>
      <c r="L63" s="387"/>
    </row>
    <row r="64" spans="1:12" ht="16.5" customHeight="1" thickBot="1">
      <c r="A64" s="388"/>
      <c r="B64" s="379"/>
      <c r="C64" s="965" t="s">
        <v>657</v>
      </c>
      <c r="D64" s="966"/>
      <c r="E64" s="966"/>
      <c r="F64" s="966"/>
      <c r="G64" s="423">
        <f>G54-SUM(G56,G57,G60,G63)</f>
        <v>0</v>
      </c>
      <c r="H64" s="423">
        <f>H54-SUM(H56,H57,H60,H63)</f>
        <v>0</v>
      </c>
      <c r="I64" s="423">
        <f>I54-SUM(I56,I57,I60,I63)</f>
        <v>0</v>
      </c>
      <c r="J64" s="423">
        <f>J54-SUM(J56,J57,J60,J63)</f>
        <v>0</v>
      </c>
      <c r="K64" s="424">
        <f>K54-SUM(K56,K57,K60,K63)</f>
        <v>0</v>
      </c>
      <c r="L64" s="378"/>
    </row>
    <row r="65" spans="1:12" ht="7.5" customHeight="1">
      <c r="B65" s="379"/>
      <c r="C65" s="967"/>
      <c r="D65" s="968"/>
      <c r="E65" s="968"/>
      <c r="F65" s="968"/>
      <c r="G65" s="968"/>
      <c r="H65" s="968"/>
      <c r="I65" s="968"/>
      <c r="J65" s="968"/>
      <c r="K65" s="969"/>
      <c r="L65" s="378"/>
    </row>
    <row r="66" spans="1:12" s="388" customFormat="1" ht="15" customHeight="1">
      <c r="A66" s="371"/>
      <c r="B66" s="403"/>
      <c r="C66" s="1012"/>
      <c r="D66" s="955" t="s">
        <v>658</v>
      </c>
      <c r="E66" s="956"/>
      <c r="F66" s="957"/>
      <c r="G66" s="435">
        <f>SUM(G67:G71)</f>
        <v>0</v>
      </c>
      <c r="H66" s="435">
        <f t="shared" ref="H66:K66" si="2">SUM(H67:H71)</f>
        <v>0</v>
      </c>
      <c r="I66" s="435">
        <f t="shared" si="2"/>
        <v>0</v>
      </c>
      <c r="J66" s="435">
        <f t="shared" si="2"/>
        <v>0</v>
      </c>
      <c r="K66" s="436">
        <f t="shared" si="2"/>
        <v>0</v>
      </c>
      <c r="L66" s="387"/>
    </row>
    <row r="67" spans="1:12" s="413" customFormat="1" ht="13.5" customHeight="1" outlineLevel="1">
      <c r="A67" s="388"/>
      <c r="B67" s="407"/>
      <c r="C67" s="1012"/>
      <c r="D67" s="1038"/>
      <c r="E67" s="997" t="s">
        <v>659</v>
      </c>
      <c r="F67" s="998"/>
      <c r="G67" s="437"/>
      <c r="H67" s="410"/>
      <c r="I67" s="410"/>
      <c r="J67" s="410"/>
      <c r="K67" s="411"/>
      <c r="L67" s="412"/>
    </row>
    <row r="68" spans="1:12" s="413" customFormat="1" ht="13.5" customHeight="1" outlineLevel="1">
      <c r="B68" s="407"/>
      <c r="C68" s="1012"/>
      <c r="D68" s="1001"/>
      <c r="E68" s="991" t="s">
        <v>660</v>
      </c>
      <c r="F68" s="992"/>
      <c r="G68" s="438"/>
      <c r="H68" s="415"/>
      <c r="I68" s="415"/>
      <c r="J68" s="415"/>
      <c r="K68" s="416"/>
      <c r="L68" s="412"/>
    </row>
    <row r="69" spans="1:12" s="413" customFormat="1" ht="13.5" customHeight="1" outlineLevel="1">
      <c r="B69" s="407"/>
      <c r="C69" s="1012"/>
      <c r="D69" s="1001"/>
      <c r="E69" s="991" t="s">
        <v>661</v>
      </c>
      <c r="F69" s="992"/>
      <c r="G69" s="438"/>
      <c r="H69" s="415"/>
      <c r="I69" s="415"/>
      <c r="J69" s="415"/>
      <c r="K69" s="416"/>
      <c r="L69" s="412"/>
    </row>
    <row r="70" spans="1:12" s="413" customFormat="1" ht="13.5" customHeight="1" outlineLevel="1">
      <c r="B70" s="407"/>
      <c r="C70" s="1012"/>
      <c r="D70" s="1001"/>
      <c r="E70" s="991" t="s">
        <v>123</v>
      </c>
      <c r="F70" s="992"/>
      <c r="G70" s="438"/>
      <c r="H70" s="415"/>
      <c r="I70" s="415"/>
      <c r="J70" s="415"/>
      <c r="K70" s="416"/>
      <c r="L70" s="412"/>
    </row>
    <row r="71" spans="1:12" s="413" customFormat="1" ht="13.5" customHeight="1" outlineLevel="1">
      <c r="B71" s="407"/>
      <c r="C71" s="1012"/>
      <c r="E71" s="991" t="s">
        <v>662</v>
      </c>
      <c r="F71" s="992"/>
      <c r="G71" s="438"/>
      <c r="H71" s="415"/>
      <c r="I71" s="415"/>
      <c r="J71" s="415"/>
      <c r="K71" s="416"/>
      <c r="L71" s="412"/>
    </row>
    <row r="72" spans="1:12" s="388" customFormat="1" ht="15" customHeight="1">
      <c r="A72" s="413"/>
      <c r="B72" s="403"/>
      <c r="C72" s="1012"/>
      <c r="D72" s="955" t="s">
        <v>663</v>
      </c>
      <c r="E72" s="956"/>
      <c r="F72" s="957"/>
      <c r="G72" s="417">
        <f>SUM(G73:G79)</f>
        <v>0</v>
      </c>
      <c r="H72" s="417">
        <f>SUM(H73:H79)</f>
        <v>0</v>
      </c>
      <c r="I72" s="417">
        <f>SUM(I73:I79)</f>
        <v>0</v>
      </c>
      <c r="J72" s="417">
        <f>SUM(J73:J79)</f>
        <v>0</v>
      </c>
      <c r="K72" s="418"/>
      <c r="L72" s="387"/>
    </row>
    <row r="73" spans="1:12" s="413" customFormat="1" ht="13.5" customHeight="1" outlineLevel="1">
      <c r="A73" s="388"/>
      <c r="B73" s="407"/>
      <c r="C73" s="1012"/>
      <c r="D73" s="1038"/>
      <c r="E73" s="1015" t="s">
        <v>664</v>
      </c>
      <c r="F73" s="1016"/>
      <c r="G73" s="410"/>
      <c r="H73" s="410"/>
      <c r="I73" s="410"/>
      <c r="J73" s="410"/>
      <c r="K73" s="411"/>
      <c r="L73" s="412"/>
    </row>
    <row r="74" spans="1:12" s="413" customFormat="1" ht="13.5" customHeight="1" outlineLevel="1">
      <c r="B74" s="407"/>
      <c r="C74" s="1012"/>
      <c r="D74" s="1001"/>
      <c r="E74" s="1005" t="s">
        <v>665</v>
      </c>
      <c r="F74" s="1006"/>
      <c r="G74" s="415"/>
      <c r="H74" s="415"/>
      <c r="I74" s="415"/>
      <c r="J74" s="415"/>
      <c r="K74" s="416"/>
      <c r="L74" s="412"/>
    </row>
    <row r="75" spans="1:12" s="413" customFormat="1" ht="13.5" customHeight="1" outlineLevel="1">
      <c r="B75" s="407"/>
      <c r="C75" s="1012"/>
      <c r="D75" s="1001"/>
      <c r="E75" s="1005" t="s">
        <v>666</v>
      </c>
      <c r="F75" s="1006"/>
      <c r="G75" s="415"/>
      <c r="H75" s="415"/>
      <c r="I75" s="415"/>
      <c r="J75" s="415"/>
      <c r="K75" s="416"/>
      <c r="L75" s="412"/>
    </row>
    <row r="76" spans="1:12" s="413" customFormat="1" ht="13.5" customHeight="1" outlineLevel="1">
      <c r="B76" s="407"/>
      <c r="C76" s="1012"/>
      <c r="D76" s="1001"/>
      <c r="E76" s="1005" t="s">
        <v>667</v>
      </c>
      <c r="F76" s="1006"/>
      <c r="G76" s="415"/>
      <c r="H76" s="415"/>
      <c r="I76" s="415"/>
      <c r="J76" s="415"/>
      <c r="K76" s="416"/>
      <c r="L76" s="412"/>
    </row>
    <row r="77" spans="1:12" s="413" customFormat="1" ht="13.5" customHeight="1" outlineLevel="1">
      <c r="B77" s="407"/>
      <c r="C77" s="1012"/>
      <c r="D77" s="1001"/>
      <c r="E77" s="1005" t="s">
        <v>668</v>
      </c>
      <c r="F77" s="1006"/>
      <c r="G77" s="415"/>
      <c r="H77" s="415"/>
      <c r="I77" s="415"/>
      <c r="J77" s="415"/>
      <c r="K77" s="416"/>
      <c r="L77" s="412"/>
    </row>
    <row r="78" spans="1:12" s="413" customFormat="1" ht="13.5" customHeight="1" outlineLevel="1">
      <c r="B78" s="407"/>
      <c r="C78" s="1012"/>
      <c r="D78" s="1001"/>
      <c r="E78" s="1005" t="s">
        <v>669</v>
      </c>
      <c r="F78" s="1006"/>
      <c r="G78" s="415"/>
      <c r="H78" s="415"/>
      <c r="I78" s="415"/>
      <c r="J78" s="415"/>
      <c r="K78" s="416"/>
      <c r="L78" s="412"/>
    </row>
    <row r="79" spans="1:12" s="413" customFormat="1" ht="13.5" customHeight="1" outlineLevel="1" thickBot="1">
      <c r="B79" s="407"/>
      <c r="C79" s="1024"/>
      <c r="D79" s="1039"/>
      <c r="E79" s="999" t="s">
        <v>279</v>
      </c>
      <c r="F79" s="1000"/>
      <c r="G79" s="430"/>
      <c r="H79" s="430"/>
      <c r="I79" s="430"/>
      <c r="J79" s="430"/>
      <c r="K79" s="431"/>
      <c r="L79" s="412"/>
    </row>
    <row r="80" spans="1:12" ht="16.5" customHeight="1" thickBot="1">
      <c r="A80" s="413"/>
      <c r="B80" s="379"/>
      <c r="C80" s="1010" t="s">
        <v>670</v>
      </c>
      <c r="D80" s="1011"/>
      <c r="E80" s="1011"/>
      <c r="F80" s="1011"/>
      <c r="G80" s="432">
        <f>G64-G66+G72</f>
        <v>0</v>
      </c>
      <c r="H80" s="432">
        <f>H64-H66+H72</f>
        <v>0</v>
      </c>
      <c r="I80" s="432">
        <f>I64-I66+I72</f>
        <v>0</v>
      </c>
      <c r="J80" s="432">
        <f>J64-J66+J72</f>
        <v>0</v>
      </c>
      <c r="K80" s="433">
        <f>K64-K66+K72</f>
        <v>0</v>
      </c>
      <c r="L80" s="378"/>
    </row>
    <row r="81" spans="1:12" ht="7.5" customHeight="1">
      <c r="B81" s="379"/>
      <c r="C81" s="967"/>
      <c r="D81" s="968"/>
      <c r="E81" s="968"/>
      <c r="F81" s="968"/>
      <c r="G81" s="968"/>
      <c r="H81" s="968"/>
      <c r="I81" s="968"/>
      <c r="J81" s="968"/>
      <c r="K81" s="969"/>
      <c r="L81" s="378"/>
    </row>
    <row r="82" spans="1:12" s="388" customFormat="1" ht="15" customHeight="1" thickBot="1">
      <c r="A82" s="371"/>
      <c r="B82" s="403"/>
      <c r="C82" s="403"/>
      <c r="D82" s="1033" t="s">
        <v>671</v>
      </c>
      <c r="E82" s="1034"/>
      <c r="F82" s="1035"/>
      <c r="G82" s="439"/>
      <c r="H82" s="419"/>
      <c r="I82" s="419"/>
      <c r="J82" s="419"/>
      <c r="K82" s="420"/>
      <c r="L82" s="440"/>
    </row>
    <row r="83" spans="1:12" ht="16.5" customHeight="1" thickBot="1">
      <c r="A83" s="388"/>
      <c r="B83" s="379"/>
      <c r="C83" s="965" t="s">
        <v>115</v>
      </c>
      <c r="D83" s="966"/>
      <c r="E83" s="966"/>
      <c r="F83" s="966"/>
      <c r="G83" s="423">
        <f>G80+G82</f>
        <v>0</v>
      </c>
      <c r="H83" s="423">
        <f>H80+H82</f>
        <v>0</v>
      </c>
      <c r="I83" s="423">
        <f>I80+I82</f>
        <v>0</v>
      </c>
      <c r="J83" s="423">
        <f>J80+J82</f>
        <v>0</v>
      </c>
      <c r="K83" s="424">
        <f>K80+K82</f>
        <v>0</v>
      </c>
      <c r="L83" s="378"/>
    </row>
    <row r="84" spans="1:12" ht="7.5" customHeight="1">
      <c r="B84" s="379"/>
      <c r="C84" s="933"/>
      <c r="D84" s="934"/>
      <c r="E84" s="934"/>
      <c r="F84" s="934"/>
      <c r="G84" s="934"/>
      <c r="H84" s="934"/>
      <c r="I84" s="934"/>
      <c r="J84" s="934"/>
      <c r="K84" s="935"/>
      <c r="L84" s="378"/>
    </row>
    <row r="85" spans="1:12" s="388" customFormat="1" ht="15" customHeight="1">
      <c r="B85" s="403"/>
      <c r="C85" s="403"/>
      <c r="D85" s="1036" t="s">
        <v>672</v>
      </c>
      <c r="E85" s="1036"/>
      <c r="F85" s="1037"/>
      <c r="G85" s="401">
        <f>SUM(G86,G87)</f>
        <v>0</v>
      </c>
      <c r="H85" s="401">
        <f>SUM(H86,H87)</f>
        <v>0</v>
      </c>
      <c r="I85" s="401">
        <f>SUM(I86,I87)</f>
        <v>0</v>
      </c>
      <c r="J85" s="401">
        <f>SUM(J86,J87)</f>
        <v>0</v>
      </c>
      <c r="K85" s="402">
        <f>SUM(K86,K87)</f>
        <v>0</v>
      </c>
      <c r="L85" s="387"/>
    </row>
    <row r="86" spans="1:12" s="413" customFormat="1" ht="15" customHeight="1" outlineLevel="1">
      <c r="B86" s="407"/>
      <c r="C86" s="1012"/>
      <c r="D86" s="408"/>
      <c r="E86" s="997" t="s">
        <v>673</v>
      </c>
      <c r="F86" s="998"/>
      <c r="G86" s="410"/>
      <c r="H86" s="410"/>
      <c r="I86" s="410"/>
      <c r="J86" s="410"/>
      <c r="K86" s="411"/>
      <c r="L86" s="412"/>
    </row>
    <row r="87" spans="1:12" s="413" customFormat="1" ht="15" customHeight="1" outlineLevel="1">
      <c r="B87" s="407"/>
      <c r="C87" s="1012"/>
      <c r="E87" s="991" t="s">
        <v>674</v>
      </c>
      <c r="F87" s="992"/>
      <c r="G87" s="415"/>
      <c r="H87" s="415"/>
      <c r="I87" s="415"/>
      <c r="J87" s="415"/>
      <c r="K87" s="416"/>
      <c r="L87" s="412"/>
    </row>
    <row r="88" spans="1:12" s="388" customFormat="1" ht="15" customHeight="1">
      <c r="B88" s="403"/>
      <c r="C88" s="1012"/>
      <c r="D88" s="955" t="s">
        <v>675</v>
      </c>
      <c r="E88" s="956"/>
      <c r="F88" s="957"/>
      <c r="G88" s="441" t="str">
        <f>IFERROR(G86/G83,"-")</f>
        <v>-</v>
      </c>
      <c r="H88" s="441" t="str">
        <f>IFERROR(H86/H83,"-")</f>
        <v>-</v>
      </c>
      <c r="I88" s="441" t="str">
        <f>IFERROR(I86/I83,"-")</f>
        <v>-</v>
      </c>
      <c r="J88" s="441" t="str">
        <f>IFERROR(J86/J83,"-")</f>
        <v>-</v>
      </c>
      <c r="K88" s="442" t="str">
        <f>IFERROR(K86/K83,"-")</f>
        <v>-</v>
      </c>
      <c r="L88" s="387"/>
    </row>
    <row r="89" spans="1:12" s="448" customFormat="1" ht="12.75">
      <c r="A89" s="443"/>
      <c r="B89" s="444"/>
      <c r="C89" s="1028"/>
      <c r="D89" s="1029" t="s">
        <v>676</v>
      </c>
      <c r="E89" s="1029"/>
      <c r="F89" s="1030"/>
      <c r="G89" s="445"/>
      <c r="H89" s="445"/>
      <c r="I89" s="445"/>
      <c r="J89" s="445"/>
      <c r="K89" s="446"/>
      <c r="L89" s="447"/>
    </row>
    <row r="90" spans="1:12" s="449" customFormat="1" ht="12" thickBot="1">
      <c r="B90" s="450"/>
      <c r="C90" s="1028"/>
      <c r="D90" s="1031" t="s">
        <v>677</v>
      </c>
      <c r="E90" s="1031"/>
      <c r="F90" s="1032"/>
      <c r="G90" s="451"/>
      <c r="H90" s="452">
        <f>IF((H89-G89)/30&lt;0,"No Data",(H89-G89)/30)</f>
        <v>0</v>
      </c>
      <c r="I90" s="452">
        <f>IF((I89-H89)/30&lt;0,"No Data",(I89-H89)/30)</f>
        <v>0</v>
      </c>
      <c r="J90" s="452">
        <f>IF((J89-I89)/30&lt;0,"No Data",(J89-I89)/30)</f>
        <v>0</v>
      </c>
      <c r="K90" s="453">
        <f>IF((K89-J89)/30&lt;0,"No Data",(K89-J89)/30)</f>
        <v>0</v>
      </c>
      <c r="L90" s="454"/>
    </row>
    <row r="91" spans="1:12" ht="16.5" customHeight="1" thickBot="1">
      <c r="A91" s="449"/>
      <c r="B91" s="379"/>
      <c r="C91" s="958" t="s">
        <v>17</v>
      </c>
      <c r="D91" s="959"/>
      <c r="E91" s="959"/>
      <c r="F91" s="959"/>
      <c r="G91" s="455">
        <f>G83-SUM(G86:G87)</f>
        <v>0</v>
      </c>
      <c r="H91" s="455">
        <f>H83-SUM(H86:H87)</f>
        <v>0</v>
      </c>
      <c r="I91" s="455">
        <f>I83-SUM(I86:I87)</f>
        <v>0</v>
      </c>
      <c r="J91" s="455">
        <f>J83-SUM(J86:J87)</f>
        <v>0</v>
      </c>
      <c r="K91" s="456">
        <f>K83-SUM(K86:K87)</f>
        <v>0</v>
      </c>
      <c r="L91" s="378"/>
    </row>
    <row r="92" spans="1:12" ht="7.5" customHeight="1">
      <c r="B92" s="379"/>
      <c r="C92" s="967"/>
      <c r="D92" s="968"/>
      <c r="E92" s="968"/>
      <c r="F92" s="968"/>
      <c r="G92" s="968"/>
      <c r="H92" s="968"/>
      <c r="I92" s="968"/>
      <c r="J92" s="968"/>
      <c r="K92" s="969"/>
      <c r="L92" s="378"/>
    </row>
    <row r="93" spans="1:12" ht="14.25" customHeight="1" thickBot="1">
      <c r="B93" s="379"/>
      <c r="C93" s="379"/>
      <c r="D93" s="955" t="s">
        <v>678</v>
      </c>
      <c r="E93" s="956"/>
      <c r="F93" s="957"/>
      <c r="G93" s="417"/>
      <c r="H93" s="417"/>
      <c r="I93" s="417"/>
      <c r="J93" s="417"/>
      <c r="K93" s="418"/>
      <c r="L93" s="378"/>
    </row>
    <row r="94" spans="1:12" ht="16.5" customHeight="1" thickBot="1">
      <c r="A94" s="449"/>
      <c r="B94" s="379"/>
      <c r="C94" s="958" t="s">
        <v>679</v>
      </c>
      <c r="D94" s="959"/>
      <c r="E94" s="959"/>
      <c r="F94" s="959"/>
      <c r="G94" s="455">
        <f>G91+G93</f>
        <v>0</v>
      </c>
      <c r="H94" s="455">
        <f>H91+H93</f>
        <v>0</v>
      </c>
      <c r="I94" s="455">
        <f>I91+I93</f>
        <v>0</v>
      </c>
      <c r="J94" s="455">
        <f>J91+J93</f>
        <v>0</v>
      </c>
      <c r="K94" s="456">
        <f>K91+K93</f>
        <v>0</v>
      </c>
      <c r="L94" s="378"/>
    </row>
    <row r="95" spans="1:12" ht="15" customHeight="1">
      <c r="B95" s="379"/>
      <c r="C95" s="379"/>
      <c r="D95" s="955" t="s">
        <v>680</v>
      </c>
      <c r="E95" s="956"/>
      <c r="F95" s="957"/>
      <c r="G95" s="417">
        <f>G96+G97</f>
        <v>0</v>
      </c>
      <c r="H95" s="417">
        <f>H96+H97</f>
        <v>0</v>
      </c>
      <c r="I95" s="417">
        <f>I96+I97</f>
        <v>0</v>
      </c>
      <c r="J95" s="417">
        <f>J96+J97</f>
        <v>0</v>
      </c>
      <c r="K95" s="418">
        <f>K96+K97</f>
        <v>0</v>
      </c>
      <c r="L95" s="378"/>
    </row>
    <row r="96" spans="1:12" s="413" customFormat="1" ht="15" customHeight="1" outlineLevel="1">
      <c r="B96" s="407"/>
      <c r="C96" s="407"/>
      <c r="D96" s="408"/>
      <c r="E96" s="1015" t="s">
        <v>681</v>
      </c>
      <c r="F96" s="1016"/>
      <c r="G96" s="410"/>
      <c r="H96" s="410"/>
      <c r="I96" s="410"/>
      <c r="J96" s="410"/>
      <c r="K96" s="411"/>
      <c r="L96" s="412"/>
    </row>
    <row r="97" spans="1:12" s="413" customFormat="1" ht="15" customHeight="1" outlineLevel="1">
      <c r="B97" s="407"/>
      <c r="C97" s="407"/>
      <c r="E97" s="1005" t="s">
        <v>682</v>
      </c>
      <c r="F97" s="1006"/>
      <c r="G97" s="415"/>
      <c r="H97" s="415"/>
      <c r="I97" s="415"/>
      <c r="J97" s="415"/>
      <c r="K97" s="416"/>
      <c r="L97" s="412"/>
    </row>
    <row r="98" spans="1:12" s="388" customFormat="1" ht="15" customHeight="1">
      <c r="A98" s="371"/>
      <c r="B98" s="403"/>
      <c r="C98" s="1025" t="s">
        <v>683</v>
      </c>
      <c r="D98" s="1026"/>
      <c r="E98" s="1026"/>
      <c r="F98" s="1027"/>
      <c r="G98" s="457">
        <f>G91-G95</f>
        <v>0</v>
      </c>
      <c r="H98" s="457">
        <f>H91-H95</f>
        <v>0</v>
      </c>
      <c r="I98" s="457">
        <f>I91-I95</f>
        <v>0</v>
      </c>
      <c r="J98" s="457">
        <f>J91-J95</f>
        <v>0</v>
      </c>
      <c r="K98" s="458">
        <f>K91-K95</f>
        <v>0</v>
      </c>
      <c r="L98" s="387"/>
    </row>
    <row r="99" spans="1:12" s="388" customFormat="1" ht="15" customHeight="1">
      <c r="B99" s="403"/>
      <c r="C99" s="1025" t="s">
        <v>684</v>
      </c>
      <c r="D99" s="1026"/>
      <c r="E99" s="1026"/>
      <c r="F99" s="1027"/>
      <c r="G99" s="457">
        <f>G91+G56+G57+G62+G48</f>
        <v>0</v>
      </c>
      <c r="H99" s="457">
        <f>H91+H56+H57+H62+H48</f>
        <v>0</v>
      </c>
      <c r="I99" s="457">
        <f>I91+I56+I57+I62+I48</f>
        <v>0</v>
      </c>
      <c r="J99" s="457">
        <f>J91+J56+J57+J62+J48</f>
        <v>0</v>
      </c>
      <c r="K99" s="458">
        <f>K91+K56+K57+K62+K48</f>
        <v>0</v>
      </c>
      <c r="L99" s="387"/>
    </row>
    <row r="100" spans="1:12" ht="13.5" customHeight="1" thickBot="1">
      <c r="A100" s="388"/>
      <c r="B100" s="379"/>
      <c r="C100" s="459"/>
      <c r="D100" s="460"/>
      <c r="E100" s="460"/>
      <c r="F100" s="461"/>
      <c r="G100" s="462"/>
      <c r="H100" s="463"/>
      <c r="I100" s="463"/>
      <c r="J100" s="463"/>
      <c r="K100" s="464"/>
      <c r="L100" s="378"/>
    </row>
    <row r="101" spans="1:12" ht="20.25" thickBot="1">
      <c r="B101" s="379"/>
      <c r="C101" s="942" t="s">
        <v>685</v>
      </c>
      <c r="D101" s="943"/>
      <c r="E101" s="943"/>
      <c r="F101" s="943"/>
      <c r="G101" s="943"/>
      <c r="H101" s="943"/>
      <c r="I101" s="943"/>
      <c r="J101" s="943"/>
      <c r="K101" s="944"/>
      <c r="L101" s="378"/>
    </row>
    <row r="102" spans="1:12" ht="16.5" customHeight="1" thickBot="1">
      <c r="B102" s="379"/>
      <c r="C102" s="945" t="s">
        <v>611</v>
      </c>
      <c r="D102" s="946"/>
      <c r="E102" s="946"/>
      <c r="F102" s="947" t="s">
        <v>685</v>
      </c>
      <c r="G102" s="465" t="str">
        <f>G5</f>
        <v>-</v>
      </c>
      <c r="H102" s="465" t="str">
        <f>H5</f>
        <v>-</v>
      </c>
      <c r="I102" s="465" t="str">
        <f>I5</f>
        <v>-</v>
      </c>
      <c r="J102" s="465" t="str">
        <f>J5</f>
        <v>-</v>
      </c>
      <c r="K102" s="466" t="str">
        <f>K5</f>
        <v>-</v>
      </c>
      <c r="L102" s="378"/>
    </row>
    <row r="103" spans="1:12" ht="15" thickBot="1">
      <c r="B103" s="379"/>
      <c r="C103" s="933"/>
      <c r="D103" s="934"/>
      <c r="E103" s="934"/>
      <c r="F103" s="934"/>
      <c r="G103" s="934"/>
      <c r="H103" s="934"/>
      <c r="I103" s="934"/>
      <c r="J103" s="934"/>
      <c r="K103" s="935"/>
      <c r="L103" s="378"/>
    </row>
    <row r="104" spans="1:12" ht="18">
      <c r="B104" s="379"/>
      <c r="C104" s="1019" t="s">
        <v>686</v>
      </c>
      <c r="D104" s="1020"/>
      <c r="E104" s="1020"/>
      <c r="F104" s="1020"/>
      <c r="G104" s="1020"/>
      <c r="H104" s="1020"/>
      <c r="I104" s="1020"/>
      <c r="J104" s="1020"/>
      <c r="K104" s="1021"/>
      <c r="L104" s="378"/>
    </row>
    <row r="105" spans="1:12" ht="16.5" customHeight="1">
      <c r="B105" s="379"/>
      <c r="C105" s="970" t="s">
        <v>687</v>
      </c>
      <c r="D105" s="971"/>
      <c r="E105" s="971"/>
      <c r="F105" s="971"/>
      <c r="G105" s="467"/>
      <c r="H105" s="468"/>
      <c r="I105" s="468"/>
      <c r="J105" s="468"/>
      <c r="K105" s="469"/>
      <c r="L105" s="378"/>
    </row>
    <row r="106" spans="1:12" ht="16.5" customHeight="1">
      <c r="B106" s="379"/>
      <c r="C106" s="470"/>
      <c r="D106" s="1022" t="s">
        <v>688</v>
      </c>
      <c r="E106" s="1022"/>
      <c r="F106" s="1023"/>
      <c r="G106" s="417">
        <f>SUM(G107:G111)</f>
        <v>0</v>
      </c>
      <c r="H106" s="417">
        <f>SUM(H107:H111)</f>
        <v>0</v>
      </c>
      <c r="I106" s="417">
        <f>SUM(I107:I111)</f>
        <v>0</v>
      </c>
      <c r="J106" s="417">
        <f>SUM(J107:J111)</f>
        <v>0</v>
      </c>
      <c r="K106" s="418">
        <f>SUM(K107:K111)</f>
        <v>0</v>
      </c>
      <c r="L106" s="378"/>
    </row>
    <row r="107" spans="1:12" s="413" customFormat="1" ht="15" customHeight="1" outlineLevel="1">
      <c r="B107" s="407"/>
      <c r="C107" s="1012"/>
      <c r="D107" s="408"/>
      <c r="E107" s="997" t="s">
        <v>689</v>
      </c>
      <c r="F107" s="998"/>
      <c r="G107" s="410"/>
      <c r="H107" s="410"/>
      <c r="I107" s="471"/>
      <c r="J107" s="471"/>
      <c r="K107" s="411"/>
      <c r="L107" s="412"/>
    </row>
    <row r="108" spans="1:12" s="413" customFormat="1" ht="15" customHeight="1" outlineLevel="1">
      <c r="B108" s="407"/>
      <c r="C108" s="1012"/>
      <c r="E108" s="1005" t="s">
        <v>690</v>
      </c>
      <c r="F108" s="1006"/>
      <c r="G108" s="438"/>
      <c r="H108" s="438"/>
      <c r="I108" s="438"/>
      <c r="J108" s="438"/>
      <c r="K108" s="416"/>
      <c r="L108" s="412"/>
    </row>
    <row r="109" spans="1:12" s="413" customFormat="1" ht="15" customHeight="1" outlineLevel="1">
      <c r="B109" s="407"/>
      <c r="C109" s="1012"/>
      <c r="E109" s="1005" t="s">
        <v>691</v>
      </c>
      <c r="F109" s="1006"/>
      <c r="G109" s="438"/>
      <c r="H109" s="438"/>
      <c r="I109" s="438"/>
      <c r="J109" s="438"/>
      <c r="K109" s="416"/>
      <c r="L109" s="412"/>
    </row>
    <row r="110" spans="1:12" s="413" customFormat="1" ht="15" customHeight="1" outlineLevel="1">
      <c r="B110" s="407"/>
      <c r="C110" s="1012"/>
      <c r="E110" s="1005" t="s">
        <v>692</v>
      </c>
      <c r="F110" s="1006"/>
      <c r="G110" s="438"/>
      <c r="H110" s="438"/>
      <c r="I110" s="438"/>
      <c r="J110" s="438"/>
      <c r="K110" s="416"/>
      <c r="L110" s="412"/>
    </row>
    <row r="111" spans="1:12" s="413" customFormat="1" ht="15" customHeight="1" outlineLevel="1">
      <c r="B111" s="407"/>
      <c r="C111" s="1012"/>
      <c r="E111" s="1005" t="s">
        <v>693</v>
      </c>
      <c r="F111" s="1006"/>
      <c r="G111" s="438"/>
      <c r="H111" s="438"/>
      <c r="I111" s="438"/>
      <c r="J111" s="438"/>
      <c r="K111" s="416"/>
      <c r="L111" s="412"/>
    </row>
    <row r="112" spans="1:12" s="388" customFormat="1" ht="15" customHeight="1">
      <c r="B112" s="403"/>
      <c r="C112" s="1012"/>
      <c r="D112" s="955" t="s">
        <v>694</v>
      </c>
      <c r="E112" s="956"/>
      <c r="F112" s="957"/>
      <c r="G112" s="417">
        <f>SUM(G113:G117)</f>
        <v>0</v>
      </c>
      <c r="H112" s="417">
        <f>SUM(H113:H117)</f>
        <v>0</v>
      </c>
      <c r="I112" s="417">
        <f>SUM(I113:I117)</f>
        <v>0</v>
      </c>
      <c r="J112" s="417">
        <f>SUM(J113:J117)</f>
        <v>0</v>
      </c>
      <c r="K112" s="418">
        <f>SUM(K113:K117)</f>
        <v>0</v>
      </c>
      <c r="L112" s="387"/>
    </row>
    <row r="113" spans="1:12" s="413" customFormat="1" ht="15" customHeight="1" outlineLevel="1">
      <c r="B113" s="407"/>
      <c r="C113" s="1012"/>
      <c r="D113" s="408"/>
      <c r="E113" s="1015" t="s">
        <v>695</v>
      </c>
      <c r="F113" s="1016"/>
      <c r="G113" s="437"/>
      <c r="H113" s="437"/>
      <c r="I113" s="437"/>
      <c r="J113" s="437"/>
      <c r="K113" s="411"/>
      <c r="L113" s="412"/>
    </row>
    <row r="114" spans="1:12" s="413" customFormat="1" ht="15" customHeight="1" outlineLevel="1">
      <c r="B114" s="407"/>
      <c r="C114" s="1012"/>
      <c r="E114" s="1005" t="s">
        <v>696</v>
      </c>
      <c r="F114" s="1006"/>
      <c r="G114" s="438"/>
      <c r="H114" s="438"/>
      <c r="I114" s="438"/>
      <c r="J114" s="438"/>
      <c r="K114" s="416"/>
      <c r="L114" s="412"/>
    </row>
    <row r="115" spans="1:12" s="413" customFormat="1" ht="15" customHeight="1" outlineLevel="1">
      <c r="B115" s="407"/>
      <c r="C115" s="1012"/>
      <c r="E115" s="991" t="s">
        <v>27</v>
      </c>
      <c r="F115" s="992"/>
      <c r="G115" s="428"/>
      <c r="H115" s="438"/>
      <c r="I115" s="438"/>
      <c r="J115" s="438"/>
      <c r="K115" s="416"/>
      <c r="L115" s="412"/>
    </row>
    <row r="116" spans="1:12" s="413" customFormat="1" ht="15" customHeight="1" outlineLevel="1">
      <c r="B116" s="407"/>
      <c r="C116" s="1012"/>
      <c r="E116" s="991" t="s">
        <v>697</v>
      </c>
      <c r="F116" s="992"/>
      <c r="G116" s="438"/>
      <c r="H116" s="438"/>
      <c r="I116" s="438"/>
      <c r="J116" s="438"/>
      <c r="K116" s="416"/>
      <c r="L116" s="412"/>
    </row>
    <row r="117" spans="1:12" s="413" customFormat="1" ht="15" customHeight="1" outlineLevel="1" thickBot="1">
      <c r="B117" s="407"/>
      <c r="C117" s="1024"/>
      <c r="D117" s="426"/>
      <c r="E117" s="1017" t="s">
        <v>698</v>
      </c>
      <c r="F117" s="1018"/>
      <c r="G117" s="472"/>
      <c r="H117" s="430"/>
      <c r="I117" s="430"/>
      <c r="J117" s="430"/>
      <c r="K117" s="431"/>
      <c r="L117" s="412"/>
    </row>
    <row r="118" spans="1:12" ht="16.5" customHeight="1" thickBot="1">
      <c r="A118" s="388"/>
      <c r="B118" s="379"/>
      <c r="C118" s="965" t="s">
        <v>699</v>
      </c>
      <c r="D118" s="966"/>
      <c r="E118" s="966"/>
      <c r="F118" s="966"/>
      <c r="G118" s="423">
        <f>SUM(G106,G112)</f>
        <v>0</v>
      </c>
      <c r="H118" s="423">
        <f>SUM(H106,H112)</f>
        <v>0</v>
      </c>
      <c r="I118" s="423">
        <f>SUM(I106,I112)</f>
        <v>0</v>
      </c>
      <c r="J118" s="423">
        <f>SUM(J106,J112)</f>
        <v>0</v>
      </c>
      <c r="K118" s="424">
        <f>SUM(K106,K112)</f>
        <v>0</v>
      </c>
      <c r="L118" s="378"/>
    </row>
    <row r="119" spans="1:12" s="388" customFormat="1" ht="7.5" customHeight="1" thickBot="1">
      <c r="A119" s="371"/>
      <c r="B119" s="403"/>
      <c r="C119" s="1012"/>
      <c r="D119" s="1013"/>
      <c r="E119" s="1013"/>
      <c r="F119" s="1013"/>
      <c r="G119" s="1013"/>
      <c r="H119" s="1013"/>
      <c r="I119" s="1013"/>
      <c r="J119" s="1013"/>
      <c r="K119" s="1014"/>
      <c r="L119" s="387"/>
    </row>
    <row r="120" spans="1:12" ht="16.5" customHeight="1" thickBot="1">
      <c r="A120" s="473"/>
      <c r="B120" s="379"/>
      <c r="C120" s="965" t="s">
        <v>700</v>
      </c>
      <c r="D120" s="966"/>
      <c r="E120" s="966"/>
      <c r="F120" s="966" t="s">
        <v>701</v>
      </c>
      <c r="G120" s="423">
        <f>G118-G115+G128+G148-G159-G179-G200</f>
        <v>0</v>
      </c>
      <c r="H120" s="423">
        <f>H118-H115+H128+H148-H159-H179-H200</f>
        <v>0</v>
      </c>
      <c r="I120" s="423">
        <f>I118-I115+I128+I148-I159-I179-I200</f>
        <v>0</v>
      </c>
      <c r="J120" s="423">
        <f>J118-J115+J128+J148-J159-J179-J200</f>
        <v>0</v>
      </c>
      <c r="K120" s="424">
        <f>K118-K115+K128+K148-K159-K179-K200</f>
        <v>0</v>
      </c>
      <c r="L120" s="378"/>
    </row>
    <row r="121" spans="1:12" ht="7.5" customHeight="1">
      <c r="B121" s="379"/>
      <c r="C121" s="967"/>
      <c r="D121" s="968"/>
      <c r="E121" s="968"/>
      <c r="F121" s="968"/>
      <c r="G121" s="968"/>
      <c r="H121" s="968"/>
      <c r="I121" s="968"/>
      <c r="J121" s="968"/>
      <c r="K121" s="969"/>
      <c r="L121" s="378"/>
    </row>
    <row r="122" spans="1:12" ht="16.5" customHeight="1">
      <c r="B122" s="379"/>
      <c r="C122" s="970" t="s">
        <v>702</v>
      </c>
      <c r="D122" s="971"/>
      <c r="E122" s="971"/>
      <c r="F122" s="971"/>
      <c r="G122" s="467"/>
      <c r="H122" s="468"/>
      <c r="I122" s="468"/>
      <c r="J122" s="468"/>
      <c r="K122" s="469"/>
      <c r="L122" s="378"/>
    </row>
    <row r="123" spans="1:12" ht="16.5" customHeight="1">
      <c r="B123" s="379"/>
      <c r="C123" s="970" t="s">
        <v>703</v>
      </c>
      <c r="D123" s="971"/>
      <c r="E123" s="971"/>
      <c r="F123" s="971"/>
      <c r="G123" s="467"/>
      <c r="H123" s="468"/>
      <c r="I123" s="468"/>
      <c r="J123" s="468"/>
      <c r="K123" s="469"/>
      <c r="L123" s="378"/>
    </row>
    <row r="124" spans="1:12" s="388" customFormat="1" ht="15" customHeight="1">
      <c r="A124" s="371"/>
      <c r="B124" s="403"/>
      <c r="C124" s="474"/>
      <c r="D124" s="955" t="s">
        <v>704</v>
      </c>
      <c r="E124" s="956"/>
      <c r="F124" s="957"/>
      <c r="G124" s="417">
        <f>SUM(G125:G131)</f>
        <v>0</v>
      </c>
      <c r="H124" s="417">
        <f>SUM(H125:H131)</f>
        <v>0</v>
      </c>
      <c r="I124" s="417">
        <f>SUM(I125:I131)</f>
        <v>0</v>
      </c>
      <c r="J124" s="417">
        <f>SUM(J125:J131)</f>
        <v>0</v>
      </c>
      <c r="K124" s="418">
        <f>SUM(K125:K131)</f>
        <v>0</v>
      </c>
      <c r="L124" s="387"/>
    </row>
    <row r="125" spans="1:12" s="413" customFormat="1" ht="13.5" customHeight="1" outlineLevel="1">
      <c r="A125" s="388"/>
      <c r="B125" s="407"/>
      <c r="C125" s="474"/>
      <c r="D125" s="408"/>
      <c r="E125" s="997" t="s">
        <v>705</v>
      </c>
      <c r="F125" s="998"/>
      <c r="G125" s="437"/>
      <c r="H125" s="410"/>
      <c r="I125" s="410"/>
      <c r="J125" s="410"/>
      <c r="K125" s="411"/>
      <c r="L125" s="412"/>
    </row>
    <row r="126" spans="1:12" s="413" customFormat="1" ht="13.5" customHeight="1" outlineLevel="1">
      <c r="B126" s="407"/>
      <c r="C126" s="474"/>
      <c r="E126" s="991" t="s">
        <v>706</v>
      </c>
      <c r="F126" s="992"/>
      <c r="G126" s="415"/>
      <c r="H126" s="415"/>
      <c r="I126" s="415"/>
      <c r="J126" s="415"/>
      <c r="K126" s="416"/>
      <c r="L126" s="412"/>
    </row>
    <row r="127" spans="1:12" s="413" customFormat="1" ht="13.5" customHeight="1" outlineLevel="1">
      <c r="B127" s="407"/>
      <c r="C127" s="474"/>
      <c r="E127" s="991" t="s">
        <v>707</v>
      </c>
      <c r="F127" s="992"/>
      <c r="G127" s="415"/>
      <c r="H127" s="415"/>
      <c r="I127" s="415"/>
      <c r="J127" s="415"/>
      <c r="K127" s="416"/>
      <c r="L127" s="412"/>
    </row>
    <row r="128" spans="1:12" s="388" customFormat="1" ht="15" customHeight="1" outlineLevel="1">
      <c r="B128" s="475"/>
      <c r="C128" s="403"/>
      <c r="E128" s="991" t="s">
        <v>708</v>
      </c>
      <c r="F128" s="992"/>
      <c r="G128" s="415"/>
      <c r="H128" s="415"/>
      <c r="I128" s="415"/>
      <c r="J128" s="415"/>
      <c r="K128" s="416"/>
      <c r="L128" s="387"/>
    </row>
    <row r="129" spans="1:12" s="413" customFormat="1" ht="13.5" customHeight="1" outlineLevel="1">
      <c r="B129" s="407"/>
      <c r="C129" s="474"/>
      <c r="E129" s="991" t="s">
        <v>709</v>
      </c>
      <c r="F129" s="992"/>
      <c r="G129" s="415"/>
      <c r="H129" s="415"/>
      <c r="I129" s="415"/>
      <c r="J129" s="415"/>
      <c r="K129" s="416"/>
      <c r="L129" s="412"/>
    </row>
    <row r="130" spans="1:12" s="413" customFormat="1" ht="13.5" customHeight="1" outlineLevel="1">
      <c r="B130" s="407"/>
      <c r="C130" s="474"/>
      <c r="E130" s="991" t="s">
        <v>710</v>
      </c>
      <c r="F130" s="992"/>
      <c r="G130" s="415"/>
      <c r="H130" s="415"/>
      <c r="I130" s="415"/>
      <c r="J130" s="415"/>
      <c r="K130" s="416"/>
      <c r="L130" s="412"/>
    </row>
    <row r="131" spans="1:12" s="388" customFormat="1" ht="15" customHeight="1" outlineLevel="1">
      <c r="B131" s="403"/>
      <c r="C131" s="474"/>
      <c r="E131" s="991" t="s">
        <v>711</v>
      </c>
      <c r="F131" s="992"/>
      <c r="G131" s="415"/>
      <c r="H131" s="415"/>
      <c r="I131" s="415"/>
      <c r="J131" s="415"/>
      <c r="K131" s="416"/>
      <c r="L131" s="387"/>
    </row>
    <row r="132" spans="1:12" s="388" customFormat="1" ht="15" customHeight="1">
      <c r="A132" s="413"/>
      <c r="B132" s="403"/>
      <c r="C132" s="474"/>
      <c r="D132" s="955" t="s">
        <v>712</v>
      </c>
      <c r="E132" s="956"/>
      <c r="F132" s="957"/>
      <c r="G132" s="415"/>
      <c r="H132" s="419"/>
      <c r="I132" s="419"/>
      <c r="J132" s="419"/>
      <c r="K132" s="420"/>
      <c r="L132" s="387"/>
    </row>
    <row r="133" spans="1:12" s="388" customFormat="1" ht="15" customHeight="1">
      <c r="B133" s="403"/>
      <c r="C133" s="474"/>
      <c r="D133" s="955" t="s">
        <v>713</v>
      </c>
      <c r="E133" s="956"/>
      <c r="F133" s="957"/>
      <c r="G133" s="417">
        <f>SUM(G134:G135)</f>
        <v>0</v>
      </c>
      <c r="H133" s="417">
        <f>SUM(H134:H135)</f>
        <v>0</v>
      </c>
      <c r="I133" s="417">
        <f>SUM(I134:I135)</f>
        <v>0</v>
      </c>
      <c r="J133" s="417">
        <f>SUM(J134:J135)</f>
        <v>0</v>
      </c>
      <c r="K133" s="418">
        <f>SUM(K134:K135)</f>
        <v>0</v>
      </c>
      <c r="L133" s="387"/>
    </row>
    <row r="134" spans="1:12" s="388" customFormat="1" ht="15" customHeight="1" outlineLevel="1">
      <c r="B134" s="403"/>
      <c r="C134" s="474"/>
      <c r="D134" s="408"/>
      <c r="E134" s="997" t="s">
        <v>714</v>
      </c>
      <c r="F134" s="998"/>
      <c r="G134" s="437"/>
      <c r="H134" s="410"/>
      <c r="I134" s="410"/>
      <c r="J134" s="410"/>
      <c r="K134" s="411"/>
      <c r="L134" s="387"/>
    </row>
    <row r="135" spans="1:12" s="388" customFormat="1" ht="15" customHeight="1" outlineLevel="1">
      <c r="B135" s="403"/>
      <c r="C135" s="474"/>
      <c r="D135" s="476"/>
      <c r="E135" s="991" t="s">
        <v>279</v>
      </c>
      <c r="F135" s="992"/>
      <c r="G135" s="415"/>
      <c r="H135" s="419"/>
      <c r="I135" s="419"/>
      <c r="J135" s="419"/>
      <c r="K135" s="420"/>
      <c r="L135" s="387"/>
    </row>
    <row r="136" spans="1:12" s="388" customFormat="1" ht="15" customHeight="1">
      <c r="B136" s="403"/>
      <c r="C136" s="474"/>
      <c r="D136" s="955" t="s">
        <v>715</v>
      </c>
      <c r="E136" s="956"/>
      <c r="F136" s="957"/>
      <c r="G136" s="419">
        <f>SUM(G137:G138)</f>
        <v>0</v>
      </c>
      <c r="H136" s="419">
        <f t="shared" ref="H136:K136" si="3">SUM(H137:H138)</f>
        <v>0</v>
      </c>
      <c r="I136" s="419">
        <f t="shared" si="3"/>
        <v>0</v>
      </c>
      <c r="J136" s="419">
        <f t="shared" si="3"/>
        <v>0</v>
      </c>
      <c r="K136" s="420">
        <f t="shared" si="3"/>
        <v>0</v>
      </c>
      <c r="L136" s="387"/>
    </row>
    <row r="137" spans="1:12" s="388" customFormat="1" ht="15" customHeight="1" outlineLevel="1">
      <c r="B137" s="403"/>
      <c r="C137" s="474"/>
      <c r="D137" s="408"/>
      <c r="E137" s="997" t="s">
        <v>716</v>
      </c>
      <c r="F137" s="998"/>
      <c r="G137" s="437"/>
      <c r="H137" s="410"/>
      <c r="I137" s="410"/>
      <c r="J137" s="410"/>
      <c r="K137" s="411"/>
      <c r="L137" s="387"/>
    </row>
    <row r="138" spans="1:12" s="413" customFormat="1" ht="13.5" customHeight="1" outlineLevel="1">
      <c r="B138" s="407"/>
      <c r="C138" s="474"/>
      <c r="E138" s="991" t="s">
        <v>279</v>
      </c>
      <c r="F138" s="992"/>
      <c r="G138" s="415"/>
      <c r="H138" s="415"/>
      <c r="I138" s="415"/>
      <c r="J138" s="415"/>
      <c r="K138" s="416"/>
      <c r="L138" s="412"/>
    </row>
    <row r="139" spans="1:12" s="388" customFormat="1" ht="15" customHeight="1" thickBot="1">
      <c r="B139" s="403"/>
      <c r="C139" s="477"/>
      <c r="D139" s="1007" t="s">
        <v>717</v>
      </c>
      <c r="E139" s="1008"/>
      <c r="F139" s="1009"/>
      <c r="G139" s="478"/>
      <c r="H139" s="421"/>
      <c r="I139" s="421"/>
      <c r="J139" s="421"/>
      <c r="K139" s="422"/>
      <c r="L139" s="387"/>
    </row>
    <row r="140" spans="1:12" ht="16.5" customHeight="1" thickBot="1">
      <c r="A140" s="388"/>
      <c r="B140" s="379"/>
      <c r="C140" s="1010" t="s">
        <v>718</v>
      </c>
      <c r="D140" s="1011"/>
      <c r="E140" s="1011"/>
      <c r="F140" s="1011"/>
      <c r="G140" s="432">
        <f>G124+G132+G133+G136+G139</f>
        <v>0</v>
      </c>
      <c r="H140" s="432">
        <f>H124+H132+H133+H136+H139</f>
        <v>0</v>
      </c>
      <c r="I140" s="432">
        <f>I124+I132+I133+I136+I139</f>
        <v>0</v>
      </c>
      <c r="J140" s="432">
        <f>SUM(J132,J133,J136,J139,J124)</f>
        <v>0</v>
      </c>
      <c r="K140" s="433">
        <f>SUM(K132:K139,K124)</f>
        <v>0</v>
      </c>
      <c r="L140" s="378"/>
    </row>
    <row r="141" spans="1:12" ht="7.5" customHeight="1">
      <c r="B141" s="379"/>
      <c r="C141" s="967"/>
      <c r="D141" s="968"/>
      <c r="E141" s="968"/>
      <c r="F141" s="968"/>
      <c r="G141" s="968"/>
      <c r="H141" s="968"/>
      <c r="I141" s="968"/>
      <c r="J141" s="968"/>
      <c r="K141" s="969"/>
      <c r="L141" s="378"/>
    </row>
    <row r="142" spans="1:12" ht="16.5" customHeight="1">
      <c r="B142" s="379"/>
      <c r="C142" s="970" t="s">
        <v>719</v>
      </c>
      <c r="D142" s="971"/>
      <c r="E142" s="971"/>
      <c r="F142" s="971"/>
      <c r="G142" s="467"/>
      <c r="H142" s="468"/>
      <c r="I142" s="468"/>
      <c r="J142" s="468"/>
      <c r="K142" s="469"/>
      <c r="L142" s="378"/>
    </row>
    <row r="143" spans="1:12" s="388" customFormat="1" ht="15" customHeight="1">
      <c r="A143" s="371"/>
      <c r="B143" s="403"/>
      <c r="C143" s="970"/>
      <c r="D143" s="955" t="s">
        <v>720</v>
      </c>
      <c r="E143" s="956"/>
      <c r="F143" s="957"/>
      <c r="G143" s="417">
        <f>SUM(G144:G150)</f>
        <v>0</v>
      </c>
      <c r="H143" s="417">
        <f>SUM(H144:H150)</f>
        <v>0</v>
      </c>
      <c r="I143" s="417">
        <f>SUM(I144:I150)</f>
        <v>0</v>
      </c>
      <c r="J143" s="417">
        <f>SUM(J144:J150)</f>
        <v>0</v>
      </c>
      <c r="K143" s="418">
        <f>SUM(K144:K150)</f>
        <v>0</v>
      </c>
      <c r="L143" s="387"/>
    </row>
    <row r="144" spans="1:12" s="413" customFormat="1" ht="13.5" customHeight="1" outlineLevel="1">
      <c r="B144" s="407"/>
      <c r="C144" s="970"/>
      <c r="D144" s="408"/>
      <c r="E144" s="997" t="s">
        <v>721</v>
      </c>
      <c r="F144" s="998"/>
      <c r="G144" s="437"/>
      <c r="H144" s="410"/>
      <c r="I144" s="410"/>
      <c r="J144" s="410"/>
      <c r="K144" s="411"/>
      <c r="L144" s="412"/>
    </row>
    <row r="145" spans="1:12" s="413" customFormat="1" ht="15" customHeight="1" outlineLevel="1">
      <c r="B145" s="479"/>
      <c r="C145" s="970"/>
      <c r="E145" s="991" t="s">
        <v>722</v>
      </c>
      <c r="F145" s="992"/>
      <c r="G145" s="438"/>
      <c r="H145" s="438"/>
      <c r="I145" s="438"/>
      <c r="J145" s="438"/>
      <c r="K145" s="480"/>
      <c r="L145" s="412"/>
    </row>
    <row r="146" spans="1:12" s="413" customFormat="1" ht="15" customHeight="1" outlineLevel="1">
      <c r="B146" s="479"/>
      <c r="C146" s="970"/>
      <c r="E146" s="991" t="s">
        <v>723</v>
      </c>
      <c r="F146" s="992"/>
      <c r="G146" s="438"/>
      <c r="H146" s="438"/>
      <c r="I146" s="438"/>
      <c r="J146" s="438"/>
      <c r="K146" s="480"/>
      <c r="L146" s="412"/>
    </row>
    <row r="147" spans="1:12" s="413" customFormat="1" ht="15" customHeight="1" outlineLevel="1">
      <c r="B147" s="479"/>
      <c r="C147" s="970"/>
      <c r="E147" s="991" t="s">
        <v>707</v>
      </c>
      <c r="F147" s="992"/>
      <c r="G147" s="438"/>
      <c r="H147" s="438"/>
      <c r="I147" s="438"/>
      <c r="J147" s="438"/>
      <c r="K147" s="480"/>
      <c r="L147" s="412"/>
    </row>
    <row r="148" spans="1:12" s="413" customFormat="1" ht="13.5" customHeight="1" outlineLevel="1">
      <c r="B148" s="407"/>
      <c r="C148" s="970"/>
      <c r="E148" s="1005" t="s">
        <v>708</v>
      </c>
      <c r="F148" s="1006"/>
      <c r="G148" s="438"/>
      <c r="H148" s="415"/>
      <c r="I148" s="415"/>
      <c r="J148" s="415"/>
      <c r="K148" s="416"/>
      <c r="L148" s="412"/>
    </row>
    <row r="149" spans="1:12" s="413" customFormat="1" ht="13.5" customHeight="1" outlineLevel="1">
      <c r="B149" s="407"/>
      <c r="C149" s="970"/>
      <c r="E149" s="991" t="s">
        <v>709</v>
      </c>
      <c r="F149" s="992"/>
      <c r="G149" s="438"/>
      <c r="H149" s="415"/>
      <c r="I149" s="415"/>
      <c r="J149" s="415"/>
      <c r="K149" s="416"/>
      <c r="L149" s="412"/>
    </row>
    <row r="150" spans="1:12" s="413" customFormat="1" ht="13.5" customHeight="1" outlineLevel="1">
      <c r="B150" s="407"/>
      <c r="C150" s="970"/>
      <c r="E150" s="991" t="s">
        <v>279</v>
      </c>
      <c r="F150" s="992"/>
      <c r="G150" s="438"/>
      <c r="H150" s="438"/>
      <c r="I150" s="415"/>
      <c r="J150" s="415"/>
      <c r="K150" s="416"/>
      <c r="L150" s="412"/>
    </row>
    <row r="151" spans="1:12" s="388" customFormat="1" ht="15" customHeight="1">
      <c r="A151" s="413"/>
      <c r="B151" s="403"/>
      <c r="C151" s="970"/>
      <c r="D151" s="955" t="s">
        <v>724</v>
      </c>
      <c r="E151" s="956"/>
      <c r="F151" s="957"/>
      <c r="G151" s="417">
        <f>SUM(G152:G155)</f>
        <v>0</v>
      </c>
      <c r="H151" s="417">
        <f>SUM(H152:H155)</f>
        <v>0</v>
      </c>
      <c r="I151" s="417">
        <f>SUM(I152:I155)</f>
        <v>0</v>
      </c>
      <c r="J151" s="417">
        <f>SUM(J152:J155)</f>
        <v>0</v>
      </c>
      <c r="K151" s="418">
        <f>SUM(K152:K155)</f>
        <v>0</v>
      </c>
      <c r="L151" s="387"/>
    </row>
    <row r="152" spans="1:12" s="413" customFormat="1" ht="15" customHeight="1" outlineLevel="1">
      <c r="B152" s="407"/>
      <c r="C152" s="970"/>
      <c r="D152" s="434"/>
      <c r="E152" s="997" t="s">
        <v>725</v>
      </c>
      <c r="F152" s="998"/>
      <c r="G152" s="437"/>
      <c r="H152" s="410"/>
      <c r="I152" s="410"/>
      <c r="J152" s="410"/>
      <c r="K152" s="411"/>
      <c r="L152" s="412"/>
    </row>
    <row r="153" spans="1:12" s="413" customFormat="1" ht="15" customHeight="1" outlineLevel="1">
      <c r="B153" s="407"/>
      <c r="C153" s="970"/>
      <c r="E153" s="1001" t="s">
        <v>726</v>
      </c>
      <c r="F153" s="1002"/>
      <c r="G153" s="415"/>
      <c r="H153" s="415"/>
      <c r="I153" s="415"/>
      <c r="J153" s="415"/>
      <c r="K153" s="416"/>
      <c r="L153" s="412"/>
    </row>
    <row r="154" spans="1:12" s="413" customFormat="1" ht="15" customHeight="1" outlineLevel="1">
      <c r="B154" s="407"/>
      <c r="C154" s="970"/>
      <c r="E154" s="1003" t="s">
        <v>716</v>
      </c>
      <c r="F154" s="1004"/>
      <c r="G154" s="415"/>
      <c r="H154" s="415"/>
      <c r="I154" s="415"/>
      <c r="J154" s="415"/>
      <c r="K154" s="416"/>
      <c r="L154" s="412"/>
    </row>
    <row r="155" spans="1:12" s="413" customFormat="1" ht="15" customHeight="1" outlineLevel="1">
      <c r="B155" s="407"/>
      <c r="C155" s="970"/>
      <c r="E155" s="1003" t="s">
        <v>279</v>
      </c>
      <c r="F155" s="1004"/>
      <c r="G155" s="415"/>
      <c r="H155" s="415"/>
      <c r="I155" s="438"/>
      <c r="J155" s="438"/>
      <c r="K155" s="416"/>
      <c r="L155" s="412"/>
    </row>
    <row r="156" spans="1:12" s="388" customFormat="1" ht="15" customHeight="1">
      <c r="B156" s="403"/>
      <c r="C156" s="970"/>
      <c r="D156" s="955" t="s">
        <v>727</v>
      </c>
      <c r="E156" s="956"/>
      <c r="F156" s="957"/>
      <c r="G156" s="419"/>
      <c r="H156" s="419"/>
      <c r="I156" s="417"/>
      <c r="J156" s="417"/>
      <c r="K156" s="420"/>
      <c r="L156" s="387"/>
    </row>
    <row r="157" spans="1:12" s="388" customFormat="1" ht="15" customHeight="1">
      <c r="B157" s="403"/>
      <c r="C157" s="970"/>
      <c r="D157" s="955" t="s">
        <v>728</v>
      </c>
      <c r="E157" s="956"/>
      <c r="F157" s="957"/>
      <c r="G157" s="417">
        <f>SUM(G158:G160)</f>
        <v>0</v>
      </c>
      <c r="H157" s="417">
        <f>SUM(H158:H160)</f>
        <v>0</v>
      </c>
      <c r="I157" s="417">
        <f>SUM(I158:I160)</f>
        <v>0</v>
      </c>
      <c r="J157" s="417">
        <f>SUM(J158:J160)</f>
        <v>0</v>
      </c>
      <c r="K157" s="418">
        <f>SUM(K158:K160)</f>
        <v>0</v>
      </c>
      <c r="L157" s="387"/>
    </row>
    <row r="158" spans="1:12" s="413" customFormat="1" ht="15" customHeight="1" outlineLevel="1">
      <c r="B158" s="407"/>
      <c r="C158" s="970"/>
      <c r="D158" s="434"/>
      <c r="E158" s="997" t="s">
        <v>808</v>
      </c>
      <c r="F158" s="998"/>
      <c r="G158" s="437"/>
      <c r="H158" s="410"/>
      <c r="I158" s="410"/>
      <c r="J158" s="410"/>
      <c r="K158" s="411"/>
      <c r="L158" s="412"/>
    </row>
    <row r="159" spans="1:12" s="413" customFormat="1" ht="15" customHeight="1" outlineLevel="1">
      <c r="B159" s="407"/>
      <c r="C159" s="970"/>
      <c r="D159" s="428"/>
      <c r="E159" s="991" t="s">
        <v>729</v>
      </c>
      <c r="F159" s="992"/>
      <c r="G159" s="438"/>
      <c r="H159" s="415"/>
      <c r="I159" s="415"/>
      <c r="J159" s="415"/>
      <c r="K159" s="416"/>
      <c r="L159" s="412"/>
    </row>
    <row r="160" spans="1:12" s="413" customFormat="1" ht="15" customHeight="1" outlineLevel="1" thickBot="1">
      <c r="B160" s="407"/>
      <c r="C160" s="988"/>
      <c r="D160" s="481"/>
      <c r="E160" s="999" t="s">
        <v>279</v>
      </c>
      <c r="F160" s="1000"/>
      <c r="G160" s="472"/>
      <c r="H160" s="430"/>
      <c r="I160" s="430"/>
      <c r="J160" s="430"/>
      <c r="K160" s="431"/>
      <c r="L160" s="412"/>
    </row>
    <row r="161" spans="1:14" ht="16.5" customHeight="1" thickBot="1">
      <c r="A161" s="388"/>
      <c r="B161" s="379"/>
      <c r="C161" s="965" t="s">
        <v>730</v>
      </c>
      <c r="D161" s="966"/>
      <c r="E161" s="966"/>
      <c r="F161" s="966" t="s">
        <v>731</v>
      </c>
      <c r="G161" s="423">
        <f>G143+G151+G156+G157</f>
        <v>0</v>
      </c>
      <c r="H161" s="423">
        <f>H143+H151+H156+H157</f>
        <v>0</v>
      </c>
      <c r="I161" s="423">
        <f>I143+I151+I156+I157</f>
        <v>0</v>
      </c>
      <c r="J161" s="423">
        <f>SUM(J143,J151,J156,J157)</f>
        <v>0</v>
      </c>
      <c r="K161" s="424">
        <f>SUM(K143,K151,K156,K157)</f>
        <v>0</v>
      </c>
      <c r="L161" s="378"/>
    </row>
    <row r="162" spans="1:14" ht="16.5" customHeight="1" thickBot="1">
      <c r="A162" s="388"/>
      <c r="B162" s="379"/>
      <c r="C162" s="961" t="s">
        <v>731</v>
      </c>
      <c r="D162" s="962"/>
      <c r="E162" s="962"/>
      <c r="F162" s="962"/>
      <c r="G162" s="482">
        <f>G118+G140+G161</f>
        <v>0</v>
      </c>
      <c r="H162" s="482">
        <f>H118+H140+H161</f>
        <v>0</v>
      </c>
      <c r="I162" s="482">
        <f>I118+I140+I161</f>
        <v>0</v>
      </c>
      <c r="J162" s="482">
        <f>J118+J140+J161</f>
        <v>0</v>
      </c>
      <c r="K162" s="483">
        <f>K118+K140+K161</f>
        <v>0</v>
      </c>
      <c r="L162" s="378"/>
    </row>
    <row r="163" spans="1:14" ht="16.5" customHeight="1" thickBot="1">
      <c r="B163" s="379"/>
      <c r="C163" s="967"/>
      <c r="D163" s="968"/>
      <c r="E163" s="968"/>
      <c r="F163" s="968"/>
      <c r="G163" s="968"/>
      <c r="H163" s="968"/>
      <c r="I163" s="968"/>
      <c r="J163" s="968"/>
      <c r="K163" s="969"/>
      <c r="L163" s="378"/>
    </row>
    <row r="164" spans="1:14" ht="18.75" thickBot="1">
      <c r="B164" s="379"/>
      <c r="C164" s="983" t="s">
        <v>732</v>
      </c>
      <c r="D164" s="984"/>
      <c r="E164" s="984"/>
      <c r="F164" s="984" t="s">
        <v>732</v>
      </c>
      <c r="G164" s="984"/>
      <c r="H164" s="984"/>
      <c r="I164" s="984"/>
      <c r="J164" s="984"/>
      <c r="K164" s="985"/>
      <c r="L164" s="378"/>
      <c r="M164" s="415"/>
      <c r="N164" s="415"/>
    </row>
    <row r="165" spans="1:14" ht="16.5" customHeight="1">
      <c r="B165" s="379"/>
      <c r="C165" s="986" t="s">
        <v>733</v>
      </c>
      <c r="D165" s="987"/>
      <c r="E165" s="987"/>
      <c r="F165" s="987"/>
      <c r="G165" s="484"/>
      <c r="H165" s="485"/>
      <c r="I165" s="485"/>
      <c r="J165" s="485"/>
      <c r="K165" s="486"/>
      <c r="L165" s="378"/>
    </row>
    <row r="166" spans="1:14" s="388" customFormat="1" ht="15" customHeight="1">
      <c r="A166" s="371"/>
      <c r="B166" s="403"/>
      <c r="C166" s="970"/>
      <c r="D166" s="955" t="s">
        <v>734</v>
      </c>
      <c r="E166" s="956"/>
      <c r="F166" s="957"/>
      <c r="G166" s="417">
        <f>G167-G171+G172-G173+G174+G175</f>
        <v>0</v>
      </c>
      <c r="H166" s="417">
        <f>H167-H171+H172-H173+H174+H175</f>
        <v>0</v>
      </c>
      <c r="I166" s="417">
        <f>I167-I171+I172-I173+I174+I175</f>
        <v>0</v>
      </c>
      <c r="J166" s="417">
        <f>J167-J171+J172-J173+J174+J175</f>
        <v>0</v>
      </c>
      <c r="K166" s="418">
        <f>K167-K171+K172-K173+K174+K175</f>
        <v>0</v>
      </c>
      <c r="L166" s="387"/>
    </row>
    <row r="167" spans="1:14" s="388" customFormat="1" ht="12.75" outlineLevel="1">
      <c r="B167" s="403"/>
      <c r="C167" s="970"/>
      <c r="D167" s="404"/>
      <c r="E167" s="989" t="s">
        <v>735</v>
      </c>
      <c r="F167" s="990"/>
      <c r="G167" s="405">
        <f>SUM(G168:G170)</f>
        <v>0</v>
      </c>
      <c r="H167" s="405">
        <f>SUM(H168:H170)</f>
        <v>0</v>
      </c>
      <c r="I167" s="405">
        <f>SUM(I168:I170)</f>
        <v>0</v>
      </c>
      <c r="J167" s="405">
        <f>SUM(J168:J170)</f>
        <v>0</v>
      </c>
      <c r="K167" s="406">
        <f>SUM(K168:K170)</f>
        <v>0</v>
      </c>
      <c r="L167" s="387"/>
    </row>
    <row r="168" spans="1:14" s="413" customFormat="1" ht="13.5" customHeight="1" outlineLevel="1">
      <c r="B168" s="407"/>
      <c r="C168" s="970"/>
      <c r="E168" s="434"/>
      <c r="F168" s="409" t="s">
        <v>736</v>
      </c>
      <c r="G168" s="437"/>
      <c r="H168" s="410"/>
      <c r="I168" s="471"/>
      <c r="J168" s="471"/>
      <c r="K168" s="411"/>
      <c r="L168" s="412"/>
    </row>
    <row r="169" spans="1:14" s="413" customFormat="1" ht="13.5" customHeight="1" outlineLevel="1">
      <c r="B169" s="407"/>
      <c r="C169" s="970"/>
      <c r="E169" s="428"/>
      <c r="F169" s="414" t="s">
        <v>737</v>
      </c>
      <c r="G169" s="415"/>
      <c r="H169" s="415"/>
      <c r="I169" s="415"/>
      <c r="J169" s="415"/>
      <c r="K169" s="416"/>
      <c r="L169" s="412"/>
    </row>
    <row r="170" spans="1:14" s="413" customFormat="1" ht="13.5" customHeight="1" outlineLevel="1">
      <c r="B170" s="407"/>
      <c r="C170" s="970"/>
      <c r="E170" s="428"/>
      <c r="F170" s="414" t="s">
        <v>638</v>
      </c>
      <c r="G170" s="415"/>
      <c r="H170" s="415"/>
      <c r="I170" s="487"/>
      <c r="J170" s="487"/>
      <c r="K170" s="416"/>
      <c r="L170" s="412"/>
    </row>
    <row r="171" spans="1:14" s="413" customFormat="1" ht="15" customHeight="1" outlineLevel="1">
      <c r="B171" s="407"/>
      <c r="C171" s="970"/>
      <c r="E171" s="991" t="s">
        <v>738</v>
      </c>
      <c r="F171" s="992"/>
      <c r="G171" s="438"/>
      <c r="H171" s="415"/>
      <c r="I171" s="415"/>
      <c r="J171" s="415"/>
      <c r="K171" s="416"/>
      <c r="L171" s="412"/>
    </row>
    <row r="172" spans="1:14" s="413" customFormat="1" ht="13.5" customHeight="1" outlineLevel="1">
      <c r="B172" s="407"/>
      <c r="C172" s="970"/>
      <c r="E172" s="991" t="s">
        <v>739</v>
      </c>
      <c r="F172" s="992"/>
      <c r="G172" s="415"/>
      <c r="H172" s="415"/>
      <c r="I172" s="415"/>
      <c r="J172" s="415"/>
      <c r="K172" s="416"/>
      <c r="L172" s="412"/>
    </row>
    <row r="173" spans="1:14" s="413" customFormat="1" ht="13.5" customHeight="1" outlineLevel="1">
      <c r="B173" s="407"/>
      <c r="C173" s="970"/>
      <c r="E173" s="991" t="s">
        <v>738</v>
      </c>
      <c r="F173" s="992"/>
      <c r="G173" s="415"/>
      <c r="H173" s="415"/>
      <c r="I173" s="415"/>
      <c r="J173" s="415"/>
      <c r="K173" s="416"/>
      <c r="L173" s="412"/>
    </row>
    <row r="174" spans="1:14" s="413" customFormat="1" ht="13.5" customHeight="1" outlineLevel="1">
      <c r="B174" s="407"/>
      <c r="C174" s="970"/>
      <c r="E174" s="991" t="s">
        <v>740</v>
      </c>
      <c r="F174" s="992"/>
      <c r="G174" s="438"/>
      <c r="H174" s="415"/>
      <c r="I174" s="415"/>
      <c r="J174" s="415"/>
      <c r="K174" s="416"/>
      <c r="L174" s="412"/>
    </row>
    <row r="175" spans="1:14" s="413" customFormat="1" ht="13.5" customHeight="1" outlineLevel="1">
      <c r="B175" s="407"/>
      <c r="C175" s="970"/>
      <c r="E175" s="991" t="s">
        <v>741</v>
      </c>
      <c r="F175" s="992"/>
      <c r="G175" s="438"/>
      <c r="H175" s="415"/>
      <c r="I175" s="415"/>
      <c r="J175" s="415"/>
      <c r="K175" s="416"/>
      <c r="L175" s="412"/>
    </row>
    <row r="176" spans="1:14" s="388" customFormat="1" ht="15" customHeight="1">
      <c r="A176" s="413"/>
      <c r="B176" s="403"/>
      <c r="C176" s="970"/>
      <c r="D176" s="955" t="s">
        <v>742</v>
      </c>
      <c r="E176" s="956"/>
      <c r="F176" s="957"/>
      <c r="G176" s="417">
        <f>SUM(G177:G180)</f>
        <v>0</v>
      </c>
      <c r="H176" s="417">
        <f>SUM(H177:H180)</f>
        <v>0</v>
      </c>
      <c r="I176" s="417">
        <f>SUM(I177:I180)</f>
        <v>0</v>
      </c>
      <c r="J176" s="417">
        <f>SUM(J177:J180)</f>
        <v>0</v>
      </c>
      <c r="K176" s="418">
        <f>SUM(K177:K180)</f>
        <v>0</v>
      </c>
      <c r="L176" s="387"/>
    </row>
    <row r="177" spans="1:12" s="413" customFormat="1" ht="13.5" customHeight="1" outlineLevel="1">
      <c r="B177" s="407"/>
      <c r="C177" s="970"/>
      <c r="D177" s="408"/>
      <c r="E177" s="973" t="s">
        <v>743</v>
      </c>
      <c r="F177" s="974"/>
      <c r="G177" s="410"/>
      <c r="H177" s="410"/>
      <c r="I177" s="410"/>
      <c r="J177" s="410"/>
      <c r="K177" s="411"/>
      <c r="L177" s="412"/>
    </row>
    <row r="178" spans="1:12" s="413" customFormat="1" ht="13.5" customHeight="1" outlineLevel="1">
      <c r="B178" s="407"/>
      <c r="C178" s="970"/>
      <c r="E178" s="975" t="s">
        <v>744</v>
      </c>
      <c r="F178" s="976"/>
      <c r="G178" s="415"/>
      <c r="H178" s="415"/>
      <c r="I178" s="415"/>
      <c r="J178" s="415"/>
      <c r="K178" s="416"/>
      <c r="L178" s="412"/>
    </row>
    <row r="179" spans="1:12" s="413" customFormat="1" ht="13.5" customHeight="1" outlineLevel="1">
      <c r="B179" s="407"/>
      <c r="C179" s="970"/>
      <c r="E179" s="975" t="s">
        <v>745</v>
      </c>
      <c r="F179" s="976"/>
      <c r="G179" s="415"/>
      <c r="H179" s="415"/>
      <c r="I179" s="415"/>
      <c r="J179" s="415"/>
      <c r="K179" s="416"/>
      <c r="L179" s="412"/>
    </row>
    <row r="180" spans="1:12" s="413" customFormat="1" ht="13.5" customHeight="1" outlineLevel="1">
      <c r="B180" s="407"/>
      <c r="C180" s="970"/>
      <c r="E180" s="975" t="s">
        <v>746</v>
      </c>
      <c r="F180" s="976"/>
      <c r="G180" s="415"/>
      <c r="H180" s="415"/>
      <c r="I180" s="415"/>
      <c r="J180" s="415"/>
      <c r="K180" s="416"/>
      <c r="L180" s="412"/>
    </row>
    <row r="181" spans="1:12" s="388" customFormat="1" ht="15" customHeight="1">
      <c r="A181" s="413"/>
      <c r="B181" s="403"/>
      <c r="C181" s="970"/>
      <c r="D181" s="955" t="s">
        <v>747</v>
      </c>
      <c r="E181" s="956"/>
      <c r="F181" s="957"/>
      <c r="G181" s="417">
        <f>SUM(G182,G186)</f>
        <v>0</v>
      </c>
      <c r="H181" s="417">
        <f>SUM(H182,H186)</f>
        <v>0</v>
      </c>
      <c r="I181" s="417">
        <f>SUM(I182,I186)</f>
        <v>0</v>
      </c>
      <c r="J181" s="417">
        <f>SUM(J182,J186)</f>
        <v>0</v>
      </c>
      <c r="K181" s="418">
        <f>SUM(K182,K186)</f>
        <v>0</v>
      </c>
      <c r="L181" s="387"/>
    </row>
    <row r="182" spans="1:12" s="413" customFormat="1" ht="13.5" customHeight="1" outlineLevel="1">
      <c r="B182" s="407"/>
      <c r="C182" s="970"/>
      <c r="D182" s="408"/>
      <c r="E182" s="951" t="s">
        <v>716</v>
      </c>
      <c r="F182" s="952"/>
      <c r="G182" s="488">
        <f>SUM(G183:G185)</f>
        <v>0</v>
      </c>
      <c r="H182" s="488">
        <f>SUM(H183:H185)</f>
        <v>0</v>
      </c>
      <c r="I182" s="488">
        <f>SUM(I183:I185)</f>
        <v>0</v>
      </c>
      <c r="J182" s="488">
        <f>SUM(J183:J185)</f>
        <v>0</v>
      </c>
      <c r="K182" s="489">
        <f>SUM(K183:K185)</f>
        <v>0</v>
      </c>
      <c r="L182" s="412"/>
    </row>
    <row r="183" spans="1:12" s="413" customFormat="1" ht="13.5" customHeight="1" outlineLevel="1">
      <c r="B183" s="407"/>
      <c r="C183" s="970"/>
      <c r="E183" s="490"/>
      <c r="F183" s="491" t="s">
        <v>748</v>
      </c>
      <c r="G183" s="488"/>
      <c r="H183" s="488"/>
      <c r="I183" s="488"/>
      <c r="J183" s="488"/>
      <c r="K183" s="489"/>
      <c r="L183" s="412"/>
    </row>
    <row r="184" spans="1:12" s="413" customFormat="1" ht="13.5" customHeight="1" outlineLevel="1">
      <c r="B184" s="407"/>
      <c r="C184" s="970"/>
      <c r="E184" s="492"/>
      <c r="F184" s="493" t="s">
        <v>749</v>
      </c>
      <c r="G184" s="494"/>
      <c r="H184" s="494"/>
      <c r="I184" s="494"/>
      <c r="J184" s="494"/>
      <c r="K184" s="495"/>
      <c r="L184" s="412"/>
    </row>
    <row r="185" spans="1:12" s="413" customFormat="1" ht="13.5" customHeight="1" outlineLevel="1">
      <c r="B185" s="407"/>
      <c r="C185" s="970"/>
      <c r="E185" s="492"/>
      <c r="F185" s="493" t="s">
        <v>750</v>
      </c>
      <c r="G185" s="494"/>
      <c r="H185" s="494"/>
      <c r="I185" s="494"/>
      <c r="J185" s="494"/>
      <c r="K185" s="495"/>
      <c r="L185" s="412"/>
    </row>
    <row r="186" spans="1:12" s="413" customFormat="1" ht="13.5" customHeight="1" outlineLevel="1">
      <c r="B186" s="407"/>
      <c r="C186" s="970"/>
      <c r="E186" s="953" t="s">
        <v>279</v>
      </c>
      <c r="F186" s="954"/>
      <c r="G186" s="415"/>
      <c r="H186" s="415"/>
      <c r="I186" s="415"/>
      <c r="J186" s="415"/>
      <c r="K186" s="416"/>
      <c r="L186" s="412"/>
    </row>
    <row r="187" spans="1:12" s="388" customFormat="1" ht="15" customHeight="1">
      <c r="A187" s="413"/>
      <c r="B187" s="403"/>
      <c r="C187" s="970"/>
      <c r="D187" s="955" t="s">
        <v>45</v>
      </c>
      <c r="E187" s="956"/>
      <c r="F187" s="957"/>
      <c r="G187" s="496"/>
      <c r="H187" s="496"/>
      <c r="I187" s="496"/>
      <c r="J187" s="496"/>
      <c r="K187" s="497"/>
      <c r="L187" s="387"/>
    </row>
    <row r="188" spans="1:12" s="388" customFormat="1" ht="15" customHeight="1">
      <c r="A188" s="413"/>
      <c r="B188" s="403"/>
      <c r="C188" s="970"/>
      <c r="D188" s="955" t="s">
        <v>751</v>
      </c>
      <c r="E188" s="956"/>
      <c r="F188" s="957"/>
      <c r="G188" s="496">
        <f>SUM(G189:G191)</f>
        <v>0</v>
      </c>
      <c r="H188" s="496">
        <f>SUM(H189:H191)</f>
        <v>0</v>
      </c>
      <c r="I188" s="496">
        <f>SUM(I189:I191)</f>
        <v>0</v>
      </c>
      <c r="J188" s="496">
        <f>SUM(J189:J191)</f>
        <v>0</v>
      </c>
      <c r="K188" s="497">
        <f>SUM(K189:K191)</f>
        <v>0</v>
      </c>
      <c r="L188" s="387"/>
    </row>
    <row r="189" spans="1:12" s="413" customFormat="1" ht="15" customHeight="1" outlineLevel="1">
      <c r="B189" s="407"/>
      <c r="C189" s="970"/>
      <c r="D189" s="490"/>
      <c r="E189" s="993" t="s">
        <v>752</v>
      </c>
      <c r="F189" s="994"/>
      <c r="G189" s="498"/>
      <c r="H189" s="498"/>
      <c r="I189" s="498"/>
      <c r="J189" s="498"/>
      <c r="K189" s="499"/>
      <c r="L189" s="412"/>
    </row>
    <row r="190" spans="1:12" s="413" customFormat="1" ht="15" customHeight="1" outlineLevel="1">
      <c r="B190" s="407"/>
      <c r="C190" s="970"/>
      <c r="D190" s="492"/>
      <c r="E190" s="977" t="s">
        <v>753</v>
      </c>
      <c r="F190" s="978"/>
      <c r="G190" s="500"/>
      <c r="H190" s="500"/>
      <c r="I190" s="500"/>
      <c r="J190" s="500"/>
      <c r="K190" s="501"/>
      <c r="L190" s="412"/>
    </row>
    <row r="191" spans="1:12" s="413" customFormat="1" ht="15" customHeight="1" outlineLevel="1" thickBot="1">
      <c r="B191" s="407"/>
      <c r="C191" s="988"/>
      <c r="D191" s="502"/>
      <c r="E191" s="995" t="s">
        <v>279</v>
      </c>
      <c r="F191" s="996"/>
      <c r="G191" s="503"/>
      <c r="H191" s="504"/>
      <c r="I191" s="504"/>
      <c r="J191" s="504"/>
      <c r="K191" s="422"/>
      <c r="L191" s="412"/>
    </row>
    <row r="192" spans="1:12" ht="16.5" customHeight="1" thickBot="1">
      <c r="A192" s="388"/>
      <c r="B192" s="379"/>
      <c r="C192" s="965" t="s">
        <v>754</v>
      </c>
      <c r="D192" s="966"/>
      <c r="E192" s="966"/>
      <c r="F192" s="966" t="s">
        <v>755</v>
      </c>
      <c r="G192" s="423">
        <f>SUM(G166,G176,G181,G187,G188)</f>
        <v>0</v>
      </c>
      <c r="H192" s="423">
        <f>SUM(H166,H176,H181,H187,H188)</f>
        <v>0</v>
      </c>
      <c r="I192" s="423">
        <f>SUM(I166,I176,I181,I187,I188)</f>
        <v>0</v>
      </c>
      <c r="J192" s="423">
        <f>SUM(J166,J176,J181,J187,J188)</f>
        <v>0</v>
      </c>
      <c r="K192" s="424">
        <f>SUM(K166,K176,K181,K187,K188)</f>
        <v>0</v>
      </c>
      <c r="L192" s="378"/>
    </row>
    <row r="193" spans="1:12" ht="7.5" customHeight="1">
      <c r="B193" s="379"/>
      <c r="C193" s="967"/>
      <c r="D193" s="968"/>
      <c r="E193" s="968"/>
      <c r="F193" s="968"/>
      <c r="G193" s="968"/>
      <c r="H193" s="968"/>
      <c r="I193" s="968"/>
      <c r="J193" s="968"/>
      <c r="K193" s="969"/>
      <c r="L193" s="378"/>
    </row>
    <row r="194" spans="1:12" ht="16.5" customHeight="1">
      <c r="B194" s="379"/>
      <c r="C194" s="970" t="s">
        <v>44</v>
      </c>
      <c r="D194" s="971"/>
      <c r="E194" s="971"/>
      <c r="F194" s="971"/>
      <c r="G194" s="467"/>
      <c r="H194" s="468"/>
      <c r="I194" s="468"/>
      <c r="J194" s="468"/>
      <c r="K194" s="469"/>
      <c r="L194" s="378"/>
    </row>
    <row r="195" spans="1:12" s="388" customFormat="1" ht="15" customHeight="1">
      <c r="A195" s="371"/>
      <c r="B195" s="403"/>
      <c r="C195" s="933"/>
      <c r="D195" s="955" t="s">
        <v>756</v>
      </c>
      <c r="E195" s="956"/>
      <c r="F195" s="957"/>
      <c r="G195" s="417">
        <f>SUM(G196,G199,G200,G201)</f>
        <v>0</v>
      </c>
      <c r="H195" s="417">
        <f t="shared" ref="H195:K195" si="4">SUM(H196,H199,H200,H201)</f>
        <v>0</v>
      </c>
      <c r="I195" s="417">
        <f t="shared" si="4"/>
        <v>0</v>
      </c>
      <c r="J195" s="417">
        <f t="shared" si="4"/>
        <v>0</v>
      </c>
      <c r="K195" s="418">
        <f t="shared" si="4"/>
        <v>0</v>
      </c>
      <c r="L195" s="387"/>
    </row>
    <row r="196" spans="1:12" s="413" customFormat="1" ht="13.5" customHeight="1" outlineLevel="1">
      <c r="B196" s="407"/>
      <c r="C196" s="933"/>
      <c r="D196" s="408"/>
      <c r="E196" s="973" t="s">
        <v>743</v>
      </c>
      <c r="F196" s="974"/>
      <c r="G196" s="410">
        <f>SUM(G197:G198)</f>
        <v>0</v>
      </c>
      <c r="H196" s="410">
        <f>SUM(H197:H198)</f>
        <v>0</v>
      </c>
      <c r="I196" s="410">
        <f>SUM(I197:I198)</f>
        <v>0</v>
      </c>
      <c r="J196" s="410">
        <f>SUM(J197:J198)</f>
        <v>0</v>
      </c>
      <c r="K196" s="411">
        <f>SUM(K197:K198)</f>
        <v>0</v>
      </c>
      <c r="L196" s="412"/>
    </row>
    <row r="197" spans="1:12" s="413" customFormat="1" ht="13.5" customHeight="1" outlineLevel="2">
      <c r="B197" s="407"/>
      <c r="C197" s="933"/>
      <c r="E197" s="505"/>
      <c r="F197" s="506" t="s">
        <v>757</v>
      </c>
      <c r="G197" s="410"/>
      <c r="H197" s="410"/>
      <c r="I197" s="410"/>
      <c r="J197" s="410"/>
      <c r="K197" s="411"/>
      <c r="L197" s="412"/>
    </row>
    <row r="198" spans="1:12" s="413" customFormat="1" ht="13.5" customHeight="1" outlineLevel="2">
      <c r="B198" s="407"/>
      <c r="C198" s="933"/>
      <c r="E198" s="507"/>
      <c r="F198" s="508" t="s">
        <v>758</v>
      </c>
      <c r="G198" s="415"/>
      <c r="H198" s="415"/>
      <c r="I198" s="415"/>
      <c r="J198" s="415"/>
      <c r="K198" s="416"/>
      <c r="L198" s="412"/>
    </row>
    <row r="199" spans="1:12" s="413" customFormat="1" ht="13.5" customHeight="1" outlineLevel="1">
      <c r="B199" s="407"/>
      <c r="C199" s="933"/>
      <c r="E199" s="975" t="s">
        <v>744</v>
      </c>
      <c r="F199" s="976"/>
      <c r="G199" s="415"/>
      <c r="H199" s="415"/>
      <c r="I199" s="415"/>
      <c r="J199" s="415"/>
      <c r="K199" s="416"/>
      <c r="L199" s="412"/>
    </row>
    <row r="200" spans="1:12" s="413" customFormat="1" ht="13.5" customHeight="1" outlineLevel="1">
      <c r="B200" s="407"/>
      <c r="C200" s="933"/>
      <c r="E200" s="975" t="s">
        <v>745</v>
      </c>
      <c r="F200" s="976"/>
      <c r="G200" s="415"/>
      <c r="H200" s="415"/>
      <c r="I200" s="415"/>
      <c r="J200" s="415"/>
      <c r="K200" s="416"/>
      <c r="L200" s="412"/>
    </row>
    <row r="201" spans="1:12" s="413" customFormat="1" ht="13.5" customHeight="1" outlineLevel="1">
      <c r="B201" s="407"/>
      <c r="C201" s="933"/>
      <c r="E201" s="975" t="s">
        <v>746</v>
      </c>
      <c r="F201" s="976"/>
      <c r="G201" s="415"/>
      <c r="H201" s="415"/>
      <c r="I201" s="415"/>
      <c r="J201" s="415"/>
      <c r="K201" s="416"/>
      <c r="L201" s="412"/>
    </row>
    <row r="202" spans="1:12" s="388" customFormat="1" ht="15" customHeight="1">
      <c r="A202" s="413"/>
      <c r="B202" s="403"/>
      <c r="C202" s="933"/>
      <c r="D202" s="955" t="s">
        <v>759</v>
      </c>
      <c r="E202" s="956"/>
      <c r="F202" s="957"/>
      <c r="G202" s="496">
        <f>SUM(G203:G206)</f>
        <v>0</v>
      </c>
      <c r="H202" s="496">
        <f>SUM(H203:H206)</f>
        <v>0</v>
      </c>
      <c r="I202" s="496">
        <f>SUM(I203:I206)</f>
        <v>0</v>
      </c>
      <c r="J202" s="496">
        <f>SUM(J203:J206)</f>
        <v>0</v>
      </c>
      <c r="K202" s="497">
        <f>SUM(K203:K206)</f>
        <v>0</v>
      </c>
      <c r="L202" s="387"/>
    </row>
    <row r="203" spans="1:12" s="413" customFormat="1" ht="15" customHeight="1" outlineLevel="1">
      <c r="B203" s="407"/>
      <c r="C203" s="933"/>
      <c r="D203" s="490"/>
      <c r="E203" s="979" t="s">
        <v>760</v>
      </c>
      <c r="F203" s="980"/>
      <c r="G203" s="498"/>
      <c r="H203" s="498"/>
      <c r="I203" s="498"/>
      <c r="J203" s="498"/>
      <c r="K203" s="499"/>
      <c r="L203" s="412"/>
    </row>
    <row r="204" spans="1:12" s="413" customFormat="1" ht="15" customHeight="1" outlineLevel="1">
      <c r="B204" s="407"/>
      <c r="C204" s="933"/>
      <c r="D204" s="492"/>
      <c r="E204" s="981" t="s">
        <v>761</v>
      </c>
      <c r="F204" s="982"/>
      <c r="G204" s="500"/>
      <c r="H204" s="500"/>
      <c r="I204" s="500"/>
      <c r="J204" s="500"/>
      <c r="K204" s="501"/>
      <c r="L204" s="412"/>
    </row>
    <row r="205" spans="1:12" s="413" customFormat="1" ht="15" customHeight="1" outlineLevel="1">
      <c r="B205" s="407"/>
      <c r="C205" s="933"/>
      <c r="D205" s="492"/>
      <c r="E205" s="981" t="s">
        <v>762</v>
      </c>
      <c r="F205" s="982"/>
      <c r="G205" s="500"/>
      <c r="H205" s="500"/>
      <c r="I205" s="500"/>
      <c r="J205" s="500"/>
      <c r="K205" s="501"/>
      <c r="L205" s="412"/>
    </row>
    <row r="206" spans="1:12" s="413" customFormat="1" ht="15" customHeight="1" outlineLevel="1">
      <c r="B206" s="407"/>
      <c r="C206" s="933"/>
      <c r="D206" s="492"/>
      <c r="E206" s="981" t="s">
        <v>763</v>
      </c>
      <c r="F206" s="982"/>
      <c r="G206" s="500"/>
      <c r="H206" s="500"/>
      <c r="I206" s="500"/>
      <c r="J206" s="500"/>
      <c r="K206" s="501"/>
      <c r="L206" s="412"/>
    </row>
    <row r="207" spans="1:12" s="388" customFormat="1" ht="15" customHeight="1">
      <c r="B207" s="403"/>
      <c r="C207" s="933"/>
      <c r="D207" s="955" t="s">
        <v>764</v>
      </c>
      <c r="E207" s="956"/>
      <c r="F207" s="957"/>
      <c r="G207" s="417">
        <f>SUM(G208:G210)-G211</f>
        <v>0</v>
      </c>
      <c r="H207" s="417">
        <f t="shared" ref="H207:K207" si="5">SUM(H208:H210)-H211</f>
        <v>0</v>
      </c>
      <c r="I207" s="417">
        <f t="shared" si="5"/>
        <v>0</v>
      </c>
      <c r="J207" s="417">
        <f t="shared" si="5"/>
        <v>0</v>
      </c>
      <c r="K207" s="418">
        <f t="shared" si="5"/>
        <v>0</v>
      </c>
      <c r="L207" s="387"/>
    </row>
    <row r="208" spans="1:12" s="413" customFormat="1" ht="13.5" customHeight="1" outlineLevel="1">
      <c r="B208" s="407"/>
      <c r="C208" s="933"/>
      <c r="D208" s="408"/>
      <c r="E208" s="951" t="s">
        <v>765</v>
      </c>
      <c r="F208" s="952"/>
      <c r="G208" s="498"/>
      <c r="H208" s="498"/>
      <c r="I208" s="498"/>
      <c r="J208" s="498"/>
      <c r="K208" s="499"/>
      <c r="L208" s="412"/>
    </row>
    <row r="209" spans="1:12" s="413" customFormat="1" ht="13.5" customHeight="1" outlineLevel="1">
      <c r="B209" s="407"/>
      <c r="C209" s="933"/>
      <c r="E209" s="953" t="s">
        <v>766</v>
      </c>
      <c r="F209" s="954"/>
      <c r="G209" s="500"/>
      <c r="H209" s="500"/>
      <c r="I209" s="500"/>
      <c r="J209" s="500"/>
      <c r="K209" s="501"/>
      <c r="L209" s="412"/>
    </row>
    <row r="210" spans="1:12" s="413" customFormat="1" ht="13.5" hidden="1" customHeight="1" outlineLevel="1">
      <c r="B210" s="407"/>
      <c r="C210" s="933"/>
      <c r="E210" s="953" t="s">
        <v>716</v>
      </c>
      <c r="F210" s="954"/>
      <c r="G210" s="500"/>
      <c r="H210" s="500"/>
      <c r="I210" s="500"/>
      <c r="J210" s="500"/>
      <c r="K210" s="501"/>
      <c r="L210" s="412"/>
    </row>
    <row r="211" spans="1:12" s="413" customFormat="1" ht="13.5" hidden="1" customHeight="1" outlineLevel="1">
      <c r="B211" s="407"/>
      <c r="C211" s="933"/>
      <c r="E211" s="977" t="s">
        <v>767</v>
      </c>
      <c r="F211" s="978"/>
      <c r="G211" s="500"/>
      <c r="H211" s="500"/>
      <c r="I211" s="500"/>
      <c r="J211" s="500"/>
      <c r="K211" s="501"/>
      <c r="L211" s="412"/>
    </row>
    <row r="212" spans="1:12" s="388" customFormat="1" ht="15" customHeight="1">
      <c r="A212" s="413"/>
      <c r="B212" s="403"/>
      <c r="C212" s="933"/>
      <c r="D212" s="955" t="s">
        <v>768</v>
      </c>
      <c r="E212" s="956"/>
      <c r="F212" s="957"/>
      <c r="G212" s="496"/>
      <c r="H212" s="496"/>
      <c r="I212" s="496"/>
      <c r="J212" s="496"/>
      <c r="K212" s="497"/>
      <c r="L212" s="387"/>
    </row>
    <row r="213" spans="1:12" s="388" customFormat="1" ht="15" customHeight="1">
      <c r="B213" s="403"/>
      <c r="C213" s="933"/>
      <c r="D213" s="955" t="s">
        <v>769</v>
      </c>
      <c r="E213" s="956"/>
      <c r="F213" s="957"/>
      <c r="G213" s="417">
        <f>SUM(G214,G218)</f>
        <v>0</v>
      </c>
      <c r="H213" s="417">
        <f>SUM(H214,H218)</f>
        <v>0</v>
      </c>
      <c r="I213" s="417">
        <f>SUM(I214,I218)</f>
        <v>0</v>
      </c>
      <c r="J213" s="417">
        <f>SUM(J214,J218)</f>
        <v>0</v>
      </c>
      <c r="K213" s="418">
        <f>SUM(K214,K218)</f>
        <v>0</v>
      </c>
      <c r="L213" s="387"/>
    </row>
    <row r="214" spans="1:12" s="413" customFormat="1" ht="13.5" customHeight="1" outlineLevel="1">
      <c r="A214" s="388"/>
      <c r="B214" s="407"/>
      <c r="C214" s="933"/>
      <c r="D214" s="408"/>
      <c r="E214" s="951" t="s">
        <v>716</v>
      </c>
      <c r="F214" s="952"/>
      <c r="G214" s="509">
        <f>SUM(G215:G217)</f>
        <v>0</v>
      </c>
      <c r="H214" s="509">
        <f>SUM(H215:H217)</f>
        <v>0</v>
      </c>
      <c r="I214" s="509">
        <f>SUM(I215:I217)</f>
        <v>0</v>
      </c>
      <c r="J214" s="509">
        <f>SUM(J215:J217)</f>
        <v>0</v>
      </c>
      <c r="K214" s="510">
        <f>SUM(K215:K217)</f>
        <v>0</v>
      </c>
      <c r="L214" s="412"/>
    </row>
    <row r="215" spans="1:12" s="413" customFormat="1" ht="13.5" customHeight="1" outlineLevel="1">
      <c r="A215" s="388"/>
      <c r="B215" s="407"/>
      <c r="C215" s="933"/>
      <c r="E215" s="490"/>
      <c r="F215" s="491" t="s">
        <v>748</v>
      </c>
      <c r="G215" s="509"/>
      <c r="H215" s="509"/>
      <c r="I215" s="509"/>
      <c r="J215" s="509"/>
      <c r="K215" s="510"/>
      <c r="L215" s="412"/>
    </row>
    <row r="216" spans="1:12" s="413" customFormat="1" ht="13.5" customHeight="1" outlineLevel="1">
      <c r="A216" s="388"/>
      <c r="B216" s="407"/>
      <c r="C216" s="933"/>
      <c r="E216" s="492"/>
      <c r="F216" s="493" t="s">
        <v>749</v>
      </c>
      <c r="G216" s="511"/>
      <c r="H216" s="511"/>
      <c r="I216" s="511"/>
      <c r="J216" s="511"/>
      <c r="K216" s="512"/>
      <c r="L216" s="412"/>
    </row>
    <row r="217" spans="1:12" s="413" customFormat="1" ht="13.5" customHeight="1" outlineLevel="1">
      <c r="A217" s="388"/>
      <c r="B217" s="407"/>
      <c r="C217" s="933"/>
      <c r="E217" s="492"/>
      <c r="F217" s="493" t="s">
        <v>750</v>
      </c>
      <c r="G217" s="511"/>
      <c r="H217" s="511"/>
      <c r="I217" s="511"/>
      <c r="J217" s="511"/>
      <c r="K217" s="512"/>
      <c r="L217" s="412"/>
    </row>
    <row r="218" spans="1:12" s="413" customFormat="1" ht="13.5" customHeight="1" outlineLevel="1">
      <c r="B218" s="407"/>
      <c r="C218" s="933"/>
      <c r="E218" s="953" t="s">
        <v>279</v>
      </c>
      <c r="F218" s="954"/>
      <c r="G218" s="415"/>
      <c r="H218" s="415"/>
      <c r="I218" s="415"/>
      <c r="J218" s="415"/>
      <c r="K218" s="416"/>
      <c r="L218" s="412"/>
    </row>
    <row r="219" spans="1:12" s="388" customFormat="1" ht="15" customHeight="1" thickBot="1">
      <c r="A219" s="413"/>
      <c r="B219" s="403"/>
      <c r="C219" s="972"/>
      <c r="D219" s="955" t="s">
        <v>770</v>
      </c>
      <c r="E219" s="956"/>
      <c r="F219" s="957"/>
      <c r="G219" s="504"/>
      <c r="H219" s="504"/>
      <c r="I219" s="504"/>
      <c r="J219" s="504"/>
      <c r="K219" s="513"/>
      <c r="L219" s="387"/>
    </row>
    <row r="220" spans="1:12" ht="16.5" customHeight="1" thickBot="1">
      <c r="A220" s="388"/>
      <c r="B220" s="379"/>
      <c r="C220" s="958" t="s">
        <v>771</v>
      </c>
      <c r="D220" s="959"/>
      <c r="E220" s="959"/>
      <c r="F220" s="960" t="s">
        <v>755</v>
      </c>
      <c r="G220" s="423">
        <f>SUM(G195,G202,G207,G212:G213,G219)</f>
        <v>0</v>
      </c>
      <c r="H220" s="423">
        <f>SUM(H195,H202,H207,H212:H213,H219)</f>
        <v>0</v>
      </c>
      <c r="I220" s="423">
        <f>SUM(I195,I202,I207,I212:I213,I219)</f>
        <v>0</v>
      </c>
      <c r="J220" s="423">
        <f>SUM(J195,J202,J207,J212:J213,J219)</f>
        <v>0</v>
      </c>
      <c r="K220" s="424">
        <f>SUM(K195,K202,K207,K212:K213,K219)</f>
        <v>0</v>
      </c>
      <c r="L220" s="378"/>
    </row>
    <row r="221" spans="1:12" ht="16.5" customHeight="1" thickBot="1">
      <c r="A221" s="388"/>
      <c r="B221" s="379"/>
      <c r="C221" s="961" t="s">
        <v>772</v>
      </c>
      <c r="D221" s="962"/>
      <c r="E221" s="962"/>
      <c r="F221" s="962" t="s">
        <v>772</v>
      </c>
      <c r="G221" s="482">
        <f>SUM(G192,G220)</f>
        <v>0</v>
      </c>
      <c r="H221" s="482">
        <f>SUM(H192,H220)</f>
        <v>0</v>
      </c>
      <c r="I221" s="482">
        <f>SUM(I192,I220)</f>
        <v>0</v>
      </c>
      <c r="J221" s="482">
        <f>SUM(J192,J220)</f>
        <v>0</v>
      </c>
      <c r="K221" s="483">
        <f>SUM(K192,K220)</f>
        <v>0</v>
      </c>
      <c r="L221" s="378"/>
    </row>
    <row r="222" spans="1:12" ht="13.5" customHeight="1">
      <c r="B222" s="379"/>
      <c r="F222" s="514"/>
      <c r="G222" s="515"/>
      <c r="H222" s="516"/>
      <c r="I222" s="516"/>
      <c r="J222" s="516"/>
      <c r="K222" s="516"/>
      <c r="L222" s="378"/>
    </row>
    <row r="223" spans="1:12" s="413" customFormat="1" ht="15" customHeight="1">
      <c r="B223" s="407"/>
      <c r="C223" s="963" t="s">
        <v>773</v>
      </c>
      <c r="D223" s="964"/>
      <c r="E223" s="964"/>
      <c r="F223" s="964"/>
      <c r="G223" s="517">
        <f>G162-G221</f>
        <v>0</v>
      </c>
      <c r="H223" s="517">
        <f>H162-H221</f>
        <v>0</v>
      </c>
      <c r="I223" s="517">
        <f>I162-I221</f>
        <v>0</v>
      </c>
      <c r="J223" s="517">
        <f>J162-J221</f>
        <v>0</v>
      </c>
      <c r="K223" s="518">
        <f>K162-K221</f>
        <v>0</v>
      </c>
      <c r="L223" s="412"/>
    </row>
    <row r="224" spans="1:12" s="473" customFormat="1" ht="13.5" customHeight="1" thickBot="1">
      <c r="A224" s="388"/>
      <c r="B224" s="379"/>
      <c r="C224" s="371"/>
      <c r="D224" s="371"/>
      <c r="E224" s="371"/>
      <c r="F224" s="519"/>
      <c r="G224" s="520"/>
      <c r="H224" s="521"/>
      <c r="I224" s="521"/>
      <c r="J224" s="521"/>
      <c r="K224" s="521"/>
      <c r="L224" s="378"/>
    </row>
    <row r="225" spans="1:12" s="473" customFormat="1" ht="20.25" thickBot="1">
      <c r="A225" s="371"/>
      <c r="B225" s="379"/>
      <c r="C225" s="942" t="s">
        <v>774</v>
      </c>
      <c r="D225" s="943"/>
      <c r="E225" s="943"/>
      <c r="F225" s="943"/>
      <c r="G225" s="943"/>
      <c r="H225" s="943"/>
      <c r="I225" s="943"/>
      <c r="J225" s="943"/>
      <c r="K225" s="944"/>
      <c r="L225" s="378"/>
    </row>
    <row r="226" spans="1:12" s="473" customFormat="1" ht="16.5" customHeight="1" thickBot="1">
      <c r="A226" s="371"/>
      <c r="B226" s="379"/>
      <c r="C226" s="945" t="s">
        <v>611</v>
      </c>
      <c r="D226" s="946"/>
      <c r="E226" s="946"/>
      <c r="F226" s="947" t="s">
        <v>685</v>
      </c>
      <c r="G226" s="465" t="str">
        <f>G5</f>
        <v>-</v>
      </c>
      <c r="H226" s="465" t="str">
        <f>H5</f>
        <v>-</v>
      </c>
      <c r="I226" s="465" t="str">
        <f>I5</f>
        <v>-</v>
      </c>
      <c r="J226" s="465" t="str">
        <f>J5</f>
        <v>-</v>
      </c>
      <c r="K226" s="466" t="str">
        <f>K5</f>
        <v>-</v>
      </c>
      <c r="L226" s="378"/>
    </row>
    <row r="227" spans="1:12" s="524" customFormat="1" ht="16.5">
      <c r="A227" s="371"/>
      <c r="B227" s="522"/>
      <c r="C227" s="936" t="s">
        <v>775</v>
      </c>
      <c r="D227" s="937"/>
      <c r="E227" s="937"/>
      <c r="F227" s="937"/>
      <c r="G227" s="937"/>
      <c r="H227" s="937"/>
      <c r="I227" s="937"/>
      <c r="J227" s="937"/>
      <c r="K227" s="938"/>
      <c r="L227" s="523"/>
    </row>
    <row r="228" spans="1:12" s="473" customFormat="1" ht="15" customHeight="1">
      <c r="A228" s="525"/>
      <c r="B228" s="403"/>
      <c r="C228" s="948" t="s">
        <v>776</v>
      </c>
      <c r="D228" s="949"/>
      <c r="E228" s="949"/>
      <c r="F228" s="950"/>
      <c r="G228" s="526"/>
      <c r="H228" s="527" t="str">
        <f>IFERROR((H22-G22)/G22,"-")</f>
        <v>-</v>
      </c>
      <c r="I228" s="527" t="str">
        <f>IFERROR((I22-H22)/H22,"-")</f>
        <v>-</v>
      </c>
      <c r="J228" s="527" t="str">
        <f>IFERROR((J22-I22)/I22,"-")</f>
        <v>-</v>
      </c>
      <c r="K228" s="528" t="str">
        <f>IFERROR((K22-J22)/J22,"-")</f>
        <v>-</v>
      </c>
      <c r="L228" s="387"/>
    </row>
    <row r="229" spans="1:12" s="473" customFormat="1" ht="15" customHeight="1">
      <c r="A229" s="388"/>
      <c r="B229" s="403"/>
      <c r="C229" s="948" t="s">
        <v>777</v>
      </c>
      <c r="D229" s="949"/>
      <c r="E229" s="949"/>
      <c r="F229" s="950"/>
      <c r="G229" s="526"/>
      <c r="H229" s="527" t="str">
        <f>IFERROR(H54/G54-1,"-")</f>
        <v>-</v>
      </c>
      <c r="I229" s="527" t="str">
        <f>IFERROR(I54/H54-1,"-")</f>
        <v>-</v>
      </c>
      <c r="J229" s="527" t="str">
        <f>IFERROR(J54/I54-1,"-")</f>
        <v>-</v>
      </c>
      <c r="K229" s="528" t="str">
        <f>IFERROR(K54/J54-1,"-")</f>
        <v>-</v>
      </c>
      <c r="L229" s="387"/>
    </row>
    <row r="230" spans="1:12" s="473" customFormat="1" ht="15" customHeight="1">
      <c r="A230" s="388"/>
      <c r="B230" s="403"/>
      <c r="C230" s="948" t="s">
        <v>778</v>
      </c>
      <c r="D230" s="949"/>
      <c r="E230" s="949"/>
      <c r="F230" s="950"/>
      <c r="G230" s="526"/>
      <c r="H230" s="527" t="str">
        <f>IFERROR((H91-G91)/G91,"-")</f>
        <v>-</v>
      </c>
      <c r="I230" s="527" t="str">
        <f>IFERROR((I91-H91)/H91,"-")</f>
        <v>-</v>
      </c>
      <c r="J230" s="527" t="str">
        <f>IFERROR((J91-I91)/I91,"-")</f>
        <v>-</v>
      </c>
      <c r="K230" s="528" t="str">
        <f>IFERROR((K91-J91)/J91,"-")</f>
        <v>-</v>
      </c>
      <c r="L230" s="387"/>
    </row>
    <row r="231" spans="1:12" ht="7.5" customHeight="1" thickBot="1">
      <c r="A231" s="388"/>
      <c r="B231" s="379"/>
      <c r="C231" s="933"/>
      <c r="D231" s="934"/>
      <c r="E231" s="934"/>
      <c r="F231" s="934"/>
      <c r="G231" s="934"/>
      <c r="H231" s="934"/>
      <c r="I231" s="934"/>
      <c r="J231" s="934"/>
      <c r="K231" s="935"/>
      <c r="L231" s="378"/>
    </row>
    <row r="232" spans="1:12" s="524" customFormat="1" ht="16.5">
      <c r="A232" s="371"/>
      <c r="B232" s="522"/>
      <c r="C232" s="936" t="s">
        <v>779</v>
      </c>
      <c r="D232" s="937"/>
      <c r="E232" s="937"/>
      <c r="F232" s="937"/>
      <c r="G232" s="937"/>
      <c r="H232" s="937"/>
      <c r="I232" s="937"/>
      <c r="J232" s="937"/>
      <c r="K232" s="938"/>
      <c r="L232" s="523"/>
    </row>
    <row r="233" spans="1:12" s="473" customFormat="1" ht="15" customHeight="1">
      <c r="A233" s="525"/>
      <c r="B233" s="403"/>
      <c r="C233" s="927" t="s">
        <v>780</v>
      </c>
      <c r="D233" s="928"/>
      <c r="E233" s="928"/>
      <c r="F233" s="929"/>
      <c r="G233" s="527" t="str">
        <f>IFERROR(G54/G22,"-")</f>
        <v>-</v>
      </c>
      <c r="H233" s="527" t="str">
        <f>IFERROR(H54/H22,"-")</f>
        <v>-</v>
      </c>
      <c r="I233" s="527" t="str">
        <f>IFERROR(I54/I22,"-")</f>
        <v>-</v>
      </c>
      <c r="J233" s="527" t="str">
        <f>IFERROR(J54/J22,"-")</f>
        <v>-</v>
      </c>
      <c r="K233" s="528" t="str">
        <f>IFERROR(K54/K22,"-")</f>
        <v>-</v>
      </c>
      <c r="L233" s="387"/>
    </row>
    <row r="234" spans="1:12" s="473" customFormat="1" ht="15" customHeight="1">
      <c r="A234" s="388"/>
      <c r="B234" s="403"/>
      <c r="C234" s="939" t="s">
        <v>781</v>
      </c>
      <c r="D234" s="940"/>
      <c r="E234" s="940"/>
      <c r="F234" s="941"/>
      <c r="G234" s="527" t="str">
        <f>IFERROR((G91-G72)/G22,"-")</f>
        <v>-</v>
      </c>
      <c r="H234" s="527" t="str">
        <f>IFERROR((H91-H72)/H22,"-")</f>
        <v>-</v>
      </c>
      <c r="I234" s="527" t="str">
        <f>IFERROR((I91-I72)/I22,"-")</f>
        <v>-</v>
      </c>
      <c r="J234" s="527" t="str">
        <f>IFERROR((J91-J72)/J22,"-")</f>
        <v>-</v>
      </c>
      <c r="K234" s="528" t="str">
        <f>IFERROR((K91-K72)/K22,"-")</f>
        <v>-</v>
      </c>
      <c r="L234" s="387"/>
    </row>
    <row r="235" spans="1:12" s="473" customFormat="1" ht="15" customHeight="1">
      <c r="A235" s="388"/>
      <c r="B235" s="403"/>
      <c r="C235" s="927" t="s">
        <v>782</v>
      </c>
      <c r="D235" s="928"/>
      <c r="E235" s="928"/>
      <c r="F235" s="929"/>
      <c r="G235" s="527" t="str">
        <f>IFERROR((G99-G72)/G22,"-")</f>
        <v>-</v>
      </c>
      <c r="H235" s="527" t="str">
        <f>IFERROR((H99-H72)/H22,"-")</f>
        <v>-</v>
      </c>
      <c r="I235" s="527" t="str">
        <f>IFERROR((I99-I72)/I22,"-")</f>
        <v>-</v>
      </c>
      <c r="J235" s="527" t="str">
        <f>IFERROR((J99-J72)/J22,"-")</f>
        <v>-</v>
      </c>
      <c r="K235" s="528" t="str">
        <f>IFERROR((K99-K72)/K22,"-")</f>
        <v>-</v>
      </c>
      <c r="L235" s="387"/>
    </row>
    <row r="236" spans="1:12" s="473" customFormat="1" ht="15" customHeight="1">
      <c r="A236" s="388"/>
      <c r="B236" s="403"/>
      <c r="C236" s="927" t="s">
        <v>783</v>
      </c>
      <c r="D236" s="928"/>
      <c r="E236" s="928"/>
      <c r="F236" s="929"/>
      <c r="G236" s="527" t="str">
        <f>IFERROR(G64/(G221-G161),"-")</f>
        <v>-</v>
      </c>
      <c r="H236" s="527" t="str">
        <f>IFERROR(H64/(H221-H161),"-")</f>
        <v>-</v>
      </c>
      <c r="I236" s="527" t="str">
        <f>IFERROR(I64/(I221-I161),"-")</f>
        <v>-</v>
      </c>
      <c r="J236" s="527" t="str">
        <f>IFERROR(J64/(J221-J161),"-")</f>
        <v>-</v>
      </c>
      <c r="K236" s="528" t="str">
        <f>IFERROR(K64/(K221-K161),"-")</f>
        <v>-</v>
      </c>
      <c r="L236" s="387"/>
    </row>
    <row r="237" spans="1:12" s="473" customFormat="1" ht="15" customHeight="1">
      <c r="A237" s="388"/>
      <c r="B237" s="403"/>
      <c r="C237" s="927" t="s">
        <v>784</v>
      </c>
      <c r="D237" s="928"/>
      <c r="E237" s="928"/>
      <c r="F237" s="929"/>
      <c r="G237" s="527" t="str">
        <f>IFERROR(G91/G118,"-")</f>
        <v>-</v>
      </c>
      <c r="H237" s="527" t="str">
        <f>IFERROR(H91/H118,"-")</f>
        <v>-</v>
      </c>
      <c r="I237" s="527" t="str">
        <f>IFERROR(I91/I118,"-")</f>
        <v>-</v>
      </c>
      <c r="J237" s="527" t="str">
        <f>IFERROR(J91/J118,"-")</f>
        <v>-</v>
      </c>
      <c r="K237" s="528" t="str">
        <f>IFERROR(K91/K118,"-")</f>
        <v>-</v>
      </c>
      <c r="L237" s="387"/>
    </row>
    <row r="238" spans="1:12" s="473" customFormat="1" ht="15" customHeight="1">
      <c r="A238" s="388"/>
      <c r="B238" s="403"/>
      <c r="C238" s="927" t="s">
        <v>785</v>
      </c>
      <c r="D238" s="928"/>
      <c r="E238" s="928"/>
      <c r="F238" s="929"/>
      <c r="G238" s="527" t="str">
        <f>IFERROR(G91/G221,"-")</f>
        <v>-</v>
      </c>
      <c r="H238" s="527" t="str">
        <f>IFERROR(H91/H221,"-")</f>
        <v>-</v>
      </c>
      <c r="I238" s="527" t="str">
        <f>IFERROR(I91/I221,"-")</f>
        <v>-</v>
      </c>
      <c r="J238" s="527" t="str">
        <f>IFERROR(J91/J221,"-")</f>
        <v>-</v>
      </c>
      <c r="K238" s="528" t="str">
        <f>IFERROR(K91/K221,"-")</f>
        <v>-</v>
      </c>
      <c r="L238" s="387"/>
    </row>
    <row r="239" spans="1:12" ht="7.5" customHeight="1" thickBot="1">
      <c r="A239" s="388"/>
      <c r="B239" s="379"/>
      <c r="C239" s="933"/>
      <c r="D239" s="934"/>
      <c r="E239" s="934"/>
      <c r="F239" s="934"/>
      <c r="G239" s="934"/>
      <c r="H239" s="934"/>
      <c r="I239" s="934"/>
      <c r="J239" s="934"/>
      <c r="K239" s="935"/>
      <c r="L239" s="378"/>
    </row>
    <row r="240" spans="1:12" s="524" customFormat="1" ht="16.5">
      <c r="A240" s="371"/>
      <c r="B240" s="522"/>
      <c r="C240" s="936" t="s">
        <v>786</v>
      </c>
      <c r="D240" s="937"/>
      <c r="E240" s="937"/>
      <c r="F240" s="937"/>
      <c r="G240" s="937"/>
      <c r="H240" s="937"/>
      <c r="I240" s="937"/>
      <c r="J240" s="937"/>
      <c r="K240" s="938"/>
      <c r="L240" s="523"/>
    </row>
    <row r="241" spans="1:12" s="473" customFormat="1" ht="15" customHeight="1">
      <c r="A241" s="525"/>
      <c r="B241" s="403"/>
      <c r="C241" s="927" t="s">
        <v>787</v>
      </c>
      <c r="D241" s="928"/>
      <c r="E241" s="928"/>
      <c r="F241" s="929"/>
      <c r="G241" s="529" t="str">
        <f>IFERROR(G220/G161,"-")</f>
        <v>-</v>
      </c>
      <c r="H241" s="529" t="str">
        <f>IFERROR(H220/H161,"-")</f>
        <v>-</v>
      </c>
      <c r="I241" s="529" t="str">
        <f>IFERROR(I220/I161,"-")</f>
        <v>-</v>
      </c>
      <c r="J241" s="529" t="str">
        <f>IFERROR(J220/J161,"-")</f>
        <v>-</v>
      </c>
      <c r="K241" s="530" t="str">
        <f>IFERROR(K220/K161,"-")</f>
        <v>-</v>
      </c>
      <c r="L241" s="387"/>
    </row>
    <row r="242" spans="1:12" s="473" customFormat="1" ht="15" customHeight="1">
      <c r="A242" s="388"/>
      <c r="B242" s="403"/>
      <c r="C242" s="927" t="s">
        <v>788</v>
      </c>
      <c r="D242" s="928"/>
      <c r="E242" s="928"/>
      <c r="F242" s="929"/>
      <c r="G242" s="529">
        <f>G220-G161</f>
        <v>0</v>
      </c>
      <c r="H242" s="529">
        <f>H220-H161</f>
        <v>0</v>
      </c>
      <c r="I242" s="529">
        <f>I220-I161</f>
        <v>0</v>
      </c>
      <c r="J242" s="529">
        <f>J220-J161</f>
        <v>0</v>
      </c>
      <c r="K242" s="530">
        <f>K220-K161</f>
        <v>0</v>
      </c>
      <c r="L242" s="387"/>
    </row>
    <row r="243" spans="1:12" s="473" customFormat="1" ht="15" customHeight="1">
      <c r="A243" s="388"/>
      <c r="B243" s="403"/>
      <c r="C243" s="927" t="s">
        <v>789</v>
      </c>
      <c r="D243" s="928"/>
      <c r="E243" s="928"/>
      <c r="F243" s="929"/>
      <c r="G243" s="529" t="str">
        <f>IFERROR((G22/G242),"-")</f>
        <v>-</v>
      </c>
      <c r="H243" s="529" t="str">
        <f>IFERROR((H22/H242),"-")</f>
        <v>-</v>
      </c>
      <c r="I243" s="529" t="str">
        <f>IFERROR((I22/I242),"-")</f>
        <v>-</v>
      </c>
      <c r="J243" s="529" t="str">
        <f>IFERROR((J22/J242),"-")</f>
        <v>-</v>
      </c>
      <c r="K243" s="530" t="str">
        <f>IFERROR((K22/K242),"-")</f>
        <v>-</v>
      </c>
      <c r="L243" s="387"/>
    </row>
    <row r="244" spans="1:12" s="473" customFormat="1" ht="15" customHeight="1">
      <c r="A244" s="388"/>
      <c r="B244" s="403"/>
      <c r="C244" s="927" t="s">
        <v>790</v>
      </c>
      <c r="D244" s="928"/>
      <c r="E244" s="928"/>
      <c r="F244" s="929"/>
      <c r="G244" s="529" t="str">
        <f>IFERROR((G220-G219-G202)/G161,"-")</f>
        <v>-</v>
      </c>
      <c r="H244" s="529" t="str">
        <f>IFERROR((H220-H219-H202)/H161,"-")</f>
        <v>-</v>
      </c>
      <c r="I244" s="529" t="str">
        <f>IFERROR((I220-I219-I202)/I161,"-")</f>
        <v>-</v>
      </c>
      <c r="J244" s="529" t="str">
        <f>IFERROR((J220-J219-J202)/J161,"-")</f>
        <v>-</v>
      </c>
      <c r="K244" s="530" t="str">
        <f>IFERROR((K220-K219-K202)/K161,"-")</f>
        <v>-</v>
      </c>
      <c r="L244" s="387"/>
    </row>
    <row r="245" spans="1:12" ht="7.5" customHeight="1" thickBot="1">
      <c r="A245" s="388"/>
      <c r="B245" s="379"/>
      <c r="C245" s="933"/>
      <c r="D245" s="934"/>
      <c r="E245" s="934"/>
      <c r="F245" s="934"/>
      <c r="G245" s="934"/>
      <c r="H245" s="934"/>
      <c r="I245" s="934"/>
      <c r="J245" s="934"/>
      <c r="K245" s="935"/>
      <c r="L245" s="378"/>
    </row>
    <row r="246" spans="1:12" s="524" customFormat="1" ht="16.5">
      <c r="A246" s="371"/>
      <c r="B246" s="522"/>
      <c r="C246" s="936" t="s">
        <v>791</v>
      </c>
      <c r="D246" s="937"/>
      <c r="E246" s="937"/>
      <c r="F246" s="937"/>
      <c r="G246" s="937"/>
      <c r="H246" s="937"/>
      <c r="I246" s="937"/>
      <c r="J246" s="937"/>
      <c r="K246" s="938"/>
      <c r="L246" s="523"/>
    </row>
    <row r="247" spans="1:12" s="473" customFormat="1" ht="15" customHeight="1">
      <c r="A247" s="525"/>
      <c r="B247" s="403"/>
      <c r="C247" s="927" t="s">
        <v>792</v>
      </c>
      <c r="D247" s="928"/>
      <c r="E247" s="928"/>
      <c r="F247" s="929"/>
      <c r="G247" s="529" t="str">
        <f>IFERROR((G25/G202),"-")</f>
        <v>-</v>
      </c>
      <c r="H247" s="529" t="str">
        <f>IFERROR((H25/H202),"-")</f>
        <v>-</v>
      </c>
      <c r="I247" s="529" t="str">
        <f>IFERROR((I25/I202),"-")</f>
        <v>-</v>
      </c>
      <c r="J247" s="529" t="str">
        <f>IFERROR((J25/J202),"-")</f>
        <v>-</v>
      </c>
      <c r="K247" s="530" t="str">
        <f>IFERROR((K25/K202),"-")</f>
        <v>-</v>
      </c>
      <c r="L247" s="387"/>
    </row>
    <row r="248" spans="1:12" s="473" customFormat="1" ht="15" customHeight="1">
      <c r="A248" s="388"/>
      <c r="B248" s="403"/>
      <c r="C248" s="927" t="s">
        <v>793</v>
      </c>
      <c r="D248" s="928"/>
      <c r="E248" s="928"/>
      <c r="F248" s="929"/>
      <c r="G248" s="529" t="str">
        <f>IFERROR(365/G247,"-")</f>
        <v>-</v>
      </c>
      <c r="H248" s="529" t="str">
        <f>IFERROR(365/H247,"-")</f>
        <v>-</v>
      </c>
      <c r="I248" s="529" t="str">
        <f>IFERROR(365/I247,"-")</f>
        <v>-</v>
      </c>
      <c r="J248" s="529" t="str">
        <f>IFERROR(365/J247,"-")</f>
        <v>-</v>
      </c>
      <c r="K248" s="530" t="str">
        <f>IFERROR(365/K247,"-")</f>
        <v>-</v>
      </c>
      <c r="L248" s="387"/>
    </row>
    <row r="249" spans="1:12" s="473" customFormat="1" ht="15" customHeight="1">
      <c r="A249" s="388"/>
      <c r="B249" s="403"/>
      <c r="C249" s="927" t="s">
        <v>794</v>
      </c>
      <c r="D249" s="928"/>
      <c r="E249" s="928"/>
      <c r="F249" s="929"/>
      <c r="G249" s="529" t="str">
        <f>IFERROR(G22/G207,"-")</f>
        <v>-</v>
      </c>
      <c r="H249" s="529" t="str">
        <f>IFERROR(H22/H207,"-")</f>
        <v>-</v>
      </c>
      <c r="I249" s="529" t="str">
        <f>IFERROR(I22/I207,"-")</f>
        <v>-</v>
      </c>
      <c r="J249" s="529" t="str">
        <f>IFERROR(J22/J207,"-")</f>
        <v>-</v>
      </c>
      <c r="K249" s="530" t="str">
        <f>IFERROR(K22/K207,"-")</f>
        <v>-</v>
      </c>
      <c r="L249" s="387"/>
    </row>
    <row r="250" spans="1:12" s="473" customFormat="1" ht="15" customHeight="1">
      <c r="A250" s="388"/>
      <c r="B250" s="403"/>
      <c r="C250" s="927" t="s">
        <v>795</v>
      </c>
      <c r="D250" s="928"/>
      <c r="E250" s="928"/>
      <c r="F250" s="929"/>
      <c r="G250" s="529" t="str">
        <f>IFERROR(365/G249,"-")</f>
        <v>-</v>
      </c>
      <c r="H250" s="529" t="str">
        <f>IFERROR(365/H249,"-")</f>
        <v>-</v>
      </c>
      <c r="I250" s="529" t="str">
        <f>IFERROR(365/I249,"-")</f>
        <v>-</v>
      </c>
      <c r="J250" s="529" t="str">
        <f>IFERROR(365/J249,"-")</f>
        <v>-</v>
      </c>
      <c r="K250" s="530" t="str">
        <f>IFERROR(365/K249,"-")</f>
        <v>-</v>
      </c>
      <c r="L250" s="387"/>
    </row>
    <row r="251" spans="1:12" s="473" customFormat="1" ht="15" customHeight="1">
      <c r="A251" s="388"/>
      <c r="B251" s="403"/>
      <c r="C251" s="927" t="s">
        <v>796</v>
      </c>
      <c r="D251" s="928"/>
      <c r="E251" s="928"/>
      <c r="F251" s="929"/>
      <c r="G251" s="529" t="str">
        <f>IFERROR((G25+G37)/G151,"-")</f>
        <v>-</v>
      </c>
      <c r="H251" s="529" t="str">
        <f>IFERROR((H25+H37)/H151,"-")</f>
        <v>-</v>
      </c>
      <c r="I251" s="529" t="str">
        <f>IFERROR((I25+I37)/I151,"-")</f>
        <v>-</v>
      </c>
      <c r="J251" s="529" t="str">
        <f>IFERROR((J25+J37)/J151,"-")</f>
        <v>-</v>
      </c>
      <c r="K251" s="530" t="str">
        <f>IFERROR((K25+K37)/K151,"-")</f>
        <v>-</v>
      </c>
      <c r="L251" s="387"/>
    </row>
    <row r="252" spans="1:12" s="473" customFormat="1" ht="15" customHeight="1">
      <c r="A252" s="388"/>
      <c r="B252" s="403"/>
      <c r="C252" s="927" t="s">
        <v>797</v>
      </c>
      <c r="D252" s="928"/>
      <c r="E252" s="928"/>
      <c r="F252" s="929"/>
      <c r="G252" s="529" t="str">
        <f>IFERROR(365/G251,"-")</f>
        <v>-</v>
      </c>
      <c r="H252" s="529" t="str">
        <f>IFERROR(365/H251,"-")</f>
        <v>-</v>
      </c>
      <c r="I252" s="529" t="str">
        <f>IFERROR(365/I251,"-")</f>
        <v>-</v>
      </c>
      <c r="J252" s="529" t="str">
        <f>IFERROR(365/J251,"-")</f>
        <v>-</v>
      </c>
      <c r="K252" s="530" t="str">
        <f>IFERROR(365/K251,"-")</f>
        <v>-</v>
      </c>
      <c r="L252" s="387"/>
    </row>
    <row r="253" spans="1:12" s="473" customFormat="1" ht="15" customHeight="1">
      <c r="A253" s="388"/>
      <c r="B253" s="403"/>
      <c r="C253" s="927" t="s">
        <v>798</v>
      </c>
      <c r="D253" s="928"/>
      <c r="E253" s="928"/>
      <c r="F253" s="929"/>
      <c r="G253" s="529" t="str">
        <f>IFERROR(G248+G250-G252,"-")</f>
        <v>-</v>
      </c>
      <c r="H253" s="529" t="str">
        <f>IFERROR(H248+H250-H252,"-")</f>
        <v>-</v>
      </c>
      <c r="I253" s="529" t="str">
        <f>IFERROR(I248+I250-I252,"-")</f>
        <v>-</v>
      </c>
      <c r="J253" s="529" t="str">
        <f>IFERROR(J248+J250-J252,"-")</f>
        <v>-</v>
      </c>
      <c r="K253" s="530" t="str">
        <f>IFERROR(K248+K250-K252,"-")</f>
        <v>-</v>
      </c>
      <c r="L253" s="387"/>
    </row>
    <row r="254" spans="1:12" s="473" customFormat="1" ht="15" customHeight="1">
      <c r="A254" s="388"/>
      <c r="B254" s="403"/>
      <c r="C254" s="927" t="s">
        <v>799</v>
      </c>
      <c r="D254" s="928"/>
      <c r="E254" s="928"/>
      <c r="F254" s="929"/>
      <c r="G254" s="529" t="str">
        <f>IFERROR(G22/(G167-G171),"-")</f>
        <v>-</v>
      </c>
      <c r="H254" s="529" t="str">
        <f>IFERROR(H22/(H167-H171),"-")</f>
        <v>-</v>
      </c>
      <c r="I254" s="529" t="str">
        <f>IFERROR(I22/(I167-I171),"-")</f>
        <v>-</v>
      </c>
      <c r="J254" s="529" t="str">
        <f>IFERROR(J22/(J167-J171),"-")</f>
        <v>-</v>
      </c>
      <c r="K254" s="530" t="str">
        <f>IFERROR(K22/(K167-K171),"-")</f>
        <v>-</v>
      </c>
      <c r="L254" s="387"/>
    </row>
    <row r="255" spans="1:12" s="473" customFormat="1" ht="15" customHeight="1">
      <c r="A255" s="388"/>
      <c r="B255" s="403"/>
      <c r="C255" s="927" t="s">
        <v>800</v>
      </c>
      <c r="D255" s="928"/>
      <c r="E255" s="928"/>
      <c r="F255" s="929"/>
      <c r="G255" s="529" t="str">
        <f>IFERROR(G22/G221,"-")</f>
        <v>-</v>
      </c>
      <c r="H255" s="529" t="str">
        <f>IFERROR(H22/H221,"-")</f>
        <v>-</v>
      </c>
      <c r="I255" s="529" t="str">
        <f>IFERROR(I22/I221,"-")</f>
        <v>-</v>
      </c>
      <c r="J255" s="529" t="str">
        <f>IFERROR(J22/J221,"-")</f>
        <v>-</v>
      </c>
      <c r="K255" s="530" t="str">
        <f>IFERROR(K22/K221,"-")</f>
        <v>-</v>
      </c>
      <c r="L255" s="387"/>
    </row>
    <row r="256" spans="1:12" s="473" customFormat="1" ht="7.5" customHeight="1" thickBot="1">
      <c r="A256" s="388"/>
      <c r="B256" s="403"/>
      <c r="C256" s="933"/>
      <c r="D256" s="934"/>
      <c r="E256" s="934"/>
      <c r="F256" s="934"/>
      <c r="G256" s="934"/>
      <c r="H256" s="934"/>
      <c r="I256" s="934"/>
      <c r="J256" s="934"/>
      <c r="K256" s="935"/>
      <c r="L256" s="387"/>
    </row>
    <row r="257" spans="1:12" s="524" customFormat="1" ht="16.5">
      <c r="A257" s="388"/>
      <c r="B257" s="522"/>
      <c r="C257" s="936" t="s">
        <v>801</v>
      </c>
      <c r="D257" s="937"/>
      <c r="E257" s="937"/>
      <c r="F257" s="937"/>
      <c r="G257" s="937"/>
      <c r="H257" s="937"/>
      <c r="I257" s="937"/>
      <c r="J257" s="937"/>
      <c r="K257" s="938"/>
      <c r="L257" s="523"/>
    </row>
    <row r="258" spans="1:12" s="388" customFormat="1" ht="15" customHeight="1">
      <c r="A258" s="525"/>
      <c r="B258" s="403"/>
      <c r="C258" s="927" t="s">
        <v>802</v>
      </c>
      <c r="D258" s="928"/>
      <c r="E258" s="928"/>
      <c r="F258" s="929"/>
      <c r="G258" s="529" t="str">
        <f>IFERROR(G54/G66,"-")</f>
        <v>-</v>
      </c>
      <c r="H258" s="529" t="str">
        <f>IFERROR(H64/H66,"-")</f>
        <v>-</v>
      </c>
      <c r="I258" s="529" t="str">
        <f>IFERROR(I64/I66,"-")</f>
        <v>-</v>
      </c>
      <c r="J258" s="529" t="str">
        <f>IFERROR(J54/J66,"-")</f>
        <v>-</v>
      </c>
      <c r="K258" s="530" t="str">
        <f>IFERROR(K54/K66,"-")</f>
        <v>-</v>
      </c>
      <c r="L258" s="387"/>
    </row>
    <row r="259" spans="1:12" s="388" customFormat="1" ht="27.75" customHeight="1">
      <c r="B259" s="403"/>
      <c r="C259" s="927" t="s">
        <v>803</v>
      </c>
      <c r="D259" s="928"/>
      <c r="E259" s="928"/>
      <c r="F259" s="929"/>
      <c r="G259" s="531" t="str">
        <f>IF(G143+G151=0,"No Short Term Obligation", G54/(G143+G151))</f>
        <v>No Short Term Obligation</v>
      </c>
      <c r="H259" s="531" t="str">
        <f>IF(H143+H151=0,"No Short Term Obligation", H54/(H143+H151))</f>
        <v>No Short Term Obligation</v>
      </c>
      <c r="I259" s="531" t="str">
        <f>IF(I143+I151=0,"No Short Term Obligation", I54/(I143+I151))</f>
        <v>No Short Term Obligation</v>
      </c>
      <c r="J259" s="531" t="str">
        <f>IF(J143+J151=0,"No Short Term Obligation", J54/(J143+J151))</f>
        <v>No Short Term Obligation</v>
      </c>
      <c r="K259" s="532" t="str">
        <f>IF(K143+K151=0,"No Short Term Obligation", K54/(K143+K151))</f>
        <v>No Short Term Obligation</v>
      </c>
      <c r="L259" s="387"/>
    </row>
    <row r="260" spans="1:12" s="388" customFormat="1" ht="15" customHeight="1">
      <c r="B260" s="403"/>
      <c r="C260" s="927" t="s">
        <v>804</v>
      </c>
      <c r="D260" s="928"/>
      <c r="E260" s="928"/>
      <c r="F260" s="929"/>
      <c r="G260" s="529" t="str">
        <f>IFERROR((G140+G161+#REF!)/G118,"-")</f>
        <v>-</v>
      </c>
      <c r="H260" s="529" t="str">
        <f>IFERROR((H140+H161+#REF!)/H118,"-")</f>
        <v>-</v>
      </c>
      <c r="I260" s="529" t="str">
        <f>IFERROR((I140+I161+#REF!)/I118,"-")</f>
        <v>-</v>
      </c>
      <c r="J260" s="529" t="str">
        <f>IFERROR((J140+J161+#REF!)/J118,"-")</f>
        <v>-</v>
      </c>
      <c r="K260" s="530" t="str">
        <f>IFERROR((K140+K161+#REF!)/K118,"-")</f>
        <v>-</v>
      </c>
      <c r="L260" s="387"/>
    </row>
    <row r="261" spans="1:12" s="388" customFormat="1" ht="40.5" customHeight="1">
      <c r="B261" s="403"/>
      <c r="C261" s="927" t="s">
        <v>805</v>
      </c>
      <c r="D261" s="928"/>
      <c r="E261" s="928"/>
      <c r="F261" s="929"/>
      <c r="G261" s="529" t="str">
        <f>IFERROR((G124+SUM(G143,G151))/(G91+G56),"-")</f>
        <v>-</v>
      </c>
      <c r="H261" s="529" t="str">
        <f>IFERROR((H124+SUM(H143,H151))/(H91+H56),"-")</f>
        <v>-</v>
      </c>
      <c r="I261" s="529" t="str">
        <f>IFERROR((I124+SUM(I143,I151))/(I91+I56),"-")</f>
        <v>-</v>
      </c>
      <c r="J261" s="529" t="str">
        <f>IFERROR((J124+SUM(J143,J151))/(J91+J56),"-")</f>
        <v>-</v>
      </c>
      <c r="K261" s="530" t="str">
        <f>IFERROR((K124+SUM(K143,K151))/(K91+K56),"-")</f>
        <v>-</v>
      </c>
      <c r="L261" s="387"/>
    </row>
    <row r="262" spans="1:12" s="388" customFormat="1" ht="15" customHeight="1">
      <c r="B262" s="403"/>
      <c r="C262" s="927" t="s">
        <v>806</v>
      </c>
      <c r="D262" s="928"/>
      <c r="E262" s="928"/>
      <c r="F262" s="929"/>
      <c r="G262" s="529" t="str">
        <f>IFERROR((SUM(G143,G151,G124))/G118,"-")</f>
        <v>-</v>
      </c>
      <c r="H262" s="529" t="str">
        <f>IFERROR((SUM(H143,H151,H124))/H118,"-")</f>
        <v>-</v>
      </c>
      <c r="I262" s="529" t="str">
        <f>IFERROR((SUM(I143,I151,I124))/I118,"-")</f>
        <v>-</v>
      </c>
      <c r="J262" s="529" t="str">
        <f>IFERROR((SUM(J143,J151,J124))/J118,"-")</f>
        <v>-</v>
      </c>
      <c r="K262" s="530" t="str">
        <f>IFERROR((SUM(K143,K151,K124))/K118,"-")</f>
        <v>-</v>
      </c>
      <c r="L262" s="387"/>
    </row>
    <row r="263" spans="1:12" s="388" customFormat="1" ht="15" customHeight="1" thickBot="1">
      <c r="B263" s="403"/>
      <c r="C263" s="930" t="s">
        <v>807</v>
      </c>
      <c r="D263" s="931"/>
      <c r="E263" s="931"/>
      <c r="F263" s="932"/>
      <c r="G263" s="533" t="str">
        <f>IF((G124+G143+G151)=0,"No Debt", ((G221-(G172+G173)-G190)-(G161-(G143+G151)))/(G124+G143+G151))</f>
        <v>No Debt</v>
      </c>
      <c r="H263" s="533" t="str">
        <f>IF((H124+H143+H151)=0,"No Debt", ((H221-(H172+H173)-H190)-(H161-(H143+H151)))/(H124+H143+H151))</f>
        <v>No Debt</v>
      </c>
      <c r="I263" s="533" t="str">
        <f>IF((I124+I143+I151)=0,"No Debt", ((I221-(I172+I173)-I190)-(I161-(I143+I151)))/(I124+I143+I151))</f>
        <v>No Debt</v>
      </c>
      <c r="J263" s="533" t="str">
        <f>IF((J124+J143+J151)=0,"No Debt", ((J221-(J172+J173)-J190)-(J161-(J143+J151)))/(J124+J143+J151))</f>
        <v>No Debt</v>
      </c>
      <c r="K263" s="534" t="str">
        <f>IF((K124+K143+K151)=0,"No Debt", ((K221-(K172+K173)-K190)-(K161-(K143+K151)))/(K124+K143+K151))</f>
        <v>No Debt</v>
      </c>
      <c r="L263" s="387"/>
    </row>
    <row r="264" spans="1:12" ht="12.75" customHeight="1" thickBot="1">
      <c r="A264" s="388"/>
      <c r="B264" s="459"/>
      <c r="C264" s="460"/>
      <c r="D264" s="460"/>
      <c r="E264" s="460"/>
      <c r="F264" s="535"/>
      <c r="G264" s="460"/>
      <c r="H264" s="460"/>
      <c r="I264" s="460"/>
      <c r="J264" s="460"/>
      <c r="K264" s="460"/>
      <c r="L264" s="536"/>
    </row>
  </sheetData>
  <sheetProtection algorithmName="SHA-512" hashValue="ccRoR0TJ0Icx2CWcZXRMLZR3OOTrztLaO6BExmiOqcE5euc02wDXflUigu4cmhLKu70C+vpQeMQCPgRWOiN5vw==" saltValue="ioPxRFkeOjl6exA2T2vmfQ==" spinCount="100000" sheet="1" objects="1" scenarios="1" formatCells="0" formatColumns="0" formatRows="0"/>
  <mergeCells count="252">
    <mergeCell ref="C261:F261"/>
    <mergeCell ref="C262:F262"/>
    <mergeCell ref="C263:F263"/>
    <mergeCell ref="C255:F255"/>
    <mergeCell ref="C256:K256"/>
    <mergeCell ref="C257:K257"/>
    <mergeCell ref="C258:F258"/>
    <mergeCell ref="C259:F259"/>
    <mergeCell ref="C260:F260"/>
    <mergeCell ref="C249:F249"/>
    <mergeCell ref="C250:F250"/>
    <mergeCell ref="C251:F251"/>
    <mergeCell ref="C252:F252"/>
    <mergeCell ref="C253:F253"/>
    <mergeCell ref="C254:F254"/>
    <mergeCell ref="C243:F243"/>
    <mergeCell ref="C244:F244"/>
    <mergeCell ref="C245:K245"/>
    <mergeCell ref="C246:K246"/>
    <mergeCell ref="C247:F247"/>
    <mergeCell ref="C248:F248"/>
    <mergeCell ref="C237:F237"/>
    <mergeCell ref="C238:F238"/>
    <mergeCell ref="C239:K239"/>
    <mergeCell ref="C240:K240"/>
    <mergeCell ref="C241:F241"/>
    <mergeCell ref="C242:F242"/>
    <mergeCell ref="C231:K231"/>
    <mergeCell ref="C232:K232"/>
    <mergeCell ref="C233:F233"/>
    <mergeCell ref="C234:F234"/>
    <mergeCell ref="C235:F235"/>
    <mergeCell ref="C236:F236"/>
    <mergeCell ref="C225:K225"/>
    <mergeCell ref="C226:F226"/>
    <mergeCell ref="C227:K227"/>
    <mergeCell ref="C228:F228"/>
    <mergeCell ref="C229:F229"/>
    <mergeCell ref="C230:F230"/>
    <mergeCell ref="E214:F214"/>
    <mergeCell ref="E218:F218"/>
    <mergeCell ref="D219:F219"/>
    <mergeCell ref="C220:F220"/>
    <mergeCell ref="C221:F221"/>
    <mergeCell ref="C223:F223"/>
    <mergeCell ref="C192:F192"/>
    <mergeCell ref="C193:K193"/>
    <mergeCell ref="C194:F194"/>
    <mergeCell ref="C195:C219"/>
    <mergeCell ref="D195:F195"/>
    <mergeCell ref="E196:F196"/>
    <mergeCell ref="E199:F199"/>
    <mergeCell ref="E200:F200"/>
    <mergeCell ref="E201:F201"/>
    <mergeCell ref="E208:F208"/>
    <mergeCell ref="E209:F209"/>
    <mergeCell ref="E210:F210"/>
    <mergeCell ref="E211:F211"/>
    <mergeCell ref="D212:F212"/>
    <mergeCell ref="D213:F213"/>
    <mergeCell ref="D202:F202"/>
    <mergeCell ref="E203:F203"/>
    <mergeCell ref="E204:F204"/>
    <mergeCell ref="E205:F205"/>
    <mergeCell ref="E206:F206"/>
    <mergeCell ref="D207:F207"/>
    <mergeCell ref="C164:K164"/>
    <mergeCell ref="C165:F165"/>
    <mergeCell ref="C166:C191"/>
    <mergeCell ref="D166:F166"/>
    <mergeCell ref="E167:F167"/>
    <mergeCell ref="E171:F171"/>
    <mergeCell ref="E172:F172"/>
    <mergeCell ref="E173:F173"/>
    <mergeCell ref="E174:F174"/>
    <mergeCell ref="E175:F175"/>
    <mergeCell ref="E182:F182"/>
    <mergeCell ref="E186:F186"/>
    <mergeCell ref="D187:F187"/>
    <mergeCell ref="D188:F188"/>
    <mergeCell ref="E189:F189"/>
    <mergeCell ref="E190:F190"/>
    <mergeCell ref="D176:F176"/>
    <mergeCell ref="E177:F177"/>
    <mergeCell ref="E178:F178"/>
    <mergeCell ref="E179:F179"/>
    <mergeCell ref="E180:F180"/>
    <mergeCell ref="D181:F181"/>
    <mergeCell ref="E191:F191"/>
    <mergeCell ref="E158:F158"/>
    <mergeCell ref="E159:F159"/>
    <mergeCell ref="E160:F160"/>
    <mergeCell ref="C161:F161"/>
    <mergeCell ref="C162:F162"/>
    <mergeCell ref="C163:K163"/>
    <mergeCell ref="E152:F152"/>
    <mergeCell ref="E153:F153"/>
    <mergeCell ref="E154:F154"/>
    <mergeCell ref="E155:F155"/>
    <mergeCell ref="D156:F156"/>
    <mergeCell ref="D157:F157"/>
    <mergeCell ref="C143:C160"/>
    <mergeCell ref="D143:F143"/>
    <mergeCell ref="E144:F144"/>
    <mergeCell ref="E145:F145"/>
    <mergeCell ref="E146:F146"/>
    <mergeCell ref="E147:F147"/>
    <mergeCell ref="E148:F148"/>
    <mergeCell ref="E149:F149"/>
    <mergeCell ref="E150:F150"/>
    <mergeCell ref="D151:F151"/>
    <mergeCell ref="E137:F137"/>
    <mergeCell ref="E138:F138"/>
    <mergeCell ref="D139:F139"/>
    <mergeCell ref="C140:F140"/>
    <mergeCell ref="C141:K141"/>
    <mergeCell ref="C142:F142"/>
    <mergeCell ref="E131:F131"/>
    <mergeCell ref="D132:F132"/>
    <mergeCell ref="D133:F133"/>
    <mergeCell ref="E134:F134"/>
    <mergeCell ref="E135:F135"/>
    <mergeCell ref="D136:F136"/>
    <mergeCell ref="E125:F125"/>
    <mergeCell ref="E126:F126"/>
    <mergeCell ref="E127:F127"/>
    <mergeCell ref="E128:F128"/>
    <mergeCell ref="E129:F129"/>
    <mergeCell ref="E130:F130"/>
    <mergeCell ref="C119:K119"/>
    <mergeCell ref="C120:F120"/>
    <mergeCell ref="C121:K121"/>
    <mergeCell ref="C122:F122"/>
    <mergeCell ref="C123:F123"/>
    <mergeCell ref="D124:F124"/>
    <mergeCell ref="E113:F113"/>
    <mergeCell ref="E114:F114"/>
    <mergeCell ref="E115:F115"/>
    <mergeCell ref="E116:F116"/>
    <mergeCell ref="E117:F117"/>
    <mergeCell ref="C118:F118"/>
    <mergeCell ref="C104:K104"/>
    <mergeCell ref="C105:F105"/>
    <mergeCell ref="D106:F106"/>
    <mergeCell ref="C107:C117"/>
    <mergeCell ref="E107:F107"/>
    <mergeCell ref="E108:F108"/>
    <mergeCell ref="E109:F109"/>
    <mergeCell ref="E110:F110"/>
    <mergeCell ref="E111:F111"/>
    <mergeCell ref="D112:F112"/>
    <mergeCell ref="E97:F97"/>
    <mergeCell ref="C98:F98"/>
    <mergeCell ref="C99:F99"/>
    <mergeCell ref="C101:K101"/>
    <mergeCell ref="C102:F102"/>
    <mergeCell ref="C103:K103"/>
    <mergeCell ref="C91:F91"/>
    <mergeCell ref="C92:K92"/>
    <mergeCell ref="D93:F93"/>
    <mergeCell ref="C94:F94"/>
    <mergeCell ref="D95:F95"/>
    <mergeCell ref="E96:F96"/>
    <mergeCell ref="C86:C88"/>
    <mergeCell ref="E86:F86"/>
    <mergeCell ref="E87:F87"/>
    <mergeCell ref="D88:F88"/>
    <mergeCell ref="C89:C90"/>
    <mergeCell ref="D89:F89"/>
    <mergeCell ref="D90:F90"/>
    <mergeCell ref="C80:F80"/>
    <mergeCell ref="C81:K81"/>
    <mergeCell ref="D82:F82"/>
    <mergeCell ref="C83:F83"/>
    <mergeCell ref="C84:K84"/>
    <mergeCell ref="D85:F85"/>
    <mergeCell ref="C64:F64"/>
    <mergeCell ref="C65:K65"/>
    <mergeCell ref="C66:C79"/>
    <mergeCell ref="D66:F66"/>
    <mergeCell ref="D67:D70"/>
    <mergeCell ref="E67:F67"/>
    <mergeCell ref="E68:F68"/>
    <mergeCell ref="E69:F69"/>
    <mergeCell ref="E70:F70"/>
    <mergeCell ref="E71:F71"/>
    <mergeCell ref="D72:F72"/>
    <mergeCell ref="D73:D79"/>
    <mergeCell ref="E73:F73"/>
    <mergeCell ref="E74:F74"/>
    <mergeCell ref="E75:F75"/>
    <mergeCell ref="E76:F76"/>
    <mergeCell ref="E77:F77"/>
    <mergeCell ref="E78:F78"/>
    <mergeCell ref="E79:F79"/>
    <mergeCell ref="C56:C63"/>
    <mergeCell ref="D56:F56"/>
    <mergeCell ref="D57:F57"/>
    <mergeCell ref="E58:F58"/>
    <mergeCell ref="E59:F59"/>
    <mergeCell ref="D60:F60"/>
    <mergeCell ref="E61:F61"/>
    <mergeCell ref="E62:F62"/>
    <mergeCell ref="D63:F63"/>
    <mergeCell ref="E50:F50"/>
    <mergeCell ref="D51:F51"/>
    <mergeCell ref="E52:F52"/>
    <mergeCell ref="E53:F53"/>
    <mergeCell ref="C54:F54"/>
    <mergeCell ref="C55:K55"/>
    <mergeCell ref="E41:F41"/>
    <mergeCell ref="C42:F42"/>
    <mergeCell ref="C43:K43"/>
    <mergeCell ref="D44:F44"/>
    <mergeCell ref="C45:C53"/>
    <mergeCell ref="E45:F45"/>
    <mergeCell ref="E46:F46"/>
    <mergeCell ref="E47:F47"/>
    <mergeCell ref="D48:F48"/>
    <mergeCell ref="E49:F49"/>
    <mergeCell ref="D37:F37"/>
    <mergeCell ref="E38:F38"/>
    <mergeCell ref="E39:F39"/>
    <mergeCell ref="E40:F40"/>
    <mergeCell ref="D21:F21"/>
    <mergeCell ref="C22:F22"/>
    <mergeCell ref="C23:K23"/>
    <mergeCell ref="C24:F24"/>
    <mergeCell ref="D25:F25"/>
    <mergeCell ref="C26:C41"/>
    <mergeCell ref="E26:F26"/>
    <mergeCell ref="D27:D29"/>
    <mergeCell ref="E30:F30"/>
    <mergeCell ref="D31:D32"/>
    <mergeCell ref="C11:C21"/>
    <mergeCell ref="E11:F11"/>
    <mergeCell ref="D12:D14"/>
    <mergeCell ref="E15:F15"/>
    <mergeCell ref="D16:D18"/>
    <mergeCell ref="E19:F19"/>
    <mergeCell ref="D20:F20"/>
    <mergeCell ref="E33:F33"/>
    <mergeCell ref="D34:D36"/>
    <mergeCell ref="B2:L2"/>
    <mergeCell ref="C3:E3"/>
    <mergeCell ref="C4:K4"/>
    <mergeCell ref="C5:F5"/>
    <mergeCell ref="C6:F6"/>
    <mergeCell ref="C7:F7"/>
    <mergeCell ref="C8:F8"/>
    <mergeCell ref="C9:F9"/>
    <mergeCell ref="D10:F10"/>
  </mergeCells>
  <conditionalFormatting sqref="G10:K21 G25:K41 G44:K53 G56:K63 G66:K79 G82:K82 G85:K90 G93:K93 G95:K99 G106:K117 G124:K139 G143:K160 G166:K191 G195:K219 G223:K223 G228:K230 G233:K238 G241:K244 G247:K255 G258:K263">
    <cfRule type="expression" dxfId="369" priority="14">
      <formula>G$6=""</formula>
    </cfRule>
  </conditionalFormatting>
  <dataValidations count="3">
    <dataValidation type="list" allowBlank="1" showInputMessage="1" showErrorMessage="1" sqref="J3:K3" xr:uid="{F61C011D-BE2F-4F1E-B4DD-6453156DE062}">
      <formula1>"Actuals, Thousands, Lakhs, Millions, Crores"</formula1>
    </dataValidation>
    <dataValidation type="list" allowBlank="1" showInputMessage="1" showErrorMessage="1" sqref="G6:K6" xr:uid="{2B425C39-C5D1-41FB-B0AD-2ED6653AE203}">
      <formula1>"Audited,Unaudited,Provisional,Projection"</formula1>
    </dataValidation>
    <dataValidation type="list" allowBlank="1" showInputMessage="1" showErrorMessage="1" sqref="G8:K8" xr:uid="{BC6B3836-8AF9-4D1E-90E1-3F5390D0EAC8}">
      <formula1>"Auditor's opinion,Material Qualification,Unqualified,No opinion / Unknown"</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C00000"/>
  </sheetPr>
  <dimension ref="A1:K77"/>
  <sheetViews>
    <sheetView workbookViewId="0">
      <selection activeCell="B15" sqref="B15"/>
    </sheetView>
  </sheetViews>
  <sheetFormatPr defaultColWidth="0" defaultRowHeight="14.25" zeroHeight="1"/>
  <cols>
    <col min="1" max="1" width="6.5" style="51" customWidth="1"/>
    <col min="2" max="2" width="105.125" style="51" customWidth="1"/>
    <col min="3" max="16384" width="0" style="50" hidden="1"/>
  </cols>
  <sheetData>
    <row r="1" spans="1:11" ht="15">
      <c r="A1" s="1157" t="s">
        <v>161</v>
      </c>
      <c r="B1" s="1157"/>
      <c r="C1" s="216"/>
      <c r="D1" s="216"/>
      <c r="E1" s="216"/>
      <c r="F1" s="216"/>
      <c r="G1" s="216"/>
      <c r="H1" s="216"/>
      <c r="I1" s="216"/>
      <c r="J1" s="216"/>
      <c r="K1" s="216"/>
    </row>
    <row r="2" spans="1:11" ht="15">
      <c r="A2" s="217"/>
      <c r="B2" s="52"/>
      <c r="C2" s="216"/>
      <c r="D2" s="216"/>
      <c r="E2" s="216"/>
      <c r="F2" s="216"/>
      <c r="G2" s="216"/>
      <c r="H2" s="216"/>
      <c r="I2" s="216"/>
      <c r="J2" s="216"/>
      <c r="K2" s="216"/>
    </row>
    <row r="3" spans="1:11" ht="15">
      <c r="A3" s="217"/>
      <c r="B3" s="53" t="s">
        <v>377</v>
      </c>
      <c r="C3" s="216"/>
      <c r="D3" s="216"/>
      <c r="E3" s="216"/>
      <c r="F3" s="216"/>
      <c r="G3" s="216"/>
      <c r="H3" s="216"/>
      <c r="I3" s="216"/>
      <c r="J3" s="216"/>
      <c r="K3" s="216"/>
    </row>
    <row r="4" spans="1:11">
      <c r="A4" s="217">
        <v>1</v>
      </c>
      <c r="B4" s="54" t="s">
        <v>209</v>
      </c>
      <c r="C4" s="216"/>
      <c r="D4" s="216"/>
      <c r="E4" s="216"/>
      <c r="F4" s="216"/>
      <c r="G4" s="216"/>
      <c r="H4" s="216"/>
      <c r="I4" s="216"/>
      <c r="J4" s="216"/>
      <c r="K4" s="216"/>
    </row>
    <row r="5" spans="1:11" ht="28.5">
      <c r="A5" s="217">
        <v>2</v>
      </c>
      <c r="B5" s="55" t="s">
        <v>378</v>
      </c>
      <c r="C5" s="216"/>
      <c r="D5" s="216"/>
      <c r="E5" s="216"/>
      <c r="F5" s="216"/>
      <c r="G5" s="216"/>
      <c r="H5" s="216"/>
      <c r="I5" s="216"/>
      <c r="J5" s="216"/>
      <c r="K5" s="216"/>
    </row>
    <row r="6" spans="1:11" ht="28.5">
      <c r="A6" s="217">
        <v>3</v>
      </c>
      <c r="B6" s="55" t="s">
        <v>379</v>
      </c>
      <c r="C6" s="216"/>
      <c r="D6" s="216"/>
      <c r="E6" s="216"/>
      <c r="F6" s="216"/>
      <c r="G6" s="216"/>
      <c r="H6" s="216"/>
      <c r="I6" s="216"/>
      <c r="J6" s="216"/>
      <c r="K6" s="216"/>
    </row>
    <row r="7" spans="1:11" ht="28.5">
      <c r="A7" s="217">
        <v>4</v>
      </c>
      <c r="B7" s="55" t="s">
        <v>409</v>
      </c>
      <c r="C7" s="216"/>
      <c r="D7" s="216"/>
      <c r="E7" s="216"/>
      <c r="F7" s="216"/>
      <c r="G7" s="216"/>
      <c r="H7" s="216"/>
      <c r="I7" s="216"/>
      <c r="J7" s="216"/>
      <c r="K7" s="216"/>
    </row>
    <row r="8" spans="1:11">
      <c r="A8" s="217">
        <v>5</v>
      </c>
      <c r="B8" s="55" t="s">
        <v>410</v>
      </c>
      <c r="C8" s="216"/>
      <c r="D8" s="216"/>
      <c r="E8" s="216"/>
      <c r="F8" s="216"/>
      <c r="G8" s="216"/>
      <c r="H8" s="216"/>
      <c r="I8" s="216"/>
      <c r="J8" s="216"/>
      <c r="K8" s="216"/>
    </row>
    <row r="9" spans="1:11">
      <c r="A9" s="217"/>
      <c r="B9" s="55"/>
      <c r="C9" s="216"/>
      <c r="D9" s="216"/>
      <c r="E9" s="216"/>
      <c r="F9" s="216"/>
      <c r="G9" s="216"/>
      <c r="H9" s="216"/>
      <c r="I9" s="216"/>
      <c r="J9" s="216"/>
      <c r="K9" s="216"/>
    </row>
    <row r="10" spans="1:11" ht="15">
      <c r="A10" s="1157" t="s">
        <v>411</v>
      </c>
      <c r="B10" s="1157"/>
      <c r="C10" s="216"/>
      <c r="D10" s="216"/>
      <c r="E10" s="216"/>
      <c r="F10" s="216"/>
      <c r="G10" s="216"/>
      <c r="H10" s="216"/>
      <c r="I10" s="216"/>
      <c r="J10" s="216"/>
      <c r="K10" s="216"/>
    </row>
    <row r="11" spans="1:11" ht="28.5">
      <c r="A11" s="217">
        <v>1</v>
      </c>
      <c r="B11" s="55" t="s">
        <v>380</v>
      </c>
      <c r="C11" s="216"/>
      <c r="D11" s="216"/>
      <c r="E11" s="216"/>
      <c r="F11" s="216"/>
      <c r="G11" s="216"/>
      <c r="H11" s="216"/>
      <c r="I11" s="216"/>
      <c r="J11" s="216"/>
      <c r="K11" s="216"/>
    </row>
    <row r="12" spans="1:11" ht="15" customHeight="1">
      <c r="A12" s="1157" t="s">
        <v>494</v>
      </c>
      <c r="B12" s="1157"/>
      <c r="C12" s="216"/>
      <c r="D12" s="216"/>
      <c r="E12" s="216"/>
      <c r="F12" s="216"/>
      <c r="G12" s="216"/>
      <c r="H12" s="216"/>
      <c r="I12" s="216"/>
      <c r="J12" s="216"/>
      <c r="K12" s="216"/>
    </row>
    <row r="13" spans="1:11">
      <c r="A13" s="217">
        <v>1</v>
      </c>
      <c r="B13" s="55" t="s">
        <v>210</v>
      </c>
      <c r="C13" s="216"/>
      <c r="D13" s="216"/>
      <c r="E13" s="216"/>
      <c r="F13" s="216"/>
      <c r="G13" s="216"/>
      <c r="H13" s="216"/>
      <c r="I13" s="216"/>
      <c r="J13" s="216"/>
      <c r="K13" s="216"/>
    </row>
    <row r="14" spans="1:11" ht="42.75">
      <c r="A14" s="217">
        <v>2</v>
      </c>
      <c r="B14" s="55" t="s">
        <v>381</v>
      </c>
      <c r="C14" s="216"/>
      <c r="D14" s="216"/>
      <c r="E14" s="216"/>
      <c r="F14" s="216"/>
      <c r="G14" s="216"/>
      <c r="H14" s="216"/>
      <c r="I14" s="216"/>
      <c r="J14" s="216"/>
      <c r="K14" s="216"/>
    </row>
    <row r="15" spans="1:11" ht="42.75">
      <c r="A15" s="217">
        <v>3</v>
      </c>
      <c r="B15" s="55" t="s">
        <v>495</v>
      </c>
      <c r="C15" s="216"/>
      <c r="D15" s="216"/>
      <c r="E15" s="216"/>
      <c r="F15" s="216"/>
      <c r="G15" s="216"/>
      <c r="H15" s="216"/>
      <c r="I15" s="216"/>
      <c r="J15" s="216"/>
      <c r="K15" s="216"/>
    </row>
    <row r="16" spans="1:11" ht="42.75">
      <c r="A16" s="217">
        <v>4</v>
      </c>
      <c r="B16" s="55" t="s">
        <v>496</v>
      </c>
      <c r="C16" s="216"/>
      <c r="D16" s="216"/>
      <c r="E16" s="216"/>
      <c r="F16" s="216"/>
      <c r="G16" s="216"/>
      <c r="H16" s="216"/>
      <c r="I16" s="216"/>
      <c r="J16" s="216"/>
      <c r="K16" s="216"/>
    </row>
    <row r="17" spans="1:11">
      <c r="A17" s="217">
        <v>5</v>
      </c>
      <c r="B17" s="55" t="s">
        <v>162</v>
      </c>
      <c r="C17" s="216"/>
      <c r="D17" s="216"/>
      <c r="E17" s="216"/>
      <c r="F17" s="216"/>
      <c r="G17" s="216"/>
      <c r="H17" s="216"/>
      <c r="I17" s="216"/>
      <c r="J17" s="216"/>
      <c r="K17" s="216"/>
    </row>
    <row r="18" spans="1:11" ht="28.5">
      <c r="A18" s="217">
        <v>6</v>
      </c>
      <c r="B18" s="55" t="s">
        <v>382</v>
      </c>
      <c r="C18" s="216"/>
      <c r="D18" s="216"/>
      <c r="E18" s="216"/>
      <c r="F18" s="216"/>
      <c r="G18" s="216"/>
      <c r="H18" s="216"/>
      <c r="I18" s="216"/>
      <c r="J18" s="216"/>
      <c r="K18" s="216"/>
    </row>
    <row r="19" spans="1:11" ht="29.25">
      <c r="A19" s="217">
        <v>7</v>
      </c>
      <c r="B19" s="55" t="s">
        <v>383</v>
      </c>
      <c r="C19" s="216"/>
      <c r="D19" s="216"/>
      <c r="E19" s="216"/>
      <c r="F19" s="216"/>
      <c r="G19" s="216"/>
      <c r="H19" s="216"/>
      <c r="I19" s="216"/>
      <c r="J19" s="216"/>
      <c r="K19" s="216"/>
    </row>
    <row r="20" spans="1:11" ht="28.5">
      <c r="A20" s="217">
        <v>8</v>
      </c>
      <c r="B20" s="55" t="s">
        <v>408</v>
      </c>
      <c r="C20" s="216"/>
      <c r="D20" s="216"/>
      <c r="E20" s="216"/>
      <c r="F20" s="216"/>
      <c r="G20" s="216"/>
      <c r="H20" s="216"/>
      <c r="I20" s="216"/>
      <c r="J20" s="216"/>
      <c r="K20" s="216"/>
    </row>
    <row r="21" spans="1:11">
      <c r="A21" s="217">
        <v>9</v>
      </c>
      <c r="B21" s="55" t="s">
        <v>497</v>
      </c>
      <c r="C21" s="216"/>
      <c r="D21" s="216"/>
      <c r="E21" s="216"/>
      <c r="F21" s="216"/>
      <c r="G21" s="216"/>
      <c r="H21" s="216"/>
      <c r="I21" s="216"/>
      <c r="J21" s="216"/>
      <c r="K21" s="216"/>
    </row>
    <row r="22" spans="1:11">
      <c r="A22" s="217">
        <v>10</v>
      </c>
      <c r="B22" s="55" t="s">
        <v>498</v>
      </c>
      <c r="C22" s="216"/>
      <c r="D22" s="216"/>
      <c r="E22" s="216"/>
      <c r="F22" s="216"/>
      <c r="G22" s="216"/>
      <c r="H22" s="216"/>
      <c r="I22" s="216"/>
      <c r="J22" s="216"/>
      <c r="K22" s="216"/>
    </row>
    <row r="23" spans="1:11">
      <c r="A23" s="217">
        <v>11</v>
      </c>
      <c r="B23" s="55" t="s">
        <v>499</v>
      </c>
      <c r="C23" s="216"/>
      <c r="D23" s="216"/>
      <c r="E23" s="216"/>
      <c r="F23" s="216"/>
      <c r="G23" s="216"/>
      <c r="H23" s="216"/>
      <c r="I23" s="216"/>
      <c r="J23" s="216"/>
      <c r="K23" s="216"/>
    </row>
    <row r="24" spans="1:11" ht="15">
      <c r="A24" s="1157" t="s">
        <v>389</v>
      </c>
      <c r="B24" s="1157" t="s">
        <v>389</v>
      </c>
      <c r="C24" s="216"/>
      <c r="D24" s="216"/>
      <c r="E24" s="216"/>
      <c r="F24" s="216"/>
      <c r="G24" s="216"/>
      <c r="H24" s="216"/>
      <c r="I24" s="216"/>
      <c r="J24" s="216"/>
      <c r="K24" s="216"/>
    </row>
    <row r="25" spans="1:11">
      <c r="A25" s="217">
        <v>1</v>
      </c>
      <c r="B25" s="55" t="s">
        <v>390</v>
      </c>
      <c r="C25" s="216"/>
      <c r="D25" s="216"/>
      <c r="E25" s="216"/>
      <c r="F25" s="216"/>
      <c r="G25" s="216"/>
      <c r="H25" s="216"/>
      <c r="I25" s="216"/>
      <c r="J25" s="216"/>
      <c r="K25" s="216"/>
    </row>
    <row r="26" spans="1:11" ht="28.5">
      <c r="A26" s="217">
        <v>2</v>
      </c>
      <c r="B26" s="55" t="s">
        <v>500</v>
      </c>
      <c r="C26" s="216"/>
      <c r="D26" s="216"/>
      <c r="E26" s="216"/>
      <c r="F26" s="216"/>
      <c r="G26" s="216"/>
      <c r="H26" s="216"/>
      <c r="I26" s="216"/>
      <c r="J26" s="216"/>
      <c r="K26" s="216"/>
    </row>
    <row r="27" spans="1:11" ht="28.5">
      <c r="A27" s="217">
        <v>3</v>
      </c>
      <c r="B27" s="55" t="s">
        <v>501</v>
      </c>
      <c r="C27" s="216"/>
      <c r="D27" s="216"/>
      <c r="E27" s="216"/>
      <c r="F27" s="216"/>
      <c r="G27" s="216"/>
      <c r="H27" s="216"/>
      <c r="I27" s="216"/>
      <c r="J27" s="216"/>
      <c r="K27" s="216"/>
    </row>
    <row r="28" spans="1:11" ht="28.5">
      <c r="A28" s="217">
        <v>4</v>
      </c>
      <c r="B28" s="55" t="s">
        <v>391</v>
      </c>
      <c r="C28" s="216"/>
      <c r="D28" s="216"/>
      <c r="E28" s="216"/>
      <c r="F28" s="216"/>
      <c r="G28" s="216"/>
      <c r="H28" s="216"/>
      <c r="I28" s="216"/>
      <c r="J28" s="216"/>
      <c r="K28" s="216"/>
    </row>
    <row r="29" spans="1:11" ht="15" customHeight="1">
      <c r="A29" s="1157" t="s">
        <v>364</v>
      </c>
      <c r="B29" s="1157"/>
      <c r="C29" s="216"/>
      <c r="D29" s="216"/>
      <c r="E29" s="216"/>
      <c r="F29" s="216"/>
      <c r="G29" s="216"/>
      <c r="H29" s="216"/>
      <c r="I29" s="216"/>
      <c r="J29" s="216"/>
      <c r="K29" s="216"/>
    </row>
    <row r="30" spans="1:11">
      <c r="A30" s="217">
        <v>1</v>
      </c>
      <c r="B30" s="55" t="s">
        <v>390</v>
      </c>
      <c r="C30" s="216"/>
      <c r="D30" s="216"/>
      <c r="E30" s="216"/>
      <c r="F30" s="216"/>
      <c r="G30" s="216"/>
      <c r="H30" s="216"/>
      <c r="I30" s="216"/>
      <c r="J30" s="216"/>
      <c r="K30" s="216"/>
    </row>
    <row r="31" spans="1:11">
      <c r="A31" s="217">
        <v>2</v>
      </c>
      <c r="B31" s="55" t="s">
        <v>502</v>
      </c>
      <c r="C31" s="216"/>
      <c r="D31" s="216"/>
      <c r="E31" s="216"/>
      <c r="F31" s="216"/>
      <c r="G31" s="216"/>
      <c r="H31" s="216"/>
      <c r="I31" s="216"/>
      <c r="J31" s="216"/>
      <c r="K31" s="216"/>
    </row>
    <row r="32" spans="1:11" ht="28.5">
      <c r="A32" s="217">
        <v>3</v>
      </c>
      <c r="B32" s="55" t="s">
        <v>503</v>
      </c>
      <c r="C32" s="216"/>
      <c r="D32" s="216"/>
      <c r="E32" s="216"/>
      <c r="F32" s="216"/>
      <c r="G32" s="216"/>
      <c r="H32" s="216"/>
      <c r="I32" s="216"/>
      <c r="J32" s="216"/>
      <c r="K32" s="216"/>
    </row>
    <row r="33" spans="1:11" ht="28.5">
      <c r="A33" s="217">
        <v>4</v>
      </c>
      <c r="B33" s="55" t="s">
        <v>504</v>
      </c>
      <c r="C33" s="216"/>
      <c r="D33" s="216"/>
      <c r="E33" s="216"/>
      <c r="F33" s="216"/>
      <c r="G33" s="216"/>
      <c r="H33" s="216"/>
      <c r="I33" s="216"/>
      <c r="J33" s="216"/>
      <c r="K33" s="216"/>
    </row>
    <row r="34" spans="1:11" ht="28.5">
      <c r="A34" s="217">
        <v>5</v>
      </c>
      <c r="B34" s="55" t="s">
        <v>393</v>
      </c>
      <c r="C34" s="216"/>
      <c r="D34" s="216"/>
      <c r="E34" s="216"/>
      <c r="F34" s="216"/>
      <c r="G34" s="216"/>
      <c r="H34" s="216"/>
      <c r="I34" s="216"/>
      <c r="J34" s="216"/>
      <c r="K34" s="216"/>
    </row>
    <row r="35" spans="1:11">
      <c r="A35" s="217">
        <v>6</v>
      </c>
      <c r="B35" s="55" t="s">
        <v>392</v>
      </c>
      <c r="C35" s="216"/>
      <c r="D35" s="216"/>
      <c r="E35" s="216"/>
      <c r="F35" s="216"/>
      <c r="G35" s="216"/>
      <c r="H35" s="216"/>
      <c r="I35" s="216"/>
      <c r="J35" s="216"/>
      <c r="K35" s="216"/>
    </row>
    <row r="36" spans="1:11" ht="57">
      <c r="A36" s="217">
        <v>7</v>
      </c>
      <c r="B36" s="55" t="s">
        <v>505</v>
      </c>
      <c r="C36" s="216"/>
      <c r="D36" s="216"/>
      <c r="E36" s="216"/>
      <c r="F36" s="216"/>
      <c r="G36" s="216"/>
      <c r="H36" s="216"/>
      <c r="I36" s="216"/>
      <c r="J36" s="216"/>
      <c r="K36" s="216"/>
    </row>
    <row r="37" spans="1:11">
      <c r="A37" s="217">
        <v>7</v>
      </c>
      <c r="B37" s="55" t="s">
        <v>506</v>
      </c>
      <c r="C37" s="216"/>
      <c r="D37" s="216"/>
      <c r="E37" s="216"/>
      <c r="F37" s="216"/>
      <c r="G37" s="216"/>
      <c r="H37" s="216"/>
      <c r="I37" s="216"/>
      <c r="J37" s="216"/>
      <c r="K37" s="216"/>
    </row>
    <row r="38" spans="1:11" ht="15" customHeight="1">
      <c r="A38" s="1157" t="s">
        <v>384</v>
      </c>
      <c r="B38" s="1157"/>
      <c r="C38" s="216"/>
      <c r="D38" s="216"/>
      <c r="E38" s="216"/>
      <c r="F38" s="216"/>
      <c r="G38" s="216"/>
      <c r="H38" s="216"/>
      <c r="I38" s="216"/>
      <c r="J38" s="216"/>
      <c r="K38" s="216"/>
    </row>
    <row r="39" spans="1:11">
      <c r="A39" s="217">
        <v>1</v>
      </c>
      <c r="B39" s="55" t="s">
        <v>385</v>
      </c>
      <c r="C39" s="216"/>
      <c r="D39" s="216"/>
      <c r="E39" s="216"/>
      <c r="F39" s="216"/>
      <c r="G39" s="216"/>
      <c r="H39" s="216"/>
      <c r="I39" s="216"/>
      <c r="J39" s="216"/>
      <c r="K39" s="216"/>
    </row>
    <row r="40" spans="1:11">
      <c r="A40" s="217">
        <v>2</v>
      </c>
      <c r="B40" s="216" t="s">
        <v>507</v>
      </c>
      <c r="C40" s="216"/>
      <c r="D40" s="216"/>
      <c r="E40" s="216"/>
      <c r="F40" s="216"/>
      <c r="G40" s="216"/>
      <c r="H40" s="216"/>
      <c r="I40" s="216"/>
      <c r="J40" s="216"/>
      <c r="K40" s="216"/>
    </row>
    <row r="41" spans="1:11">
      <c r="A41" s="217">
        <v>3</v>
      </c>
      <c r="B41" s="55" t="s">
        <v>508</v>
      </c>
      <c r="C41" s="216"/>
      <c r="D41" s="216"/>
      <c r="E41" s="216"/>
      <c r="F41" s="216"/>
      <c r="G41" s="216"/>
      <c r="H41" s="216"/>
      <c r="I41" s="216"/>
      <c r="J41" s="216"/>
      <c r="K41" s="216"/>
    </row>
    <row r="42" spans="1:11" ht="28.5">
      <c r="A42" s="217">
        <v>4</v>
      </c>
      <c r="B42" s="55" t="s">
        <v>509</v>
      </c>
      <c r="C42" s="216"/>
      <c r="D42" s="216"/>
      <c r="E42" s="216"/>
      <c r="F42" s="216"/>
      <c r="G42" s="216"/>
      <c r="H42" s="216"/>
      <c r="I42" s="216"/>
      <c r="J42" s="216"/>
      <c r="K42" s="216"/>
    </row>
    <row r="43" spans="1:11" ht="28.5">
      <c r="A43" s="217">
        <v>5</v>
      </c>
      <c r="B43" s="55" t="s">
        <v>510</v>
      </c>
      <c r="C43" s="216"/>
      <c r="D43" s="216"/>
      <c r="E43" s="216"/>
      <c r="F43" s="216"/>
      <c r="G43" s="216"/>
      <c r="H43" s="216"/>
      <c r="I43" s="216"/>
      <c r="J43" s="216"/>
      <c r="K43" s="216"/>
    </row>
    <row r="44" spans="1:11">
      <c r="A44" s="217">
        <v>6</v>
      </c>
      <c r="B44" s="55" t="s">
        <v>511</v>
      </c>
      <c r="C44" s="216"/>
      <c r="D44" s="216"/>
      <c r="E44" s="216"/>
      <c r="F44" s="216"/>
      <c r="G44" s="216"/>
      <c r="H44" s="216"/>
      <c r="I44" s="216"/>
      <c r="J44" s="216"/>
      <c r="K44" s="216"/>
    </row>
    <row r="45" spans="1:11">
      <c r="A45" s="217">
        <v>7</v>
      </c>
      <c r="B45" s="55" t="s">
        <v>512</v>
      </c>
      <c r="C45" s="216"/>
      <c r="D45" s="216"/>
      <c r="E45" s="216"/>
      <c r="F45" s="216"/>
      <c r="G45" s="216"/>
      <c r="H45" s="216"/>
      <c r="I45" s="216"/>
      <c r="J45" s="216"/>
      <c r="K45" s="216"/>
    </row>
    <row r="46" spans="1:11">
      <c r="A46" s="217">
        <v>8</v>
      </c>
      <c r="B46" s="55" t="s">
        <v>513</v>
      </c>
      <c r="C46" s="216"/>
      <c r="D46" s="216"/>
      <c r="E46" s="216"/>
      <c r="F46" s="216"/>
      <c r="G46" s="216"/>
      <c r="H46" s="216"/>
      <c r="I46" s="216"/>
      <c r="J46" s="216"/>
      <c r="K46" s="216"/>
    </row>
    <row r="47" spans="1:11">
      <c r="A47" s="217">
        <v>9</v>
      </c>
      <c r="B47" s="55" t="s">
        <v>514</v>
      </c>
      <c r="C47" s="216"/>
      <c r="D47" s="216"/>
      <c r="E47" s="216"/>
      <c r="F47" s="216"/>
      <c r="G47" s="216"/>
      <c r="H47" s="216"/>
      <c r="I47" s="216"/>
      <c r="J47" s="216"/>
      <c r="K47" s="216"/>
    </row>
    <row r="48" spans="1:11">
      <c r="A48" s="217">
        <v>10</v>
      </c>
      <c r="B48" s="55" t="s">
        <v>515</v>
      </c>
      <c r="C48" s="216"/>
      <c r="D48" s="216"/>
      <c r="E48" s="216"/>
      <c r="F48" s="216"/>
      <c r="G48" s="216"/>
      <c r="H48" s="216"/>
      <c r="I48" s="216"/>
      <c r="J48" s="216"/>
      <c r="K48" s="216"/>
    </row>
    <row r="49" spans="1:11">
      <c r="A49" s="217">
        <v>11</v>
      </c>
      <c r="B49" s="55" t="s">
        <v>516</v>
      </c>
      <c r="C49" s="216"/>
      <c r="D49" s="216"/>
      <c r="E49" s="216"/>
      <c r="F49" s="216"/>
      <c r="G49" s="216"/>
      <c r="H49" s="216"/>
      <c r="I49" s="216"/>
      <c r="J49" s="216"/>
      <c r="K49" s="216"/>
    </row>
    <row r="50" spans="1:11">
      <c r="A50" s="217"/>
      <c r="B50" s="55" t="s">
        <v>517</v>
      </c>
      <c r="C50" s="216"/>
      <c r="D50" s="216"/>
      <c r="E50" s="216"/>
      <c r="F50" s="216"/>
      <c r="G50" s="216"/>
      <c r="H50" s="216"/>
      <c r="I50" s="216"/>
      <c r="J50" s="216"/>
      <c r="K50" s="216"/>
    </row>
    <row r="51" spans="1:11">
      <c r="A51" s="217"/>
      <c r="B51" s="55" t="s">
        <v>518</v>
      </c>
      <c r="C51" s="216"/>
      <c r="D51" s="216"/>
      <c r="E51" s="216"/>
      <c r="F51" s="216"/>
      <c r="G51" s="216"/>
      <c r="H51" s="216"/>
      <c r="I51" s="216"/>
      <c r="J51" s="216"/>
      <c r="K51" s="216"/>
    </row>
    <row r="52" spans="1:11" ht="15" customHeight="1">
      <c r="A52" s="1157" t="s">
        <v>519</v>
      </c>
      <c r="B52" s="1157"/>
      <c r="C52" s="216"/>
      <c r="D52" s="216"/>
      <c r="E52" s="216"/>
      <c r="F52" s="216"/>
      <c r="G52" s="216"/>
      <c r="H52" s="216"/>
      <c r="I52" s="216"/>
      <c r="J52" s="216"/>
      <c r="K52" s="216"/>
    </row>
    <row r="53" spans="1:11">
      <c r="A53" s="217">
        <v>1</v>
      </c>
      <c r="B53" s="55" t="s">
        <v>211</v>
      </c>
      <c r="C53" s="216"/>
      <c r="D53" s="216"/>
      <c r="E53" s="216"/>
      <c r="F53" s="216"/>
      <c r="G53" s="216"/>
      <c r="H53" s="216"/>
      <c r="I53" s="216"/>
      <c r="J53" s="216"/>
      <c r="K53" s="216"/>
    </row>
    <row r="54" spans="1:11">
      <c r="A54" s="217">
        <v>2</v>
      </c>
      <c r="B54" s="55" t="s">
        <v>520</v>
      </c>
      <c r="C54" s="216"/>
      <c r="D54" s="216"/>
      <c r="E54" s="216"/>
      <c r="F54" s="216"/>
      <c r="G54" s="216"/>
      <c r="H54" s="216"/>
      <c r="I54" s="216"/>
      <c r="J54" s="216"/>
      <c r="K54" s="216"/>
    </row>
    <row r="55" spans="1:11">
      <c r="A55" s="217">
        <v>3</v>
      </c>
      <c r="B55" s="55" t="s">
        <v>212</v>
      </c>
      <c r="C55" s="216"/>
      <c r="D55" s="216"/>
      <c r="E55" s="216"/>
      <c r="F55" s="216"/>
      <c r="G55" s="216"/>
      <c r="H55" s="216"/>
      <c r="I55" s="216"/>
      <c r="J55" s="216"/>
      <c r="K55" s="216"/>
    </row>
    <row r="56" spans="1:11">
      <c r="A56" s="217">
        <v>4</v>
      </c>
      <c r="B56" s="55" t="s">
        <v>521</v>
      </c>
      <c r="C56" s="216"/>
      <c r="D56" s="216"/>
      <c r="E56" s="216"/>
      <c r="F56" s="216"/>
      <c r="G56" s="216"/>
      <c r="H56" s="216"/>
      <c r="I56" s="216"/>
      <c r="J56" s="216"/>
      <c r="K56" s="216"/>
    </row>
    <row r="57" spans="1:11">
      <c r="A57" s="217">
        <v>5</v>
      </c>
      <c r="B57" s="55" t="s">
        <v>394</v>
      </c>
      <c r="C57" s="216"/>
      <c r="D57" s="216"/>
      <c r="E57" s="216"/>
      <c r="F57" s="216"/>
      <c r="G57" s="216"/>
      <c r="H57" s="216"/>
      <c r="I57" s="216"/>
      <c r="J57" s="216"/>
      <c r="K57" s="216"/>
    </row>
    <row r="58" spans="1:11">
      <c r="A58" s="217">
        <v>6</v>
      </c>
      <c r="B58" s="55" t="s">
        <v>395</v>
      </c>
      <c r="C58" s="216"/>
      <c r="D58" s="216"/>
      <c r="E58" s="216"/>
      <c r="F58" s="216"/>
      <c r="G58" s="216"/>
      <c r="H58" s="216"/>
      <c r="I58" s="216"/>
      <c r="J58" s="216"/>
      <c r="K58" s="216"/>
    </row>
    <row r="59" spans="1:11" ht="28.5">
      <c r="A59" s="217">
        <v>7</v>
      </c>
      <c r="B59" s="55" t="s">
        <v>396</v>
      </c>
      <c r="C59" s="216"/>
      <c r="D59" s="216"/>
      <c r="E59" s="216"/>
      <c r="F59" s="216"/>
      <c r="G59" s="216"/>
      <c r="H59" s="216"/>
      <c r="I59" s="216"/>
      <c r="J59" s="216"/>
      <c r="K59" s="216"/>
    </row>
    <row r="60" spans="1:11" ht="15" customHeight="1">
      <c r="A60" s="1157" t="s">
        <v>397</v>
      </c>
      <c r="B60" s="1157"/>
      <c r="C60" s="216"/>
      <c r="D60" s="216"/>
      <c r="E60" s="216"/>
      <c r="F60" s="216"/>
      <c r="G60" s="216"/>
      <c r="H60" s="216"/>
      <c r="I60" s="216"/>
      <c r="J60" s="216"/>
      <c r="K60" s="216"/>
    </row>
    <row r="61" spans="1:11">
      <c r="A61" s="217">
        <v>1</v>
      </c>
      <c r="B61" s="1158" t="s">
        <v>398</v>
      </c>
      <c r="C61" s="1158"/>
      <c r="D61" s="1158"/>
      <c r="E61" s="1158"/>
      <c r="F61" s="1158"/>
      <c r="G61" s="1158"/>
      <c r="H61" s="1158"/>
      <c r="I61" s="1158"/>
      <c r="J61" s="1158"/>
      <c r="K61" s="1158"/>
    </row>
    <row r="62" spans="1:11">
      <c r="A62" s="217">
        <v>2</v>
      </c>
      <c r="B62" s="1159" t="s">
        <v>522</v>
      </c>
      <c r="C62" s="1159"/>
      <c r="D62" s="1159"/>
      <c r="E62" s="1159"/>
      <c r="F62" s="1159"/>
      <c r="G62" s="1159"/>
      <c r="H62" s="1159"/>
      <c r="I62" s="1159"/>
      <c r="J62" s="1159"/>
      <c r="K62" s="1159"/>
    </row>
    <row r="63" spans="1:11" ht="28.5">
      <c r="A63" s="217">
        <v>3</v>
      </c>
      <c r="B63" s="218" t="s">
        <v>523</v>
      </c>
      <c r="C63" s="218"/>
      <c r="D63" s="218"/>
      <c r="E63" s="218"/>
      <c r="F63" s="218"/>
      <c r="G63" s="218"/>
      <c r="H63" s="218"/>
      <c r="I63" s="218"/>
      <c r="J63" s="218"/>
      <c r="K63" s="218"/>
    </row>
    <row r="64" spans="1:11">
      <c r="A64" s="217">
        <v>4</v>
      </c>
      <c r="B64" s="1159" t="s">
        <v>524</v>
      </c>
      <c r="C64" s="1159"/>
      <c r="D64" s="1159"/>
      <c r="E64" s="1159"/>
      <c r="F64" s="1159"/>
      <c r="G64" s="1159"/>
      <c r="H64" s="1159"/>
      <c r="I64" s="1159"/>
      <c r="J64" s="1159"/>
      <c r="K64" s="1159"/>
    </row>
    <row r="65" spans="1:11">
      <c r="A65" s="217">
        <v>5</v>
      </c>
      <c r="B65" s="1159" t="s">
        <v>525</v>
      </c>
      <c r="C65" s="1159"/>
      <c r="D65" s="1159"/>
      <c r="E65" s="1159"/>
      <c r="F65" s="1159"/>
      <c r="G65" s="1159"/>
      <c r="H65" s="1159"/>
      <c r="I65" s="1159"/>
      <c r="J65" s="1159"/>
      <c r="K65" s="1159"/>
    </row>
    <row r="66" spans="1:11" ht="30" customHeight="1">
      <c r="A66" s="217">
        <v>6</v>
      </c>
      <c r="B66" s="1159" t="s">
        <v>526</v>
      </c>
      <c r="C66" s="1159"/>
      <c r="D66" s="1159"/>
      <c r="E66" s="1159"/>
      <c r="F66" s="1159"/>
      <c r="G66" s="1159"/>
      <c r="H66" s="1159"/>
      <c r="I66" s="1159"/>
      <c r="J66" s="1159"/>
      <c r="K66" s="1159"/>
    </row>
    <row r="67" spans="1:11">
      <c r="A67" s="217">
        <v>7</v>
      </c>
      <c r="B67" s="1159" t="s">
        <v>387</v>
      </c>
      <c r="C67" s="1159"/>
      <c r="D67" s="1159"/>
      <c r="E67" s="1159"/>
      <c r="F67" s="1159"/>
      <c r="G67" s="1159"/>
      <c r="H67" s="1159"/>
      <c r="I67" s="1159"/>
      <c r="J67" s="1159"/>
      <c r="K67" s="1159"/>
    </row>
    <row r="68" spans="1:11" ht="28.5" customHeight="1">
      <c r="A68" s="217">
        <v>8</v>
      </c>
      <c r="B68" s="1159" t="s">
        <v>388</v>
      </c>
      <c r="C68" s="1159"/>
      <c r="D68" s="1159"/>
      <c r="E68" s="1159"/>
      <c r="F68" s="1159"/>
      <c r="G68" s="1159"/>
      <c r="H68" s="1159"/>
      <c r="I68" s="1159"/>
      <c r="J68" s="1159"/>
      <c r="K68" s="1159"/>
    </row>
    <row r="69" spans="1:11" ht="15">
      <c r="A69" s="1157" t="s">
        <v>439</v>
      </c>
      <c r="B69" s="1157"/>
      <c r="C69" s="218"/>
      <c r="D69" s="218"/>
      <c r="E69" s="218"/>
      <c r="F69" s="218"/>
      <c r="G69" s="218"/>
      <c r="H69" s="218"/>
      <c r="I69" s="218"/>
      <c r="J69" s="218"/>
      <c r="K69" s="218"/>
    </row>
    <row r="70" spans="1:11" ht="21" customHeight="1">
      <c r="A70" s="217">
        <v>1</v>
      </c>
      <c r="B70" s="1159" t="s">
        <v>527</v>
      </c>
      <c r="C70" s="1159"/>
      <c r="D70" s="1159"/>
      <c r="E70" s="1159"/>
      <c r="F70" s="1159"/>
      <c r="G70" s="1159"/>
      <c r="H70" s="1159"/>
      <c r="I70" s="1159"/>
      <c r="J70" s="1159"/>
      <c r="K70" s="1159"/>
    </row>
    <row r="71" spans="1:11" ht="15" customHeight="1">
      <c r="A71" s="1157" t="s">
        <v>399</v>
      </c>
      <c r="B71" s="1157"/>
      <c r="C71" s="216"/>
      <c r="D71" s="216"/>
      <c r="E71" s="216"/>
      <c r="F71" s="216"/>
      <c r="G71" s="216"/>
      <c r="H71" s="216"/>
      <c r="I71" s="216"/>
      <c r="J71" s="216"/>
      <c r="K71" s="216"/>
    </row>
    <row r="72" spans="1:11">
      <c r="A72" s="217">
        <v>1</v>
      </c>
      <c r="B72" s="218" t="s">
        <v>400</v>
      </c>
      <c r="C72" s="216"/>
      <c r="D72" s="216"/>
      <c r="E72" s="216"/>
      <c r="F72" s="216"/>
      <c r="G72" s="216"/>
      <c r="H72" s="216"/>
      <c r="I72" s="216"/>
      <c r="J72" s="216"/>
      <c r="K72" s="216"/>
    </row>
    <row r="73" spans="1:11">
      <c r="A73" s="217">
        <v>2</v>
      </c>
      <c r="B73" s="218" t="s">
        <v>528</v>
      </c>
      <c r="C73" s="216"/>
      <c r="D73" s="216"/>
      <c r="E73" s="216"/>
      <c r="F73" s="216"/>
      <c r="G73" s="216"/>
      <c r="H73" s="216"/>
      <c r="I73" s="216"/>
      <c r="J73" s="216"/>
      <c r="K73" s="216"/>
    </row>
    <row r="74" spans="1:11">
      <c r="A74" s="217">
        <v>3</v>
      </c>
      <c r="B74" s="218" t="s">
        <v>529</v>
      </c>
      <c r="C74" s="216"/>
      <c r="D74" s="216"/>
      <c r="E74" s="216"/>
      <c r="F74" s="216"/>
      <c r="G74" s="216"/>
      <c r="H74" s="216"/>
      <c r="I74" s="216"/>
      <c r="J74" s="216"/>
      <c r="K74" s="216"/>
    </row>
    <row r="75" spans="1:11">
      <c r="A75" s="217">
        <v>4</v>
      </c>
      <c r="B75" s="218" t="s">
        <v>530</v>
      </c>
      <c r="C75" s="216"/>
      <c r="D75" s="216"/>
      <c r="E75" s="216"/>
      <c r="F75" s="216"/>
      <c r="G75" s="216"/>
      <c r="H75" s="216"/>
      <c r="I75" s="216"/>
      <c r="J75" s="216"/>
      <c r="K75" s="216"/>
    </row>
    <row r="76" spans="1:11">
      <c r="A76" s="217">
        <v>5</v>
      </c>
      <c r="B76" s="218" t="s">
        <v>531</v>
      </c>
      <c r="C76" s="216"/>
      <c r="D76" s="216"/>
      <c r="E76" s="216"/>
      <c r="F76" s="216"/>
      <c r="G76" s="216"/>
      <c r="H76" s="216"/>
      <c r="I76" s="216"/>
      <c r="J76" s="216"/>
      <c r="K76" s="216"/>
    </row>
    <row r="77" spans="1:11" hidden="1">
      <c r="A77" s="172"/>
      <c r="B77" s="173"/>
    </row>
  </sheetData>
  <mergeCells count="18">
    <mergeCell ref="B62:K62"/>
    <mergeCell ref="A69:B69"/>
    <mergeCell ref="B70:K70"/>
    <mergeCell ref="A71:B71"/>
    <mergeCell ref="B64:K64"/>
    <mergeCell ref="B65:K65"/>
    <mergeCell ref="B66:K66"/>
    <mergeCell ref="B67:K67"/>
    <mergeCell ref="B68:K68"/>
    <mergeCell ref="A1:B1"/>
    <mergeCell ref="B61:K61"/>
    <mergeCell ref="A10:B10"/>
    <mergeCell ref="A12:B12"/>
    <mergeCell ref="A24:B24"/>
    <mergeCell ref="A29:B29"/>
    <mergeCell ref="A38:B38"/>
    <mergeCell ref="A52:B52"/>
    <mergeCell ref="A60:B60"/>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C00000"/>
  </sheetPr>
  <dimension ref="A1:L106"/>
  <sheetViews>
    <sheetView view="pageBreakPreview" zoomScaleSheetLayoutView="100" workbookViewId="0">
      <selection activeCell="C9" sqref="C9"/>
    </sheetView>
  </sheetViews>
  <sheetFormatPr defaultColWidth="11.875" defaultRowHeight="15.75"/>
  <cols>
    <col min="1" max="1" width="32.625" style="666" customWidth="1"/>
    <col min="2" max="2" width="14.625" style="669" customWidth="1"/>
    <col min="3" max="3" width="8.625" style="669" customWidth="1"/>
    <col min="4" max="4" width="14.625" style="669" customWidth="1"/>
    <col min="5" max="5" width="8.625" style="669" customWidth="1"/>
    <col min="6" max="6" width="14.625" style="669" customWidth="1"/>
    <col min="7" max="7" width="8.625" style="669" customWidth="1"/>
    <col min="8" max="8" width="14.25" style="669" customWidth="1"/>
    <col min="9" max="9" width="15.25" style="669" bestFit="1" customWidth="1"/>
    <col min="10" max="10" width="19.25" style="669" customWidth="1"/>
    <col min="11" max="11" width="10.5" style="669" customWidth="1"/>
    <col min="12" max="16384" width="11.875" style="669"/>
  </cols>
  <sheetData>
    <row r="1" spans="1:9">
      <c r="A1" s="632" t="s">
        <v>996</v>
      </c>
      <c r="B1" s="1160" t="str">
        <f>IF('Business Profile'!D4="","",'Business Profile'!D4)</f>
        <v/>
      </c>
      <c r="C1" s="1160"/>
      <c r="D1" s="1160"/>
      <c r="E1" s="1160"/>
      <c r="F1" s="667"/>
      <c r="G1" s="667"/>
      <c r="H1" s="668" t="s">
        <v>608</v>
      </c>
      <c r="I1" s="668" t="str">
        <f>'Ratios Sheet1'!I1</f>
        <v>Lakhs</v>
      </c>
    </row>
    <row r="2" spans="1:9">
      <c r="A2" s="633"/>
      <c r="B2" s="670"/>
      <c r="C2" s="670"/>
      <c r="D2" s="670"/>
      <c r="E2" s="670"/>
      <c r="F2" s="670"/>
      <c r="G2" s="670"/>
      <c r="H2" s="671"/>
      <c r="I2" s="672"/>
    </row>
    <row r="3" spans="1:9" ht="12.75">
      <c r="A3" s="1162" t="s">
        <v>0</v>
      </c>
      <c r="B3" s="673">
        <f>'Ratios Sheet1'!B3</f>
        <v>0</v>
      </c>
      <c r="C3" s="674" t="s">
        <v>1</v>
      </c>
      <c r="D3" s="673" t="str">
        <f>'Ratios Sheet1'!D3</f>
        <v>-</v>
      </c>
      <c r="E3" s="674" t="s">
        <v>1</v>
      </c>
      <c r="F3" s="673" t="str">
        <f>'Ratios Sheet1'!F3</f>
        <v>-</v>
      </c>
      <c r="G3" s="674" t="s">
        <v>1</v>
      </c>
      <c r="H3" s="673" t="str">
        <f>'Ratios Sheet1'!H3</f>
        <v>-</v>
      </c>
      <c r="I3" s="675"/>
    </row>
    <row r="4" spans="1:9" ht="12.75">
      <c r="A4" s="1163"/>
      <c r="B4" s="676" t="str">
        <f>'Ratios Sheet1'!B4</f>
        <v>Rs. Lakhs</v>
      </c>
      <c r="C4" s="677">
        <f>'Ratios Sheet1'!C4</f>
        <v>0</v>
      </c>
      <c r="D4" s="676" t="str">
        <f>'Ratios Sheet1'!D4</f>
        <v>Rs. Lakhs</v>
      </c>
      <c r="E4" s="677" t="str">
        <f>'Ratios Sheet1'!E4</f>
        <v>-</v>
      </c>
      <c r="F4" s="676" t="str">
        <f>'Ratios Sheet1'!F4</f>
        <v>Rs. Lakhs</v>
      </c>
      <c r="G4" s="677" t="str">
        <f>'Ratios Sheet1'!G4</f>
        <v>-</v>
      </c>
      <c r="H4" s="676" t="str">
        <f>'Ratios Sheet1'!H4</f>
        <v>Rs. Lakhs</v>
      </c>
      <c r="I4" s="678"/>
    </row>
    <row r="5" spans="1:9">
      <c r="A5" s="634" t="s">
        <v>2</v>
      </c>
      <c r="B5" s="761">
        <f>'Ratios Sheet1'!B5+'Ratios Sheet2'!B5+'Ratios Sheet3'!B5+'Ratios Sheet4'!B5</f>
        <v>0</v>
      </c>
      <c r="C5" s="679" t="str">
        <f>IFERROR((B5-D5)/D5*100,"")</f>
        <v/>
      </c>
      <c r="D5" s="761">
        <f>'Ratios Sheet1'!D5+'Ratios Sheet2'!D5+'Ratios Sheet3'!D5+'Ratios Sheet4'!D5</f>
        <v>0</v>
      </c>
      <c r="E5" s="679" t="str">
        <f>IFERROR((D5-F5)/F5*100,"")</f>
        <v/>
      </c>
      <c r="F5" s="761">
        <f>'Ratios Sheet1'!F5+'Ratios Sheet2'!F5+'Ratios Sheet3'!F5+'Ratios Sheet4'!F5</f>
        <v>0</v>
      </c>
      <c r="G5" s="679" t="str">
        <f>IFERROR((F5-H5)/H5*100,"")</f>
        <v/>
      </c>
      <c r="H5" s="761">
        <f>'Ratios Sheet1'!H5+'Ratios Sheet2'!H5+'Ratios Sheet3'!H5+'Ratios Sheet4'!H5</f>
        <v>0</v>
      </c>
      <c r="I5" s="680"/>
    </row>
    <row r="6" spans="1:9" ht="31.5">
      <c r="A6" s="635" t="s">
        <v>3</v>
      </c>
      <c r="B6" s="761">
        <f>'Ratios Sheet1'!B6+'Ratios Sheet2'!B6+'Ratios Sheet3'!B6+'Ratios Sheet4'!B6</f>
        <v>0</v>
      </c>
      <c r="C6" s="681" t="str">
        <f>IFERROR((B6-D6)/D6*100,"")</f>
        <v/>
      </c>
      <c r="D6" s="761">
        <f>'Ratios Sheet1'!D6+'Ratios Sheet2'!D6+'Ratios Sheet3'!D6+'Ratios Sheet4'!D6</f>
        <v>0</v>
      </c>
      <c r="E6" s="681" t="str">
        <f>IFERROR((D6-F6)/F6*100,"")</f>
        <v/>
      </c>
      <c r="F6" s="761">
        <f>'Ratios Sheet1'!F6+'Ratios Sheet2'!F6+'Ratios Sheet3'!F6+'Ratios Sheet4'!F6</f>
        <v>0</v>
      </c>
      <c r="G6" s="681" t="str">
        <f>IFERROR((F6-H6)/H6*100,"")</f>
        <v/>
      </c>
      <c r="H6" s="761">
        <f>'Ratios Sheet1'!H6+'Ratios Sheet2'!H6+'Ratios Sheet3'!H6+'Ratios Sheet4'!H6</f>
        <v>0</v>
      </c>
      <c r="I6" s="680"/>
    </row>
    <row r="7" spans="1:9">
      <c r="A7" s="635" t="s">
        <v>4</v>
      </c>
      <c r="B7" s="761">
        <f>'Ratios Sheet1'!B7+'Ratios Sheet2'!B7+'Ratios Sheet3'!B7+'Ratios Sheet4'!B7</f>
        <v>0</v>
      </c>
      <c r="C7" s="681" t="str">
        <f>IFERROR((B7-D7)/D7*100,"")</f>
        <v/>
      </c>
      <c r="D7" s="761">
        <f>'Ratios Sheet1'!D7+'Ratios Sheet2'!D7+'Ratios Sheet3'!D7+'Ratios Sheet4'!D7</f>
        <v>0</v>
      </c>
      <c r="E7" s="681" t="str">
        <f>IFERROR((D7-F7)/F7*100,"")</f>
        <v/>
      </c>
      <c r="F7" s="761">
        <f>'Ratios Sheet1'!F7+'Ratios Sheet2'!F7+'Ratios Sheet3'!F7+'Ratios Sheet4'!F7</f>
        <v>0</v>
      </c>
      <c r="G7" s="681" t="str">
        <f>IFERROR((F7-H7)/H7*100,"")</f>
        <v/>
      </c>
      <c r="H7" s="761">
        <f>'Ratios Sheet1'!H7+'Ratios Sheet2'!H7+'Ratios Sheet3'!H7+'Ratios Sheet4'!H7</f>
        <v>0</v>
      </c>
      <c r="I7" s="682"/>
    </row>
    <row r="8" spans="1:9">
      <c r="A8" s="636" t="s">
        <v>5</v>
      </c>
      <c r="B8" s="683">
        <f>B5+B6+B7</f>
        <v>0</v>
      </c>
      <c r="C8" s="684" t="str">
        <f>IFERROR((B8-D8)/D8*100,"")</f>
        <v/>
      </c>
      <c r="D8" s="683">
        <f>D5+D6+D7</f>
        <v>0</v>
      </c>
      <c r="E8" s="684" t="str">
        <f>IFERROR((D8-F8)/F8*100,"")</f>
        <v/>
      </c>
      <c r="F8" s="683">
        <f>F5+F6+F7</f>
        <v>0</v>
      </c>
      <c r="G8" s="684" t="str">
        <f>IFERROR((F8-H8)/H8*100,"")</f>
        <v/>
      </c>
      <c r="H8" s="683">
        <f>H5+H6+H7</f>
        <v>0</v>
      </c>
      <c r="I8" s="685"/>
    </row>
    <row r="9" spans="1:9" ht="38.25">
      <c r="A9" s="637"/>
      <c r="B9" s="686"/>
      <c r="C9" s="687" t="str">
        <f>CONCATENATE("Cost % of sales of ",YEAR(B3))</f>
        <v>Cost % of sales of 1900</v>
      </c>
      <c r="D9" s="686"/>
      <c r="E9" s="687" t="e">
        <f>CONCATENATE("Cost % of sales of ",YEAR(D3))</f>
        <v>#VALUE!</v>
      </c>
      <c r="F9" s="686"/>
      <c r="G9" s="687" t="e">
        <f>CONCATENATE("Cost % of sales of ",YEAR(F3))</f>
        <v>#VALUE!</v>
      </c>
      <c r="H9" s="686"/>
      <c r="I9" s="687" t="e">
        <f>CONCATENATE("Cost % of sales of ",YEAR(H3))</f>
        <v>#VALUE!</v>
      </c>
    </row>
    <row r="10" spans="1:9">
      <c r="A10" s="638" t="s">
        <v>6</v>
      </c>
      <c r="B10" s="761">
        <f>'Ratios Sheet1'!B10+'Ratios Sheet2'!B10+'Ratios Sheet3'!B10+'Ratios Sheet4'!B10</f>
        <v>0</v>
      </c>
      <c r="C10" s="688" t="str">
        <f>IFERROR(B10/$B$5*100,"")</f>
        <v/>
      </c>
      <c r="D10" s="761">
        <f>'Ratios Sheet1'!D10+'Ratios Sheet2'!D10+'Ratios Sheet3'!D10+'Ratios Sheet4'!D10</f>
        <v>0</v>
      </c>
      <c r="E10" s="688" t="str">
        <f>IFERROR(D10/$D$5*100,"")</f>
        <v/>
      </c>
      <c r="F10" s="761">
        <f>'Ratios Sheet1'!F10+'Ratios Sheet2'!F10+'Ratios Sheet3'!F10+'Ratios Sheet4'!F10</f>
        <v>0</v>
      </c>
      <c r="G10" s="688" t="str">
        <f>IFERROR(F10/$F$5*100,"")</f>
        <v/>
      </c>
      <c r="H10" s="761">
        <f>'Ratios Sheet1'!H10+'Ratios Sheet2'!H10+'Ratios Sheet3'!H10+'Ratios Sheet4'!H10</f>
        <v>0</v>
      </c>
      <c r="I10" s="688" t="str">
        <f>IFERROR(H10/$H$5*100,"")</f>
        <v/>
      </c>
    </row>
    <row r="11" spans="1:9">
      <c r="A11" s="638" t="s">
        <v>7</v>
      </c>
      <c r="B11" s="761">
        <f>'Ratios Sheet1'!B11+'Ratios Sheet2'!B11+'Ratios Sheet3'!B11+'Ratios Sheet4'!B11</f>
        <v>0</v>
      </c>
      <c r="C11" s="688" t="str">
        <f t="shared" ref="C11:C30" si="0">IFERROR(B11/$B$5*100,"")</f>
        <v/>
      </c>
      <c r="D11" s="761">
        <f>'Ratios Sheet1'!D11+'Ratios Sheet2'!D11+'Ratios Sheet3'!D11+'Ratios Sheet4'!D11</f>
        <v>0</v>
      </c>
      <c r="E11" s="688" t="str">
        <f t="shared" ref="E11:E30" si="1">IFERROR(D11/$D$5*100,"")</f>
        <v/>
      </c>
      <c r="F11" s="761">
        <f>'Ratios Sheet1'!F11+'Ratios Sheet2'!F11+'Ratios Sheet3'!F11+'Ratios Sheet4'!F11</f>
        <v>0</v>
      </c>
      <c r="G11" s="688" t="str">
        <f t="shared" ref="G11:G30" si="2">IFERROR(F11/$F$5*100,"")</f>
        <v/>
      </c>
      <c r="H11" s="761">
        <f>'Ratios Sheet1'!H11+'Ratios Sheet2'!H11+'Ratios Sheet3'!H11+'Ratios Sheet4'!H11</f>
        <v>0</v>
      </c>
      <c r="I11" s="688" t="str">
        <f t="shared" ref="I11:I30" si="3">IFERROR(H11/$H$5*100,"")</f>
        <v/>
      </c>
    </row>
    <row r="12" spans="1:9">
      <c r="A12" s="638" t="s">
        <v>8</v>
      </c>
      <c r="B12" s="761">
        <f>'Ratios Sheet1'!B12+'Ratios Sheet2'!B12+'Ratios Sheet3'!B12+'Ratios Sheet4'!B12</f>
        <v>0</v>
      </c>
      <c r="C12" s="688" t="str">
        <f t="shared" si="0"/>
        <v/>
      </c>
      <c r="D12" s="761">
        <f>'Ratios Sheet1'!D12+'Ratios Sheet2'!D12+'Ratios Sheet3'!D12+'Ratios Sheet4'!D12</f>
        <v>0</v>
      </c>
      <c r="E12" s="688" t="str">
        <f t="shared" si="1"/>
        <v/>
      </c>
      <c r="F12" s="761">
        <f>'Ratios Sheet1'!F12+'Ratios Sheet2'!F12+'Ratios Sheet3'!F12+'Ratios Sheet4'!F12</f>
        <v>0</v>
      </c>
      <c r="G12" s="688" t="str">
        <f t="shared" si="2"/>
        <v/>
      </c>
      <c r="H12" s="761">
        <f>'Ratios Sheet1'!H12+'Ratios Sheet2'!H12+'Ratios Sheet3'!H12+'Ratios Sheet4'!H12</f>
        <v>0</v>
      </c>
      <c r="I12" s="688" t="str">
        <f t="shared" si="3"/>
        <v/>
      </c>
    </row>
    <row r="13" spans="1:9">
      <c r="A13" s="639" t="s">
        <v>9</v>
      </c>
      <c r="B13" s="689">
        <f>B8-B10-B11-B12</f>
        <v>0</v>
      </c>
      <c r="C13" s="688" t="str">
        <f t="shared" si="0"/>
        <v/>
      </c>
      <c r="D13" s="689">
        <f>D8-D10-D11-D12</f>
        <v>0</v>
      </c>
      <c r="E13" s="688" t="str">
        <f t="shared" si="1"/>
        <v/>
      </c>
      <c r="F13" s="689">
        <f>F8-F10-F11-F12</f>
        <v>0</v>
      </c>
      <c r="G13" s="688" t="str">
        <f t="shared" si="2"/>
        <v/>
      </c>
      <c r="H13" s="689">
        <f>H8-H10-H11-H12</f>
        <v>0</v>
      </c>
      <c r="I13" s="688" t="str">
        <f t="shared" si="3"/>
        <v/>
      </c>
    </row>
    <row r="14" spans="1:9">
      <c r="A14" s="640" t="s">
        <v>10</v>
      </c>
      <c r="B14" s="761">
        <f>'Ratios Sheet1'!B14+'Ratios Sheet2'!B14+'Ratios Sheet3'!B14+'Ratios Sheet4'!B14</f>
        <v>0</v>
      </c>
      <c r="C14" s="688" t="str">
        <f t="shared" si="0"/>
        <v/>
      </c>
      <c r="D14" s="761">
        <f>'Ratios Sheet1'!D14+'Ratios Sheet2'!D14+'Ratios Sheet3'!D14+'Ratios Sheet4'!D14</f>
        <v>0</v>
      </c>
      <c r="E14" s="688" t="str">
        <f t="shared" si="1"/>
        <v/>
      </c>
      <c r="F14" s="761">
        <f>'Ratios Sheet1'!F14+'Ratios Sheet2'!F14+'Ratios Sheet3'!F14+'Ratios Sheet4'!F14</f>
        <v>0</v>
      </c>
      <c r="G14" s="688" t="str">
        <f t="shared" si="2"/>
        <v/>
      </c>
      <c r="H14" s="761">
        <f>'Ratios Sheet1'!H14+'Ratios Sheet2'!H14+'Ratios Sheet3'!H14+'Ratios Sheet4'!H14</f>
        <v>0</v>
      </c>
      <c r="I14" s="688" t="str">
        <f t="shared" si="3"/>
        <v/>
      </c>
    </row>
    <row r="15" spans="1:9">
      <c r="A15" s="640" t="s">
        <v>11</v>
      </c>
      <c r="B15" s="761">
        <f>'Ratios Sheet1'!B15+'Ratios Sheet2'!B15+'Ratios Sheet3'!B15+'Ratios Sheet4'!B15</f>
        <v>0</v>
      </c>
      <c r="C15" s="688" t="str">
        <f t="shared" si="0"/>
        <v/>
      </c>
      <c r="D15" s="761">
        <f>'Ratios Sheet1'!D15+'Ratios Sheet2'!D15+'Ratios Sheet3'!D15+'Ratios Sheet4'!D15</f>
        <v>0</v>
      </c>
      <c r="E15" s="688" t="str">
        <f t="shared" si="1"/>
        <v/>
      </c>
      <c r="F15" s="761">
        <f>'Ratios Sheet1'!F15+'Ratios Sheet2'!F15+'Ratios Sheet3'!F15+'Ratios Sheet4'!F15</f>
        <v>0</v>
      </c>
      <c r="G15" s="688" t="str">
        <f t="shared" si="2"/>
        <v/>
      </c>
      <c r="H15" s="761">
        <f>'Ratios Sheet1'!H15+'Ratios Sheet2'!H15+'Ratios Sheet3'!H15+'Ratios Sheet4'!H15</f>
        <v>0</v>
      </c>
      <c r="I15" s="688" t="str">
        <f t="shared" si="3"/>
        <v/>
      </c>
    </row>
    <row r="16" spans="1:9">
      <c r="A16" s="639" t="s">
        <v>12</v>
      </c>
      <c r="B16" s="689">
        <f>B13-B14-B15</f>
        <v>0</v>
      </c>
      <c r="C16" s="688" t="str">
        <f t="shared" si="0"/>
        <v/>
      </c>
      <c r="D16" s="689">
        <f>D13-D14-D15</f>
        <v>0</v>
      </c>
      <c r="E16" s="688" t="str">
        <f t="shared" si="1"/>
        <v/>
      </c>
      <c r="F16" s="689">
        <f>F13-F14-F15</f>
        <v>0</v>
      </c>
      <c r="G16" s="688" t="str">
        <f t="shared" si="2"/>
        <v/>
      </c>
      <c r="H16" s="689">
        <f>H13-H14-H15</f>
        <v>0</v>
      </c>
      <c r="I16" s="688" t="str">
        <f t="shared" si="3"/>
        <v/>
      </c>
    </row>
    <row r="17" spans="1:12">
      <c r="A17" s="641" t="s">
        <v>13</v>
      </c>
      <c r="B17" s="761">
        <f>'Ratios Sheet1'!B17+'Ratios Sheet2'!B17+'Ratios Sheet3'!B17+'Ratios Sheet4'!B17</f>
        <v>0</v>
      </c>
      <c r="C17" s="688" t="str">
        <f t="shared" si="0"/>
        <v/>
      </c>
      <c r="D17" s="761">
        <f>'Ratios Sheet1'!D17+'Ratios Sheet2'!D17+'Ratios Sheet3'!D17+'Ratios Sheet4'!D17</f>
        <v>0</v>
      </c>
      <c r="E17" s="688" t="str">
        <f t="shared" si="1"/>
        <v/>
      </c>
      <c r="F17" s="761">
        <f>'Ratios Sheet1'!F17+'Ratios Sheet2'!F17+'Ratios Sheet3'!F17+'Ratios Sheet4'!F17</f>
        <v>0</v>
      </c>
      <c r="G17" s="688" t="str">
        <f t="shared" si="2"/>
        <v/>
      </c>
      <c r="H17" s="761">
        <f>'Ratios Sheet1'!H17+'Ratios Sheet2'!H17+'Ratios Sheet3'!H17+'Ratios Sheet4'!H17</f>
        <v>0</v>
      </c>
      <c r="I17" s="688" t="str">
        <f t="shared" si="3"/>
        <v/>
      </c>
      <c r="L17" s="690"/>
    </row>
    <row r="18" spans="1:12" s="690" customFormat="1">
      <c r="A18" s="638" t="s">
        <v>153</v>
      </c>
      <c r="B18" s="761">
        <f>'Ratios Sheet1'!B18+'Ratios Sheet2'!B18+'Ratios Sheet3'!B18+'Ratios Sheet4'!B18</f>
        <v>0</v>
      </c>
      <c r="C18" s="688" t="str">
        <f t="shared" si="0"/>
        <v/>
      </c>
      <c r="D18" s="761">
        <f>'Ratios Sheet1'!D18+'Ratios Sheet2'!D18+'Ratios Sheet3'!D18+'Ratios Sheet4'!D18</f>
        <v>0</v>
      </c>
      <c r="E18" s="688" t="str">
        <f t="shared" si="1"/>
        <v/>
      </c>
      <c r="F18" s="761">
        <f>'Ratios Sheet1'!F18+'Ratios Sheet2'!F18+'Ratios Sheet3'!F18+'Ratios Sheet4'!F18</f>
        <v>0</v>
      </c>
      <c r="G18" s="688" t="str">
        <f t="shared" si="2"/>
        <v/>
      </c>
      <c r="H18" s="761">
        <f>'Ratios Sheet1'!H18+'Ratios Sheet2'!H18+'Ratios Sheet3'!H18+'Ratios Sheet4'!H18</f>
        <v>0</v>
      </c>
      <c r="I18" s="688" t="str">
        <f t="shared" si="3"/>
        <v/>
      </c>
      <c r="L18" s="669"/>
    </row>
    <row r="19" spans="1:12" s="690" customFormat="1">
      <c r="A19" s="638" t="s">
        <v>154</v>
      </c>
      <c r="B19" s="761">
        <f>'Ratios Sheet1'!B19+'Ratios Sheet2'!B19+'Ratios Sheet3'!B19+'Ratios Sheet4'!B19</f>
        <v>0</v>
      </c>
      <c r="C19" s="688" t="str">
        <f t="shared" si="0"/>
        <v/>
      </c>
      <c r="D19" s="761">
        <f>'Ratios Sheet1'!D19+'Ratios Sheet2'!D19+'Ratios Sheet3'!D19+'Ratios Sheet4'!D19</f>
        <v>0</v>
      </c>
      <c r="E19" s="688" t="str">
        <f t="shared" si="1"/>
        <v/>
      </c>
      <c r="F19" s="761">
        <f>'Ratios Sheet1'!F19+'Ratios Sheet2'!F19+'Ratios Sheet3'!F19+'Ratios Sheet4'!F19</f>
        <v>0</v>
      </c>
      <c r="G19" s="688" t="str">
        <f t="shared" si="2"/>
        <v/>
      </c>
      <c r="H19" s="761">
        <f>'Ratios Sheet1'!H19+'Ratios Sheet2'!H19+'Ratios Sheet3'!H19+'Ratios Sheet4'!H19</f>
        <v>0</v>
      </c>
      <c r="I19" s="688" t="str">
        <f t="shared" si="3"/>
        <v/>
      </c>
      <c r="L19" s="669"/>
    </row>
    <row r="20" spans="1:12" s="690" customFormat="1" ht="31.5">
      <c r="A20" s="638" t="s">
        <v>366</v>
      </c>
      <c r="B20" s="761">
        <f>'Ratios Sheet1'!B20+'Ratios Sheet2'!B20+'Ratios Sheet3'!B20+'Ratios Sheet4'!B20</f>
        <v>0</v>
      </c>
      <c r="C20" s="688" t="str">
        <f t="shared" si="0"/>
        <v/>
      </c>
      <c r="D20" s="761">
        <f>'Ratios Sheet1'!D20+'Ratios Sheet2'!D20+'Ratios Sheet3'!D20+'Ratios Sheet4'!D20</f>
        <v>0</v>
      </c>
      <c r="E20" s="688" t="str">
        <f t="shared" si="1"/>
        <v/>
      </c>
      <c r="F20" s="761">
        <f>'Ratios Sheet1'!F20+'Ratios Sheet2'!F20+'Ratios Sheet3'!F20+'Ratios Sheet4'!F20</f>
        <v>0</v>
      </c>
      <c r="G20" s="688" t="str">
        <f t="shared" si="2"/>
        <v/>
      </c>
      <c r="H20" s="761">
        <f>'Ratios Sheet1'!H20+'Ratios Sheet2'!H20+'Ratios Sheet3'!H20+'Ratios Sheet4'!H20</f>
        <v>0</v>
      </c>
      <c r="I20" s="688" t="str">
        <f t="shared" si="3"/>
        <v/>
      </c>
      <c r="L20" s="669"/>
    </row>
    <row r="21" spans="1:12" s="690" customFormat="1">
      <c r="A21" s="638" t="s">
        <v>123</v>
      </c>
      <c r="B21" s="761">
        <f>'Ratios Sheet1'!B21+'Ratios Sheet2'!B21+'Ratios Sheet3'!B21+'Ratios Sheet4'!B21</f>
        <v>0</v>
      </c>
      <c r="C21" s="688" t="str">
        <f t="shared" si="0"/>
        <v/>
      </c>
      <c r="D21" s="761">
        <f>'Ratios Sheet1'!D21+'Ratios Sheet2'!D21+'Ratios Sheet3'!D21+'Ratios Sheet4'!D21</f>
        <v>0</v>
      </c>
      <c r="E21" s="688" t="str">
        <f t="shared" si="1"/>
        <v/>
      </c>
      <c r="F21" s="761">
        <f>'Ratios Sheet1'!F21+'Ratios Sheet2'!F21+'Ratios Sheet3'!F21+'Ratios Sheet4'!F21</f>
        <v>0</v>
      </c>
      <c r="G21" s="688" t="str">
        <f t="shared" si="2"/>
        <v/>
      </c>
      <c r="H21" s="761">
        <f>'Ratios Sheet1'!H21+'Ratios Sheet2'!H21+'Ratios Sheet3'!H21+'Ratios Sheet4'!H21</f>
        <v>0</v>
      </c>
      <c r="I21" s="688" t="str">
        <f t="shared" si="3"/>
        <v/>
      </c>
      <c r="L21" s="669"/>
    </row>
    <row r="22" spans="1:12">
      <c r="A22" s="641" t="s">
        <v>14</v>
      </c>
      <c r="B22" s="761">
        <f>'Ratios Sheet1'!B22+'Ratios Sheet2'!B22+'Ratios Sheet3'!B22+'Ratios Sheet4'!B22</f>
        <v>0</v>
      </c>
      <c r="C22" s="688" t="str">
        <f t="shared" si="0"/>
        <v/>
      </c>
      <c r="D22" s="761">
        <f>'Ratios Sheet1'!D22+'Ratios Sheet2'!D22+'Ratios Sheet3'!D22+'Ratios Sheet4'!D22</f>
        <v>0</v>
      </c>
      <c r="E22" s="688" t="str">
        <f t="shared" si="1"/>
        <v/>
      </c>
      <c r="F22" s="761">
        <f>'Ratios Sheet1'!F22+'Ratios Sheet2'!F22+'Ratios Sheet3'!F22+'Ratios Sheet4'!F22</f>
        <v>0</v>
      </c>
      <c r="G22" s="688" t="str">
        <f t="shared" si="2"/>
        <v/>
      </c>
      <c r="H22" s="761">
        <f>'Ratios Sheet1'!H22+'Ratios Sheet2'!H22+'Ratios Sheet3'!H22+'Ratios Sheet4'!H22</f>
        <v>0</v>
      </c>
      <c r="I22" s="688" t="str">
        <f t="shared" si="3"/>
        <v/>
      </c>
    </row>
    <row r="23" spans="1:12">
      <c r="A23" s="642" t="s">
        <v>15</v>
      </c>
      <c r="B23" s="691">
        <f>B16-B17-B18-B22-B21-B19-B20</f>
        <v>0</v>
      </c>
      <c r="C23" s="688" t="str">
        <f t="shared" si="0"/>
        <v/>
      </c>
      <c r="D23" s="691">
        <f>D16-D17-D18-D22-D21-D19-D20</f>
        <v>0</v>
      </c>
      <c r="E23" s="688" t="str">
        <f t="shared" si="1"/>
        <v/>
      </c>
      <c r="F23" s="691">
        <f>F16-F17-F18-F22-F21-F19-F20</f>
        <v>0</v>
      </c>
      <c r="G23" s="688" t="str">
        <f t="shared" si="2"/>
        <v/>
      </c>
      <c r="H23" s="691">
        <f>H16-H17-H18-H22-H21-H19-H20</f>
        <v>0</v>
      </c>
      <c r="I23" s="688" t="str">
        <f t="shared" si="3"/>
        <v/>
      </c>
    </row>
    <row r="24" spans="1:12">
      <c r="A24" s="643" t="s">
        <v>16</v>
      </c>
      <c r="B24" s="761">
        <f>'Ratios Sheet1'!B24+'Ratios Sheet2'!B24+'Ratios Sheet3'!B24+'Ratios Sheet4'!B24</f>
        <v>0</v>
      </c>
      <c r="C24" s="688" t="str">
        <f t="shared" si="0"/>
        <v/>
      </c>
      <c r="D24" s="761">
        <f>'Ratios Sheet1'!D24+'Ratios Sheet2'!D24+'Ratios Sheet3'!D24+'Ratios Sheet4'!D24</f>
        <v>0</v>
      </c>
      <c r="E24" s="688" t="str">
        <f t="shared" si="1"/>
        <v/>
      </c>
      <c r="F24" s="761">
        <f>'Ratios Sheet1'!F24+'Ratios Sheet2'!F24+'Ratios Sheet3'!F24+'Ratios Sheet4'!F24</f>
        <v>0</v>
      </c>
      <c r="G24" s="688" t="str">
        <f t="shared" si="2"/>
        <v/>
      </c>
      <c r="H24" s="761">
        <f>'Ratios Sheet1'!H24+'Ratios Sheet2'!H24+'Ratios Sheet3'!H24+'Ratios Sheet4'!H24</f>
        <v>0</v>
      </c>
      <c r="I24" s="688" t="str">
        <f t="shared" si="3"/>
        <v/>
      </c>
      <c r="K24" s="692"/>
    </row>
    <row r="25" spans="1:12">
      <c r="A25" s="644" t="s">
        <v>17</v>
      </c>
      <c r="B25" s="693">
        <f>B23-B24</f>
        <v>0</v>
      </c>
      <c r="C25" s="688" t="str">
        <f t="shared" si="0"/>
        <v/>
      </c>
      <c r="D25" s="693">
        <f>D23-D24</f>
        <v>0</v>
      </c>
      <c r="E25" s="688" t="str">
        <f t="shared" si="1"/>
        <v/>
      </c>
      <c r="F25" s="693">
        <f>F23-F24</f>
        <v>0</v>
      </c>
      <c r="G25" s="688" t="str">
        <f t="shared" si="2"/>
        <v/>
      </c>
      <c r="H25" s="693">
        <f>H23-H24</f>
        <v>0</v>
      </c>
      <c r="I25" s="688" t="str">
        <f t="shared" si="3"/>
        <v/>
      </c>
      <c r="J25" s="694"/>
    </row>
    <row r="26" spans="1:12" s="696" customFormat="1">
      <c r="A26" s="642" t="s">
        <v>18</v>
      </c>
      <c r="B26" s="691">
        <f>B25+B17+B22</f>
        <v>0</v>
      </c>
      <c r="C26" s="695" t="str">
        <f t="shared" si="0"/>
        <v/>
      </c>
      <c r="D26" s="691">
        <f>D25+D17+D22</f>
        <v>0</v>
      </c>
      <c r="E26" s="695" t="str">
        <f t="shared" si="1"/>
        <v/>
      </c>
      <c r="F26" s="691">
        <f>F25+F17+F22</f>
        <v>0</v>
      </c>
      <c r="G26" s="688" t="str">
        <f t="shared" si="2"/>
        <v/>
      </c>
      <c r="H26" s="691">
        <f>H25+H17+H22</f>
        <v>0</v>
      </c>
      <c r="I26" s="688" t="str">
        <f t="shared" si="3"/>
        <v/>
      </c>
      <c r="J26" s="694"/>
      <c r="K26" s="694"/>
      <c r="L26" s="694"/>
    </row>
    <row r="27" spans="1:12">
      <c r="A27" s="645" t="s">
        <v>19</v>
      </c>
      <c r="B27" s="761">
        <f>'Ratios Sheet1'!B27+'Ratios Sheet2'!B27+'Ratios Sheet3'!B27+'Ratios Sheet4'!B27</f>
        <v>0</v>
      </c>
      <c r="C27" s="688" t="str">
        <f t="shared" si="0"/>
        <v/>
      </c>
      <c r="D27" s="761">
        <f>'Ratios Sheet1'!D27+'Ratios Sheet2'!D27+'Ratios Sheet3'!D27+'Ratios Sheet4'!D27</f>
        <v>0</v>
      </c>
      <c r="E27" s="688" t="str">
        <f t="shared" si="1"/>
        <v/>
      </c>
      <c r="F27" s="761">
        <f>'Ratios Sheet1'!F27+'Ratios Sheet2'!F27+'Ratios Sheet3'!F27+'Ratios Sheet4'!F27</f>
        <v>0</v>
      </c>
      <c r="G27" s="688" t="str">
        <f t="shared" si="2"/>
        <v/>
      </c>
      <c r="H27" s="761">
        <f>'Ratios Sheet1'!H27+'Ratios Sheet2'!H27+'Ratios Sheet3'!H27+'Ratios Sheet4'!H27</f>
        <v>0</v>
      </c>
      <c r="I27" s="688" t="str">
        <f t="shared" si="3"/>
        <v/>
      </c>
    </row>
    <row r="28" spans="1:12" ht="31.5">
      <c r="A28" s="645" t="s">
        <v>20</v>
      </c>
      <c r="B28" s="761">
        <f>'Ratios Sheet1'!B28+'Ratios Sheet2'!B28+'Ratios Sheet3'!B28+'Ratios Sheet4'!B28</f>
        <v>0</v>
      </c>
      <c r="C28" s="688" t="str">
        <f t="shared" si="0"/>
        <v/>
      </c>
      <c r="D28" s="761">
        <f>'Ratios Sheet1'!D28+'Ratios Sheet2'!D28+'Ratios Sheet3'!D28+'Ratios Sheet4'!D28</f>
        <v>0</v>
      </c>
      <c r="E28" s="688" t="str">
        <f t="shared" si="1"/>
        <v/>
      </c>
      <c r="F28" s="761">
        <f>'Ratios Sheet1'!F28+'Ratios Sheet2'!F28+'Ratios Sheet3'!F28+'Ratios Sheet4'!F28</f>
        <v>0</v>
      </c>
      <c r="G28" s="688" t="str">
        <f t="shared" si="2"/>
        <v/>
      </c>
      <c r="H28" s="761">
        <f>'Ratios Sheet1'!H28+'Ratios Sheet2'!H28+'Ratios Sheet3'!H28+'Ratios Sheet4'!H28</f>
        <v>0</v>
      </c>
      <c r="I28" s="688" t="str">
        <f t="shared" si="3"/>
        <v/>
      </c>
    </row>
    <row r="29" spans="1:12">
      <c r="A29" s="646" t="s">
        <v>21</v>
      </c>
      <c r="B29" s="697">
        <f>B26+B27+B28</f>
        <v>0</v>
      </c>
      <c r="C29" s="688" t="str">
        <f t="shared" si="0"/>
        <v/>
      </c>
      <c r="D29" s="697">
        <f>D26+D27+D28</f>
        <v>0</v>
      </c>
      <c r="E29" s="688" t="str">
        <f t="shared" si="1"/>
        <v/>
      </c>
      <c r="F29" s="697">
        <f>F26+F27+F28</f>
        <v>0</v>
      </c>
      <c r="G29" s="688" t="str">
        <f t="shared" si="2"/>
        <v/>
      </c>
      <c r="H29" s="697">
        <f>H26+H27+H28</f>
        <v>0</v>
      </c>
      <c r="I29" s="688" t="str">
        <f t="shared" si="3"/>
        <v/>
      </c>
    </row>
    <row r="30" spans="1:12">
      <c r="A30" s="646"/>
      <c r="B30" s="697"/>
      <c r="C30" s="698" t="str">
        <f t="shared" si="0"/>
        <v/>
      </c>
      <c r="D30" s="697"/>
      <c r="E30" s="688" t="str">
        <f t="shared" si="1"/>
        <v/>
      </c>
      <c r="F30" s="697"/>
      <c r="G30" s="698" t="str">
        <f t="shared" si="2"/>
        <v/>
      </c>
      <c r="H30" s="697"/>
      <c r="I30" s="698" t="str">
        <f t="shared" si="3"/>
        <v/>
      </c>
      <c r="J30" s="699"/>
    </row>
    <row r="31" spans="1:12">
      <c r="A31" s="647"/>
      <c r="B31" s="700"/>
      <c r="C31" s="701"/>
      <c r="D31" s="700"/>
      <c r="E31" s="701"/>
      <c r="F31" s="700"/>
      <c r="G31" s="701"/>
      <c r="H31" s="700"/>
      <c r="I31" s="702" t="s">
        <v>22</v>
      </c>
    </row>
    <row r="32" spans="1:12" ht="12.75">
      <c r="A32" s="1164" t="s">
        <v>23</v>
      </c>
      <c r="B32" s="1165">
        <f>B3</f>
        <v>0</v>
      </c>
      <c r="C32" s="703" t="s">
        <v>1</v>
      </c>
      <c r="D32" s="1165" t="str">
        <f>D3</f>
        <v>-</v>
      </c>
      <c r="E32" s="703" t="s">
        <v>1</v>
      </c>
      <c r="F32" s="1165" t="str">
        <f>F3</f>
        <v>-</v>
      </c>
      <c r="G32" s="703" t="s">
        <v>1</v>
      </c>
      <c r="H32" s="1165" t="str">
        <f>H3</f>
        <v>-</v>
      </c>
      <c r="I32" s="704"/>
    </row>
    <row r="33" spans="1:10" ht="12.75">
      <c r="A33" s="1164"/>
      <c r="B33" s="1166"/>
      <c r="C33" s="705">
        <f>'Ratios Sheet1'!C33</f>
        <v>0</v>
      </c>
      <c r="D33" s="1166"/>
      <c r="E33" s="705" t="str">
        <f>'Ratios Sheet1'!E33</f>
        <v>-</v>
      </c>
      <c r="F33" s="1166"/>
      <c r="G33" s="705" t="str">
        <f>'Ratios Sheet1'!G33</f>
        <v>-</v>
      </c>
      <c r="H33" s="1166"/>
      <c r="I33" s="704"/>
    </row>
    <row r="34" spans="1:10">
      <c r="A34" s="648" t="s">
        <v>24</v>
      </c>
      <c r="B34" s="761">
        <f>'Ratios Sheet1'!B34+'Ratios Sheet2'!B34+'Ratios Sheet3'!B34+'Ratios Sheet4'!B34</f>
        <v>0</v>
      </c>
      <c r="C34" s="681" t="str">
        <f>IFERROR((B34-D34)/D34*100,"")</f>
        <v/>
      </c>
      <c r="D34" s="761">
        <f>'Ratios Sheet1'!D34+'Ratios Sheet2'!D34+'Ratios Sheet3'!D34+'Ratios Sheet4'!D34</f>
        <v>0</v>
      </c>
      <c r="E34" s="681" t="str">
        <f>IFERROR((D34-F34)/F34*100,"")</f>
        <v/>
      </c>
      <c r="F34" s="761">
        <f>'Ratios Sheet1'!F34+'Ratios Sheet2'!F34+'Ratios Sheet3'!F34+'Ratios Sheet4'!F34</f>
        <v>0</v>
      </c>
      <c r="G34" s="681" t="str">
        <f>IFERROR((F34-H34)/H34*100,"")</f>
        <v/>
      </c>
      <c r="H34" s="761">
        <f>'Ratios Sheet1'!H34+'Ratios Sheet2'!H34+'Ratios Sheet3'!H34+'Ratios Sheet4'!H34</f>
        <v>0</v>
      </c>
    </row>
    <row r="35" spans="1:10" ht="31.5">
      <c r="A35" s="648" t="s">
        <v>25</v>
      </c>
      <c r="B35" s="761">
        <f>'Ratios Sheet1'!B35+'Ratios Sheet2'!B35+'Ratios Sheet3'!B35+'Ratios Sheet4'!B35</f>
        <v>0</v>
      </c>
      <c r="C35" s="681" t="str">
        <f t="shared" ref="C35:C65" si="4">IFERROR((B35-D35)/D35*100,"")</f>
        <v/>
      </c>
      <c r="D35" s="761">
        <f>'Ratios Sheet1'!D35+'Ratios Sheet2'!D35+'Ratios Sheet3'!D35+'Ratios Sheet4'!D35</f>
        <v>0</v>
      </c>
      <c r="E35" s="681" t="str">
        <f t="shared" ref="E35:E65" si="5">IFERROR((D35-F35)/F35*100,"")</f>
        <v/>
      </c>
      <c r="F35" s="761">
        <f>'Ratios Sheet1'!F35+'Ratios Sheet2'!F35+'Ratios Sheet3'!F35+'Ratios Sheet4'!F35</f>
        <v>0</v>
      </c>
      <c r="G35" s="681" t="str">
        <f t="shared" ref="G35:G65" si="6">IFERROR((F35-H35)/H35*100,"")</f>
        <v/>
      </c>
      <c r="H35" s="761">
        <f>'Ratios Sheet1'!H35+'Ratios Sheet2'!H35+'Ratios Sheet3'!H35+'Ratios Sheet4'!H35</f>
        <v>0</v>
      </c>
    </row>
    <row r="36" spans="1:10">
      <c r="A36" s="649" t="s">
        <v>26</v>
      </c>
      <c r="B36" s="706">
        <f>SUM(B34:B35)</f>
        <v>0</v>
      </c>
      <c r="C36" s="707" t="str">
        <f t="shared" si="4"/>
        <v/>
      </c>
      <c r="D36" s="706">
        <f>SUM(D34:D35)</f>
        <v>0</v>
      </c>
      <c r="E36" s="707" t="str">
        <f t="shared" si="5"/>
        <v/>
      </c>
      <c r="F36" s="706">
        <f>SUM(F34:F35)</f>
        <v>0</v>
      </c>
      <c r="G36" s="707" t="str">
        <f t="shared" si="6"/>
        <v/>
      </c>
      <c r="H36" s="706">
        <f>SUM(H34:H35)</f>
        <v>0</v>
      </c>
    </row>
    <row r="37" spans="1:10">
      <c r="A37" s="648" t="s">
        <v>27</v>
      </c>
      <c r="B37" s="761">
        <f>'Ratios Sheet1'!B37+'Ratios Sheet2'!B37+'Ratios Sheet3'!B37+'Ratios Sheet4'!B37</f>
        <v>0</v>
      </c>
      <c r="C37" s="681" t="str">
        <f t="shared" si="4"/>
        <v/>
      </c>
      <c r="D37" s="761">
        <f>'Ratios Sheet1'!D37+'Ratios Sheet2'!D37+'Ratios Sheet3'!D37+'Ratios Sheet4'!D37</f>
        <v>0</v>
      </c>
      <c r="E37" s="681" t="str">
        <f t="shared" si="5"/>
        <v/>
      </c>
      <c r="F37" s="761">
        <f>'Ratios Sheet1'!F37+'Ratios Sheet2'!F37+'Ratios Sheet3'!F37+'Ratios Sheet4'!F37</f>
        <v>0</v>
      </c>
      <c r="G37" s="681" t="str">
        <f t="shared" si="6"/>
        <v/>
      </c>
      <c r="H37" s="761">
        <f>'Ratios Sheet1'!H37+'Ratios Sheet2'!H37+'Ratios Sheet3'!H37+'Ratios Sheet4'!H37</f>
        <v>0</v>
      </c>
    </row>
    <row r="38" spans="1:10">
      <c r="A38" s="649" t="s">
        <v>28</v>
      </c>
      <c r="B38" s="706">
        <f>B34+B35+B43-B62-B64-B52</f>
        <v>0</v>
      </c>
      <c r="C38" s="707" t="str">
        <f t="shared" si="4"/>
        <v/>
      </c>
      <c r="D38" s="706">
        <f>D34+D35+D43-D62-D64-D52</f>
        <v>0</v>
      </c>
      <c r="E38" s="707" t="str">
        <f t="shared" si="5"/>
        <v/>
      </c>
      <c r="F38" s="706">
        <f>F34+F35+F43-F62-F64-F52</f>
        <v>0</v>
      </c>
      <c r="G38" s="707" t="str">
        <f t="shared" si="6"/>
        <v/>
      </c>
      <c r="H38" s="706">
        <f>H34+H35+H43-H62-H64-H52</f>
        <v>0</v>
      </c>
    </row>
    <row r="39" spans="1:10">
      <c r="A39" s="648" t="s">
        <v>29</v>
      </c>
      <c r="B39" s="761">
        <f>'Ratios Sheet1'!B39+'Ratios Sheet2'!B39+'Ratios Sheet3'!B39+'Ratios Sheet4'!B39</f>
        <v>0</v>
      </c>
      <c r="C39" s="681" t="str">
        <f t="shared" si="4"/>
        <v/>
      </c>
      <c r="D39" s="761">
        <f>'Ratios Sheet1'!D39+'Ratios Sheet2'!D39+'Ratios Sheet3'!D39+'Ratios Sheet4'!D39</f>
        <v>0</v>
      </c>
      <c r="E39" s="681" t="str">
        <f t="shared" si="5"/>
        <v/>
      </c>
      <c r="F39" s="761">
        <f>'Ratios Sheet1'!F39+'Ratios Sheet2'!F39+'Ratios Sheet3'!F39+'Ratios Sheet4'!F39</f>
        <v>0</v>
      </c>
      <c r="G39" s="681" t="str">
        <f t="shared" si="6"/>
        <v/>
      </c>
      <c r="H39" s="761">
        <f>'Ratios Sheet1'!H39+'Ratios Sheet2'!H39+'Ratios Sheet3'!H39+'Ratios Sheet4'!H39</f>
        <v>0</v>
      </c>
    </row>
    <row r="40" spans="1:10" ht="31.5">
      <c r="A40" s="648" t="s">
        <v>30</v>
      </c>
      <c r="B40" s="761">
        <f>'Ratios Sheet1'!B40+'Ratios Sheet2'!B40+'Ratios Sheet3'!B40+'Ratios Sheet4'!B40</f>
        <v>0</v>
      </c>
      <c r="C40" s="681" t="str">
        <f t="shared" si="4"/>
        <v/>
      </c>
      <c r="D40" s="761">
        <f>'Ratios Sheet1'!D40+'Ratios Sheet2'!D40+'Ratios Sheet3'!D40+'Ratios Sheet4'!D40</f>
        <v>0</v>
      </c>
      <c r="E40" s="681" t="str">
        <f t="shared" si="5"/>
        <v/>
      </c>
      <c r="F40" s="761">
        <f>'Ratios Sheet1'!F40+'Ratios Sheet2'!F40+'Ratios Sheet3'!F40+'Ratios Sheet4'!F40</f>
        <v>0</v>
      </c>
      <c r="G40" s="681" t="str">
        <f t="shared" si="6"/>
        <v/>
      </c>
      <c r="H40" s="761">
        <f>'Ratios Sheet1'!H40+'Ratios Sheet2'!H40+'Ratios Sheet3'!H40+'Ratios Sheet4'!H40</f>
        <v>0</v>
      </c>
      <c r="J40" s="708"/>
    </row>
    <row r="41" spans="1:10" ht="31.5">
      <c r="A41" s="650" t="s">
        <v>31</v>
      </c>
      <c r="B41" s="709">
        <f>B39+B40</f>
        <v>0</v>
      </c>
      <c r="C41" s="710" t="str">
        <f t="shared" si="4"/>
        <v/>
      </c>
      <c r="D41" s="709">
        <f>D39+D40</f>
        <v>0</v>
      </c>
      <c r="E41" s="710" t="str">
        <f t="shared" si="5"/>
        <v/>
      </c>
      <c r="F41" s="709">
        <f>F39+F40</f>
        <v>0</v>
      </c>
      <c r="G41" s="710" t="str">
        <f t="shared" si="6"/>
        <v/>
      </c>
      <c r="H41" s="709">
        <f>H39+H40</f>
        <v>0</v>
      </c>
      <c r="J41" s="708"/>
    </row>
    <row r="42" spans="1:10">
      <c r="A42" s="648" t="s">
        <v>32</v>
      </c>
      <c r="B42" s="761">
        <f>'Ratios Sheet1'!B42+'Ratios Sheet2'!B42+'Ratios Sheet3'!B42+'Ratios Sheet4'!B42</f>
        <v>0</v>
      </c>
      <c r="C42" s="681" t="str">
        <f t="shared" si="4"/>
        <v/>
      </c>
      <c r="D42" s="761">
        <f>'Ratios Sheet1'!D42+'Ratios Sheet2'!D42+'Ratios Sheet3'!D42+'Ratios Sheet4'!D42</f>
        <v>0</v>
      </c>
      <c r="E42" s="681" t="str">
        <f t="shared" si="5"/>
        <v/>
      </c>
      <c r="F42" s="761">
        <f>'Ratios Sheet1'!F42+'Ratios Sheet2'!F42+'Ratios Sheet3'!F42+'Ratios Sheet4'!F42</f>
        <v>0</v>
      </c>
      <c r="G42" s="681" t="str">
        <f t="shared" si="6"/>
        <v/>
      </c>
      <c r="H42" s="761">
        <f>'Ratios Sheet1'!H42+'Ratios Sheet2'!H42+'Ratios Sheet3'!H42+'Ratios Sheet4'!H42</f>
        <v>0</v>
      </c>
    </row>
    <row r="43" spans="1:10" ht="31.5">
      <c r="A43" s="651" t="s">
        <v>33</v>
      </c>
      <c r="B43" s="761">
        <f>'Ratios Sheet1'!B43+'Ratios Sheet2'!B43+'Ratios Sheet3'!B43+'Ratios Sheet4'!B43</f>
        <v>0</v>
      </c>
      <c r="C43" s="681" t="str">
        <f t="shared" si="4"/>
        <v/>
      </c>
      <c r="D43" s="761">
        <f>'Ratios Sheet1'!D43+'Ratios Sheet2'!D43+'Ratios Sheet3'!D43+'Ratios Sheet4'!D43</f>
        <v>0</v>
      </c>
      <c r="E43" s="681" t="str">
        <f t="shared" si="5"/>
        <v/>
      </c>
      <c r="F43" s="761">
        <f>'Ratios Sheet1'!F43+'Ratios Sheet2'!F43+'Ratios Sheet3'!F43+'Ratios Sheet4'!F43</f>
        <v>0</v>
      </c>
      <c r="G43" s="681" t="str">
        <f t="shared" si="6"/>
        <v/>
      </c>
      <c r="H43" s="761">
        <f>'Ratios Sheet1'!H43+'Ratios Sheet2'!H43+'Ratios Sheet3'!H43+'Ratios Sheet4'!H43</f>
        <v>0</v>
      </c>
    </row>
    <row r="44" spans="1:10">
      <c r="A44" s="652" t="s">
        <v>34</v>
      </c>
      <c r="B44" s="711">
        <f>B45+B46</f>
        <v>0</v>
      </c>
      <c r="C44" s="712" t="str">
        <f t="shared" si="4"/>
        <v/>
      </c>
      <c r="D44" s="711">
        <f>D45+D46</f>
        <v>0</v>
      </c>
      <c r="E44" s="712" t="str">
        <f t="shared" si="5"/>
        <v/>
      </c>
      <c r="F44" s="711">
        <f>F45+F46</f>
        <v>0</v>
      </c>
      <c r="G44" s="712" t="str">
        <f t="shared" si="6"/>
        <v/>
      </c>
      <c r="H44" s="711">
        <f>H45+H46</f>
        <v>0</v>
      </c>
    </row>
    <row r="45" spans="1:10">
      <c r="A45" s="653" t="s">
        <v>35</v>
      </c>
      <c r="B45" s="761">
        <f>'Ratios Sheet1'!B45+'Ratios Sheet2'!B45+'Ratios Sheet3'!B45+'Ratios Sheet4'!B45</f>
        <v>0</v>
      </c>
      <c r="C45" s="681" t="str">
        <f t="shared" si="4"/>
        <v/>
      </c>
      <c r="D45" s="761">
        <f>'Ratios Sheet1'!D45+'Ratios Sheet2'!D45+'Ratios Sheet3'!D45+'Ratios Sheet4'!D45</f>
        <v>0</v>
      </c>
      <c r="E45" s="681" t="str">
        <f t="shared" si="5"/>
        <v/>
      </c>
      <c r="F45" s="761">
        <f>'Ratios Sheet1'!F45+'Ratios Sheet2'!F45+'Ratios Sheet3'!F45+'Ratios Sheet4'!F45</f>
        <v>0</v>
      </c>
      <c r="G45" s="681" t="str">
        <f t="shared" si="6"/>
        <v/>
      </c>
      <c r="H45" s="761">
        <f>'Ratios Sheet1'!H45+'Ratios Sheet2'!H45+'Ratios Sheet3'!H45+'Ratios Sheet4'!H45</f>
        <v>0</v>
      </c>
    </row>
    <row r="46" spans="1:10">
      <c r="A46" s="648" t="s">
        <v>36</v>
      </c>
      <c r="B46" s="761">
        <f>'Ratios Sheet1'!B46+'Ratios Sheet2'!B46+'Ratios Sheet3'!B46+'Ratios Sheet4'!B46</f>
        <v>0</v>
      </c>
      <c r="C46" s="681" t="str">
        <f t="shared" si="4"/>
        <v/>
      </c>
      <c r="D46" s="761">
        <f>'Ratios Sheet1'!D46+'Ratios Sheet2'!D46+'Ratios Sheet3'!D46+'Ratios Sheet4'!D46</f>
        <v>0</v>
      </c>
      <c r="E46" s="681" t="str">
        <f t="shared" si="5"/>
        <v/>
      </c>
      <c r="F46" s="761">
        <f>'Ratios Sheet1'!F46+'Ratios Sheet2'!F46+'Ratios Sheet3'!F46+'Ratios Sheet4'!F46</f>
        <v>0</v>
      </c>
      <c r="G46" s="681" t="str">
        <f t="shared" si="6"/>
        <v/>
      </c>
      <c r="H46" s="761">
        <f>'Ratios Sheet1'!H46+'Ratios Sheet2'!H46+'Ratios Sheet3'!H46+'Ratios Sheet4'!H46</f>
        <v>0</v>
      </c>
    </row>
    <row r="47" spans="1:10">
      <c r="A47" s="654" t="s">
        <v>37</v>
      </c>
      <c r="B47" s="713">
        <f>B41+B42+B44</f>
        <v>0</v>
      </c>
      <c r="C47" s="710" t="str">
        <f t="shared" si="4"/>
        <v/>
      </c>
      <c r="D47" s="713">
        <f>D41+D42+D44</f>
        <v>0</v>
      </c>
      <c r="E47" s="710" t="str">
        <f t="shared" si="5"/>
        <v/>
      </c>
      <c r="F47" s="713">
        <f>F41+F42+F44</f>
        <v>0</v>
      </c>
      <c r="G47" s="710" t="str">
        <f t="shared" si="6"/>
        <v/>
      </c>
      <c r="H47" s="713">
        <f>H41+H42+H44</f>
        <v>0</v>
      </c>
    </row>
    <row r="48" spans="1:10">
      <c r="A48" s="655" t="s">
        <v>38</v>
      </c>
      <c r="B48" s="714">
        <f>B36+B37+B41+B42+B43+B44</f>
        <v>0</v>
      </c>
      <c r="C48" s="715" t="str">
        <f t="shared" si="4"/>
        <v/>
      </c>
      <c r="D48" s="714">
        <f>D36+D37+D41+D42+D43+D44</f>
        <v>0</v>
      </c>
      <c r="E48" s="715" t="str">
        <f t="shared" si="5"/>
        <v/>
      </c>
      <c r="F48" s="714">
        <f>F36+F37+F41+F42+F43+F44</f>
        <v>0</v>
      </c>
      <c r="G48" s="715" t="str">
        <f t="shared" si="6"/>
        <v/>
      </c>
      <c r="H48" s="714">
        <f>H36+H37+H41+H42+H43+H44</f>
        <v>0</v>
      </c>
    </row>
    <row r="49" spans="1:8">
      <c r="A49" s="651" t="s">
        <v>39</v>
      </c>
      <c r="B49" s="761">
        <f>'Ratios Sheet1'!B49+'Ratios Sheet2'!B49+'Ratios Sheet3'!B49+'Ratios Sheet4'!B49</f>
        <v>0</v>
      </c>
      <c r="C49" s="681" t="str">
        <f t="shared" si="4"/>
        <v/>
      </c>
      <c r="D49" s="761">
        <f>'Ratios Sheet1'!D49+'Ratios Sheet2'!D49+'Ratios Sheet3'!D49+'Ratios Sheet4'!D49</f>
        <v>0</v>
      </c>
      <c r="E49" s="681" t="str">
        <f t="shared" si="5"/>
        <v/>
      </c>
      <c r="F49" s="761">
        <f>'Ratios Sheet1'!F49+'Ratios Sheet2'!F49+'Ratios Sheet3'!F49+'Ratios Sheet4'!F49</f>
        <v>0</v>
      </c>
      <c r="G49" s="681" t="str">
        <f t="shared" si="6"/>
        <v/>
      </c>
      <c r="H49" s="761">
        <f>'Ratios Sheet1'!H49+'Ratios Sheet2'!H49+'Ratios Sheet3'!H49+'Ratios Sheet4'!H49</f>
        <v>0</v>
      </c>
    </row>
    <row r="50" spans="1:8">
      <c r="A50" s="656" t="s">
        <v>40</v>
      </c>
      <c r="B50" s="713">
        <f>B51+B53+B52</f>
        <v>0</v>
      </c>
      <c r="C50" s="710" t="str">
        <f t="shared" si="4"/>
        <v/>
      </c>
      <c r="D50" s="713">
        <f>D51+D53+D52</f>
        <v>0</v>
      </c>
      <c r="E50" s="710" t="str">
        <f t="shared" si="5"/>
        <v/>
      </c>
      <c r="F50" s="713">
        <f>F51+F53+F52</f>
        <v>0</v>
      </c>
      <c r="G50" s="710" t="str">
        <f t="shared" si="6"/>
        <v/>
      </c>
      <c r="H50" s="713">
        <f>H51+H53+H52</f>
        <v>0</v>
      </c>
    </row>
    <row r="51" spans="1:8">
      <c r="A51" s="657" t="s">
        <v>41</v>
      </c>
      <c r="B51" s="761">
        <f>'Ratios Sheet1'!B51+'Ratios Sheet2'!B51+'Ratios Sheet3'!B51+'Ratios Sheet4'!B51</f>
        <v>0</v>
      </c>
      <c r="C51" s="681" t="str">
        <f t="shared" si="4"/>
        <v/>
      </c>
      <c r="D51" s="761">
        <f>'Ratios Sheet1'!D51+'Ratios Sheet2'!D51+'Ratios Sheet3'!D51+'Ratios Sheet4'!D51</f>
        <v>0</v>
      </c>
      <c r="E51" s="681" t="str">
        <f t="shared" si="5"/>
        <v/>
      </c>
      <c r="F51" s="761">
        <f>'Ratios Sheet1'!F51+'Ratios Sheet2'!F51+'Ratios Sheet3'!F51+'Ratios Sheet4'!F51</f>
        <v>0</v>
      </c>
      <c r="G51" s="681" t="str">
        <f t="shared" si="6"/>
        <v/>
      </c>
      <c r="H51" s="761">
        <f>'Ratios Sheet1'!H51+'Ratios Sheet2'!H51+'Ratios Sheet3'!H51+'Ratios Sheet4'!H51</f>
        <v>0</v>
      </c>
    </row>
    <row r="52" spans="1:8">
      <c r="A52" s="657" t="s">
        <v>42</v>
      </c>
      <c r="B52" s="761">
        <f>'Ratios Sheet1'!B52+'Ratios Sheet2'!B52+'Ratios Sheet3'!B52+'Ratios Sheet4'!B52</f>
        <v>0</v>
      </c>
      <c r="C52" s="681" t="str">
        <f t="shared" si="4"/>
        <v/>
      </c>
      <c r="D52" s="761">
        <f>'Ratios Sheet1'!D52+'Ratios Sheet2'!D52+'Ratios Sheet3'!D52+'Ratios Sheet4'!D52</f>
        <v>0</v>
      </c>
      <c r="E52" s="681" t="str">
        <f t="shared" si="5"/>
        <v/>
      </c>
      <c r="F52" s="761">
        <f>'Ratios Sheet1'!F52+'Ratios Sheet2'!F52+'Ratios Sheet3'!F52+'Ratios Sheet4'!F52</f>
        <v>0</v>
      </c>
      <c r="G52" s="681" t="str">
        <f t="shared" si="6"/>
        <v/>
      </c>
      <c r="H52" s="761">
        <f>'Ratios Sheet1'!H52+'Ratios Sheet2'!H52+'Ratios Sheet3'!H52+'Ratios Sheet4'!H52</f>
        <v>0</v>
      </c>
    </row>
    <row r="53" spans="1:8">
      <c r="A53" s="657" t="s">
        <v>43</v>
      </c>
      <c r="B53" s="761">
        <f>'Ratios Sheet1'!B53+'Ratios Sheet2'!B53+'Ratios Sheet3'!B53+'Ratios Sheet4'!B53</f>
        <v>0</v>
      </c>
      <c r="C53" s="681" t="str">
        <f t="shared" si="4"/>
        <v/>
      </c>
      <c r="D53" s="761">
        <f>'Ratios Sheet1'!D53+'Ratios Sheet2'!D53+'Ratios Sheet3'!D53+'Ratios Sheet4'!D53</f>
        <v>0</v>
      </c>
      <c r="E53" s="681" t="str">
        <f t="shared" si="5"/>
        <v/>
      </c>
      <c r="F53" s="761">
        <f>'Ratios Sheet1'!F53+'Ratios Sheet2'!F53+'Ratios Sheet3'!F53+'Ratios Sheet4'!F53</f>
        <v>0</v>
      </c>
      <c r="G53" s="681" t="str">
        <f t="shared" si="6"/>
        <v/>
      </c>
      <c r="H53" s="761">
        <f>'Ratios Sheet1'!H53+'Ratios Sheet2'!H53+'Ratios Sheet3'!H53+'Ratios Sheet4'!H53</f>
        <v>0</v>
      </c>
    </row>
    <row r="54" spans="1:8">
      <c r="A54" s="658" t="s">
        <v>44</v>
      </c>
      <c r="B54" s="711">
        <f>B56+B57+B60+B61+B55</f>
        <v>0</v>
      </c>
      <c r="C54" s="712" t="str">
        <f t="shared" si="4"/>
        <v/>
      </c>
      <c r="D54" s="711">
        <f>D56+D57+D60+D61+D55</f>
        <v>0</v>
      </c>
      <c r="E54" s="712" t="str">
        <f t="shared" si="5"/>
        <v/>
      </c>
      <c r="F54" s="711">
        <f>F56+F57+F60+F61+F55</f>
        <v>0</v>
      </c>
      <c r="G54" s="712" t="str">
        <f t="shared" si="6"/>
        <v/>
      </c>
      <c r="H54" s="711">
        <f>H56+H57+H60+H61+H55</f>
        <v>0</v>
      </c>
    </row>
    <row r="55" spans="1:8">
      <c r="A55" s="659" t="s">
        <v>45</v>
      </c>
      <c r="B55" s="761">
        <f>'Ratios Sheet1'!B55+'Ratios Sheet2'!B55+'Ratios Sheet3'!B55+'Ratios Sheet4'!B55</f>
        <v>0</v>
      </c>
      <c r="C55" s="681" t="str">
        <f t="shared" si="4"/>
        <v/>
      </c>
      <c r="D55" s="761">
        <f>'Ratios Sheet1'!D55+'Ratios Sheet2'!D55+'Ratios Sheet3'!D55+'Ratios Sheet4'!D55</f>
        <v>0</v>
      </c>
      <c r="E55" s="681" t="str">
        <f t="shared" si="5"/>
        <v/>
      </c>
      <c r="F55" s="761">
        <f>'Ratios Sheet1'!F55+'Ratios Sheet2'!F55+'Ratios Sheet3'!F55+'Ratios Sheet4'!F55</f>
        <v>0</v>
      </c>
      <c r="G55" s="681" t="str">
        <f t="shared" si="6"/>
        <v/>
      </c>
      <c r="H55" s="761">
        <f>'Ratios Sheet1'!H55+'Ratios Sheet2'!H55+'Ratios Sheet3'!H55+'Ratios Sheet4'!H55</f>
        <v>0</v>
      </c>
    </row>
    <row r="56" spans="1:8">
      <c r="A56" s="651" t="s">
        <v>46</v>
      </c>
      <c r="B56" s="761">
        <f>'Ratios Sheet1'!B56+'Ratios Sheet2'!B56+'Ratios Sheet3'!B56+'Ratios Sheet4'!B56</f>
        <v>0</v>
      </c>
      <c r="C56" s="681" t="str">
        <f t="shared" si="4"/>
        <v/>
      </c>
      <c r="D56" s="761">
        <f>'Ratios Sheet1'!D56+'Ratios Sheet2'!D56+'Ratios Sheet3'!D56+'Ratios Sheet4'!D56</f>
        <v>0</v>
      </c>
      <c r="E56" s="681" t="str">
        <f t="shared" si="5"/>
        <v/>
      </c>
      <c r="F56" s="761">
        <f>'Ratios Sheet1'!F56+'Ratios Sheet2'!F56+'Ratios Sheet3'!F56+'Ratios Sheet4'!F56</f>
        <v>0</v>
      </c>
      <c r="G56" s="681" t="str">
        <f t="shared" si="6"/>
        <v/>
      </c>
      <c r="H56" s="761">
        <f>'Ratios Sheet1'!H56+'Ratios Sheet2'!H56+'Ratios Sheet3'!H56+'Ratios Sheet4'!H56</f>
        <v>0</v>
      </c>
    </row>
    <row r="57" spans="1:8">
      <c r="A57" s="660" t="s">
        <v>47</v>
      </c>
      <c r="B57" s="716">
        <f>B58+B59</f>
        <v>0</v>
      </c>
      <c r="C57" s="710" t="str">
        <f t="shared" si="4"/>
        <v/>
      </c>
      <c r="D57" s="716">
        <f>D58+D59</f>
        <v>0</v>
      </c>
      <c r="E57" s="710" t="str">
        <f t="shared" si="5"/>
        <v/>
      </c>
      <c r="F57" s="716">
        <f>F58+F59</f>
        <v>0</v>
      </c>
      <c r="G57" s="710" t="str">
        <f t="shared" si="6"/>
        <v/>
      </c>
      <c r="H57" s="716">
        <f>H58+H59</f>
        <v>0</v>
      </c>
    </row>
    <row r="58" spans="1:8">
      <c r="A58" s="651" t="s">
        <v>48</v>
      </c>
      <c r="B58" s="761">
        <f>'Ratios Sheet1'!B58+'Ratios Sheet2'!B58+'Ratios Sheet3'!B58+'Ratios Sheet4'!B58</f>
        <v>0</v>
      </c>
      <c r="C58" s="681" t="str">
        <f t="shared" si="4"/>
        <v/>
      </c>
      <c r="D58" s="761">
        <f>'Ratios Sheet1'!D58+'Ratios Sheet2'!D58+'Ratios Sheet3'!D58+'Ratios Sheet4'!D58</f>
        <v>0</v>
      </c>
      <c r="E58" s="681" t="str">
        <f t="shared" si="5"/>
        <v/>
      </c>
      <c r="F58" s="761">
        <f>'Ratios Sheet1'!F58+'Ratios Sheet2'!F58+'Ratios Sheet3'!F58+'Ratios Sheet4'!F58</f>
        <v>0</v>
      </c>
      <c r="G58" s="681" t="str">
        <f t="shared" si="6"/>
        <v/>
      </c>
      <c r="H58" s="761">
        <f>'Ratios Sheet1'!H58+'Ratios Sheet2'!H58+'Ratios Sheet3'!H58+'Ratios Sheet4'!H58</f>
        <v>0</v>
      </c>
    </row>
    <row r="59" spans="1:8">
      <c r="A59" s="651" t="s">
        <v>49</v>
      </c>
      <c r="B59" s="761">
        <f>'Ratios Sheet1'!B59+'Ratios Sheet2'!B59+'Ratios Sheet3'!B59+'Ratios Sheet4'!B59</f>
        <v>0</v>
      </c>
      <c r="C59" s="681" t="str">
        <f t="shared" si="4"/>
        <v/>
      </c>
      <c r="D59" s="761">
        <f>'Ratios Sheet1'!D59+'Ratios Sheet2'!D59+'Ratios Sheet3'!D59+'Ratios Sheet4'!D59</f>
        <v>0</v>
      </c>
      <c r="E59" s="681" t="str">
        <f t="shared" si="5"/>
        <v/>
      </c>
      <c r="F59" s="761">
        <f>'Ratios Sheet1'!F59+'Ratios Sheet2'!F59+'Ratios Sheet3'!F59+'Ratios Sheet4'!F59</f>
        <v>0</v>
      </c>
      <c r="G59" s="681" t="str">
        <f t="shared" si="6"/>
        <v/>
      </c>
      <c r="H59" s="761">
        <f>'Ratios Sheet1'!H59+'Ratios Sheet2'!H59+'Ratios Sheet3'!H59+'Ratios Sheet4'!H59</f>
        <v>0</v>
      </c>
    </row>
    <row r="60" spans="1:8">
      <c r="A60" s="651" t="s">
        <v>50</v>
      </c>
      <c r="B60" s="761">
        <f>'Ratios Sheet1'!B60+'Ratios Sheet2'!B60+'Ratios Sheet3'!B60+'Ratios Sheet4'!B60</f>
        <v>0</v>
      </c>
      <c r="C60" s="681" t="str">
        <f t="shared" si="4"/>
        <v/>
      </c>
      <c r="D60" s="761">
        <f>'Ratios Sheet1'!D60+'Ratios Sheet2'!D60+'Ratios Sheet3'!D60+'Ratios Sheet4'!D60</f>
        <v>0</v>
      </c>
      <c r="E60" s="681" t="str">
        <f t="shared" si="5"/>
        <v/>
      </c>
      <c r="F60" s="761">
        <f>'Ratios Sheet1'!F60+'Ratios Sheet2'!F60+'Ratios Sheet3'!F60+'Ratios Sheet4'!F60</f>
        <v>0</v>
      </c>
      <c r="G60" s="681" t="str">
        <f t="shared" si="6"/>
        <v/>
      </c>
      <c r="H60" s="761">
        <f>'Ratios Sheet1'!H60+'Ratios Sheet2'!H60+'Ratios Sheet3'!H60+'Ratios Sheet4'!H60</f>
        <v>0</v>
      </c>
    </row>
    <row r="61" spans="1:8">
      <c r="A61" s="661" t="s">
        <v>51</v>
      </c>
      <c r="B61" s="717">
        <f>B62+B63</f>
        <v>0</v>
      </c>
      <c r="C61" s="710" t="str">
        <f t="shared" si="4"/>
        <v/>
      </c>
      <c r="D61" s="717">
        <f>D62+D63</f>
        <v>0</v>
      </c>
      <c r="E61" s="710" t="str">
        <f t="shared" si="5"/>
        <v/>
      </c>
      <c r="F61" s="717">
        <f>F62+F63</f>
        <v>0</v>
      </c>
      <c r="G61" s="710" t="str">
        <f t="shared" si="6"/>
        <v/>
      </c>
      <c r="H61" s="717">
        <f>H62+H63</f>
        <v>0</v>
      </c>
    </row>
    <row r="62" spans="1:8" ht="31.5">
      <c r="A62" s="648" t="s">
        <v>52</v>
      </c>
      <c r="B62" s="761">
        <f>'Ratios Sheet1'!B62+'Ratios Sheet2'!B62+'Ratios Sheet3'!B62+'Ratios Sheet4'!B62</f>
        <v>0</v>
      </c>
      <c r="C62" s="681" t="str">
        <f t="shared" si="4"/>
        <v/>
      </c>
      <c r="D62" s="761">
        <f>'Ratios Sheet1'!D62+'Ratios Sheet2'!D62+'Ratios Sheet3'!D62+'Ratios Sheet4'!D62</f>
        <v>0</v>
      </c>
      <c r="E62" s="681" t="str">
        <f t="shared" si="5"/>
        <v/>
      </c>
      <c r="F62" s="761">
        <f>'Ratios Sheet1'!F62+'Ratios Sheet2'!F62+'Ratios Sheet3'!F62+'Ratios Sheet4'!F62</f>
        <v>0</v>
      </c>
      <c r="G62" s="681" t="str">
        <f t="shared" si="6"/>
        <v/>
      </c>
      <c r="H62" s="761">
        <f>'Ratios Sheet1'!H62+'Ratios Sheet2'!H62+'Ratios Sheet3'!H62+'Ratios Sheet4'!H62</f>
        <v>0</v>
      </c>
    </row>
    <row r="63" spans="1:8">
      <c r="A63" s="648" t="s">
        <v>53</v>
      </c>
      <c r="B63" s="761">
        <f>'Ratios Sheet1'!B63+'Ratios Sheet2'!B63+'Ratios Sheet3'!B63+'Ratios Sheet4'!B63</f>
        <v>0</v>
      </c>
      <c r="C63" s="681" t="str">
        <f t="shared" si="4"/>
        <v/>
      </c>
      <c r="D63" s="761">
        <f>'Ratios Sheet1'!D63+'Ratios Sheet2'!D63+'Ratios Sheet3'!D63+'Ratios Sheet4'!D63</f>
        <v>0</v>
      </c>
      <c r="E63" s="681" t="str">
        <f t="shared" si="5"/>
        <v/>
      </c>
      <c r="F63" s="761">
        <f>'Ratios Sheet1'!F63+'Ratios Sheet2'!F63+'Ratios Sheet3'!F63+'Ratios Sheet4'!F63</f>
        <v>0</v>
      </c>
      <c r="G63" s="681" t="str">
        <f t="shared" si="6"/>
        <v/>
      </c>
      <c r="H63" s="761">
        <f>'Ratios Sheet1'!H63+'Ratios Sheet2'!H63+'Ratios Sheet3'!H63+'Ratios Sheet4'!H63</f>
        <v>0</v>
      </c>
    </row>
    <row r="64" spans="1:8" ht="31.5">
      <c r="A64" s="648" t="s">
        <v>54</v>
      </c>
      <c r="B64" s="761">
        <f>'Ratios Sheet1'!B64+'Ratios Sheet2'!B64+'Ratios Sheet3'!B64+'Ratios Sheet4'!B64</f>
        <v>0</v>
      </c>
      <c r="C64" s="681" t="str">
        <f t="shared" si="4"/>
        <v/>
      </c>
      <c r="D64" s="761">
        <f>'Ratios Sheet1'!D64+'Ratios Sheet2'!D64+'Ratios Sheet3'!D64+'Ratios Sheet4'!D64</f>
        <v>0</v>
      </c>
      <c r="E64" s="681" t="str">
        <f t="shared" si="5"/>
        <v/>
      </c>
      <c r="F64" s="761">
        <f>'Ratios Sheet1'!F64+'Ratios Sheet2'!F64+'Ratios Sheet3'!F64+'Ratios Sheet4'!F64</f>
        <v>0</v>
      </c>
      <c r="G64" s="681" t="str">
        <f t="shared" si="6"/>
        <v/>
      </c>
      <c r="H64" s="761">
        <f>'Ratios Sheet1'!H64+'Ratios Sheet2'!H64+'Ratios Sheet3'!H64+'Ratios Sheet4'!H64</f>
        <v>0</v>
      </c>
    </row>
    <row r="65" spans="1:9">
      <c r="A65" s="655" t="s">
        <v>38</v>
      </c>
      <c r="B65" s="718">
        <f>B49+B50+B54+B64</f>
        <v>0</v>
      </c>
      <c r="C65" s="715" t="str">
        <f t="shared" si="4"/>
        <v/>
      </c>
      <c r="D65" s="718">
        <f>D49+D50+D54+D64</f>
        <v>0</v>
      </c>
      <c r="E65" s="715" t="str">
        <f t="shared" si="5"/>
        <v/>
      </c>
      <c r="F65" s="718">
        <f>F49+F50+F54+F64</f>
        <v>0</v>
      </c>
      <c r="G65" s="715" t="str">
        <f t="shared" si="6"/>
        <v/>
      </c>
      <c r="H65" s="718">
        <f>H49+H50+H54+H64</f>
        <v>0</v>
      </c>
      <c r="I65" s="704"/>
    </row>
    <row r="66" spans="1:9">
      <c r="A66" s="662"/>
      <c r="B66" s="719">
        <f>+B48-B65</f>
        <v>0</v>
      </c>
      <c r="C66" s="719"/>
      <c r="D66" s="719">
        <f>+D48-D65</f>
        <v>0</v>
      </c>
      <c r="E66" s="719"/>
      <c r="F66" s="719">
        <f>+F48-F65</f>
        <v>0</v>
      </c>
      <c r="G66" s="719"/>
      <c r="H66" s="719">
        <f>+H48-H65</f>
        <v>0</v>
      </c>
    </row>
    <row r="67" spans="1:9" ht="12.75">
      <c r="A67" s="1161" t="s">
        <v>55</v>
      </c>
      <c r="B67" s="1161"/>
      <c r="C67" s="1161"/>
      <c r="D67" s="1161"/>
      <c r="E67" s="1161"/>
      <c r="F67" s="1161"/>
      <c r="G67" s="1161"/>
      <c r="H67" s="1161"/>
    </row>
    <row r="68" spans="1:9" ht="12.75">
      <c r="A68" s="1161"/>
      <c r="B68" s="1161"/>
      <c r="C68" s="1161"/>
      <c r="D68" s="1161"/>
      <c r="E68" s="1161"/>
      <c r="F68" s="1161"/>
      <c r="G68" s="1161"/>
      <c r="H68" s="1161"/>
    </row>
    <row r="69" spans="1:9">
      <c r="A69" s="663" t="s">
        <v>56</v>
      </c>
      <c r="B69" s="720" t="str">
        <f>IFERROR(B57/B5*365,"")</f>
        <v/>
      </c>
      <c r="C69" s="721"/>
      <c r="D69" s="720" t="str">
        <f>IFERROR(D57/D5*365,"")</f>
        <v/>
      </c>
      <c r="E69" s="721"/>
      <c r="F69" s="720" t="str">
        <f>IFERROR(F57/F5*365,"")</f>
        <v/>
      </c>
      <c r="G69" s="721"/>
      <c r="H69" s="720" t="str">
        <f>IFERROR(H57/H5*365,"")</f>
        <v/>
      </c>
    </row>
    <row r="70" spans="1:9">
      <c r="A70" s="663" t="s">
        <v>57</v>
      </c>
      <c r="B70" s="720" t="str">
        <f>IFERROR(B56/(B10+B11+B12)*365,"")</f>
        <v/>
      </c>
      <c r="C70" s="721"/>
      <c r="D70" s="720" t="str">
        <f>IFERROR(D56/(D10+D11+D12)*365,"")</f>
        <v/>
      </c>
      <c r="E70" s="721"/>
      <c r="F70" s="720" t="str">
        <f>IFERROR(F56/(F10+F11+F12)*365,"")</f>
        <v/>
      </c>
      <c r="G70" s="721"/>
      <c r="H70" s="720" t="str">
        <f>IFERROR(H56/(H10+H11+H12)*365,"")</f>
        <v/>
      </c>
    </row>
    <row r="71" spans="1:9">
      <c r="A71" s="663" t="s">
        <v>58</v>
      </c>
      <c r="B71" s="720" t="str">
        <f>IFERROR(B56/(B11+B10+B12),"")</f>
        <v/>
      </c>
      <c r="C71" s="721"/>
      <c r="D71" s="720" t="str">
        <f>IFERROR(D56/(D11+D10+D12),"")</f>
        <v/>
      </c>
      <c r="E71" s="721"/>
      <c r="F71" s="720" t="str">
        <f>IFERROR(F56/(F11+F10+F12),"")</f>
        <v/>
      </c>
      <c r="G71" s="721"/>
      <c r="H71" s="720" t="str">
        <f>IFERROR(H56/(H11+H10+H12),"")</f>
        <v/>
      </c>
    </row>
    <row r="72" spans="1:9">
      <c r="A72" s="663" t="s">
        <v>59</v>
      </c>
      <c r="B72" s="720" t="str">
        <f>IFERROR(B54/(B44+B40),"")</f>
        <v/>
      </c>
      <c r="C72" s="721"/>
      <c r="D72" s="720" t="str">
        <f>IFERROR(D54/(D44+D40),"")</f>
        <v/>
      </c>
      <c r="E72" s="721"/>
      <c r="F72" s="720" t="str">
        <f>IFERROR(F54/(F44+F40),"")</f>
        <v/>
      </c>
      <c r="G72" s="721"/>
      <c r="H72" s="720" t="str">
        <f>IFERROR(H54/(H44+H40),"")</f>
        <v/>
      </c>
    </row>
    <row r="73" spans="1:9">
      <c r="A73" s="663" t="s">
        <v>60</v>
      </c>
      <c r="B73" s="720" t="str">
        <f>IFERROR((B54-B56)/(B44+B40),"")</f>
        <v/>
      </c>
      <c r="C73" s="721"/>
      <c r="D73" s="720" t="str">
        <f>IFERROR((D54-D56)/(D44+D40),"")</f>
        <v/>
      </c>
      <c r="E73" s="721"/>
      <c r="F73" s="720" t="str">
        <f>IFERROR((F54-F56)/(F44+F40),"")</f>
        <v/>
      </c>
      <c r="G73" s="721"/>
      <c r="H73" s="720" t="str">
        <f>IFERROR((H54-H56)/(H44+H40),"")</f>
        <v/>
      </c>
    </row>
    <row r="74" spans="1:9">
      <c r="A74" s="663" t="s">
        <v>61</v>
      </c>
      <c r="B74" s="720" t="str">
        <f>IFERROR((B39+B40+B42)/B36,"")</f>
        <v/>
      </c>
      <c r="C74" s="721"/>
      <c r="D74" s="720" t="str">
        <f>IFERROR((D39+D40+D42)/D36,"")</f>
        <v/>
      </c>
      <c r="E74" s="721"/>
      <c r="F74" s="720" t="str">
        <f>IFERROR((F39+F40+F42)/F36,"")</f>
        <v/>
      </c>
      <c r="G74" s="721"/>
      <c r="H74" s="720" t="str">
        <f>IFERROR((H39+H40+H42)/H36,"")</f>
        <v/>
      </c>
    </row>
    <row r="75" spans="1:9">
      <c r="A75" s="663" t="s">
        <v>62</v>
      </c>
      <c r="B75" s="720" t="str">
        <f>IFERROR(B16/(B18+B19+B20+B21),"")</f>
        <v/>
      </c>
      <c r="C75" s="721"/>
      <c r="D75" s="720" t="str">
        <f>IFERROR(D16/(D18+D19+D20+D21),"")</f>
        <v/>
      </c>
      <c r="E75" s="721"/>
      <c r="F75" s="720" t="str">
        <f>IFERROR(F16/(F18+F19+F20+F21),"")</f>
        <v/>
      </c>
      <c r="G75" s="721"/>
      <c r="H75" s="720" t="str">
        <f>IFERROR(H16/(H18+H19+H20+H21),"")</f>
        <v/>
      </c>
    </row>
    <row r="76" spans="1:9">
      <c r="A76" s="663" t="s">
        <v>63</v>
      </c>
      <c r="B76" s="720" t="str">
        <f>IFERROR($B$16/($B$18+$B$19+$B$20+$B$21+($B$39+$B$42)/5),"")</f>
        <v/>
      </c>
      <c r="C76" s="721"/>
      <c r="D76" s="720" t="str">
        <f>IFERROR($D$16/($D$18+$D$19+$D$20+$D$21+($D$39+$D$42)/5),"")</f>
        <v/>
      </c>
      <c r="E76" s="721"/>
      <c r="F76" s="720" t="str">
        <f>IFERROR($F$16/($F$18+$F$19+$F$20+$F$21+($F$39+$F$42)/5),"")</f>
        <v/>
      </c>
      <c r="G76" s="721"/>
      <c r="H76" s="720" t="str">
        <f>IFERROR($H$16/($H$18+$H$19+$H$20+$H$21+($H$39+$H$42)/5),"")</f>
        <v/>
      </c>
    </row>
    <row r="77" spans="1:9">
      <c r="A77" s="663" t="s">
        <v>64</v>
      </c>
      <c r="B77" s="720" t="str">
        <f>IFERROR($B$16/($B$18+$B$19+$B$20+$B$21+($B$39+$B$42)/5+Eligibility!F38),"")</f>
        <v/>
      </c>
      <c r="C77" s="721"/>
      <c r="D77" s="720" t="str">
        <f>IFERROR($D$16/($D$18+$D$19+$D$20+$D$21+($D$39+$D$42)/5),"")</f>
        <v/>
      </c>
      <c r="E77" s="721"/>
      <c r="F77" s="720" t="str">
        <f>IFERROR($F$16/($F$18+$F$19+$F$20+$F$21+($F$39+$F$42)/5),"")</f>
        <v/>
      </c>
      <c r="G77" s="721"/>
      <c r="H77" s="720" t="str">
        <f>IFERROR($H$16/($H$18+$H$19+$H$20+$H$21+($H$39+$H$42)/5),"")</f>
        <v/>
      </c>
    </row>
    <row r="78" spans="1:9">
      <c r="A78" s="663" t="s">
        <v>65</v>
      </c>
      <c r="B78" s="720" t="str">
        <f>IFERROR(B13/B5*100,"")</f>
        <v/>
      </c>
      <c r="C78" s="721"/>
      <c r="D78" s="720" t="str">
        <f>IFERROR(D13/D5*100,"")</f>
        <v/>
      </c>
      <c r="E78" s="721"/>
      <c r="F78" s="720" t="str">
        <f>IFERROR(F13/F5*100,"")</f>
        <v/>
      </c>
      <c r="G78" s="721"/>
      <c r="H78" s="720" t="str">
        <f>IFERROR(H13/H5*100,"")</f>
        <v/>
      </c>
    </row>
    <row r="79" spans="1:9">
      <c r="A79" s="663" t="s">
        <v>66</v>
      </c>
      <c r="B79" s="720" t="str">
        <f>IFERROR(B25/B5*100,"")</f>
        <v/>
      </c>
      <c r="C79" s="721"/>
      <c r="D79" s="720" t="str">
        <f>IFERROR(D25/D5*100,"")</f>
        <v/>
      </c>
      <c r="E79" s="721"/>
      <c r="F79" s="720" t="str">
        <f>IFERROR(F25/F5*100,"")</f>
        <v/>
      </c>
      <c r="G79" s="721"/>
      <c r="H79" s="720" t="str">
        <f>IFERROR(H25/H5*100,"")</f>
        <v/>
      </c>
    </row>
    <row r="80" spans="1:9">
      <c r="A80" s="663" t="s">
        <v>67</v>
      </c>
      <c r="B80" s="720" t="str">
        <f>IFERROR(B26/B5*100,"")</f>
        <v/>
      </c>
      <c r="C80" s="721"/>
      <c r="D80" s="720" t="str">
        <f>IFERROR(D26/D5*100,"")</f>
        <v/>
      </c>
      <c r="E80" s="721"/>
      <c r="F80" s="720" t="str">
        <f>IFERROR(F26/F5*100,"")</f>
        <v/>
      </c>
      <c r="G80" s="721"/>
      <c r="H80" s="720" t="str">
        <f>IFERROR(H26/H5*100,"")</f>
        <v/>
      </c>
    </row>
    <row r="81" spans="1:9">
      <c r="A81" s="663" t="s">
        <v>68</v>
      </c>
      <c r="B81" s="720" t="str">
        <f>IFERROR((B5-D5)/D5*100,"")</f>
        <v/>
      </c>
      <c r="C81" s="722"/>
      <c r="D81" s="720" t="str">
        <f>IFERROR((D5-F5)/F5*100,"")</f>
        <v/>
      </c>
      <c r="E81" s="722"/>
      <c r="F81" s="723" t="e">
        <f>#N/A</f>
        <v>#N/A</v>
      </c>
      <c r="G81" s="722"/>
      <c r="H81" s="720" t="e">
        <f>#N/A</f>
        <v>#N/A</v>
      </c>
    </row>
    <row r="82" spans="1:9">
      <c r="A82" s="663" t="s">
        <v>69</v>
      </c>
      <c r="B82" s="720" t="str">
        <f>IFERROR((B25-D25)/D25*100,"")</f>
        <v/>
      </c>
      <c r="C82" s="722"/>
      <c r="D82" s="720" t="str">
        <f>IFERROR((D25-F25)/F25*100,"")</f>
        <v/>
      </c>
      <c r="E82" s="722"/>
      <c r="F82" s="723" t="e">
        <f>#N/A</f>
        <v>#N/A</v>
      </c>
      <c r="G82" s="722"/>
      <c r="H82" s="720" t="e">
        <f>#N/A</f>
        <v>#N/A</v>
      </c>
    </row>
    <row r="83" spans="1:9">
      <c r="A83" s="663"/>
      <c r="B83" s="724"/>
      <c r="C83" s="721"/>
      <c r="D83" s="724"/>
      <c r="E83" s="721"/>
      <c r="F83" s="724"/>
      <c r="G83" s="721"/>
      <c r="H83" s="720"/>
    </row>
    <row r="84" spans="1:9">
      <c r="A84" s="664" t="s">
        <v>70</v>
      </c>
      <c r="B84" s="724"/>
      <c r="C84" s="721"/>
      <c r="D84" s="724"/>
      <c r="E84" s="721"/>
      <c r="F84" s="724"/>
      <c r="G84" s="721"/>
      <c r="H84" s="720"/>
    </row>
    <row r="85" spans="1:9">
      <c r="A85" s="664"/>
      <c r="B85" s="724"/>
      <c r="C85" s="721"/>
      <c r="D85" s="724"/>
      <c r="E85" s="721"/>
      <c r="F85" s="724"/>
      <c r="G85" s="721"/>
      <c r="H85" s="720"/>
    </row>
    <row r="86" spans="1:9">
      <c r="A86" s="663" t="s">
        <v>71</v>
      </c>
      <c r="B86" s="724">
        <f>B25</f>
        <v>0</v>
      </c>
      <c r="C86" s="721"/>
      <c r="D86" s="724">
        <f>D25</f>
        <v>0</v>
      </c>
      <c r="E86" s="721"/>
      <c r="F86" s="724">
        <f>F25</f>
        <v>0</v>
      </c>
      <c r="G86" s="721"/>
      <c r="H86" s="720">
        <f>H25</f>
        <v>0</v>
      </c>
    </row>
    <row r="87" spans="1:9">
      <c r="A87" s="663" t="s">
        <v>72</v>
      </c>
      <c r="B87" s="724"/>
      <c r="C87" s="721"/>
      <c r="D87" s="724"/>
      <c r="E87" s="721"/>
      <c r="F87" s="724"/>
      <c r="G87" s="721"/>
      <c r="H87" s="720"/>
    </row>
    <row r="88" spans="1:9">
      <c r="A88" s="663" t="s">
        <v>73</v>
      </c>
      <c r="B88" s="724">
        <f>B17</f>
        <v>0</v>
      </c>
      <c r="C88" s="721"/>
      <c r="D88" s="724">
        <f>D17</f>
        <v>0</v>
      </c>
      <c r="E88" s="721"/>
      <c r="F88" s="724">
        <f>F17</f>
        <v>0</v>
      </c>
      <c r="G88" s="721"/>
      <c r="H88" s="720">
        <f>H17</f>
        <v>0</v>
      </c>
    </row>
    <row r="89" spans="1:9">
      <c r="A89" s="663" t="s">
        <v>74</v>
      </c>
      <c r="B89" s="724">
        <f>B22</f>
        <v>0</v>
      </c>
      <c r="C89" s="721"/>
      <c r="D89" s="724">
        <f>D22</f>
        <v>0</v>
      </c>
      <c r="E89" s="721"/>
      <c r="F89" s="724">
        <f>F22</f>
        <v>0</v>
      </c>
      <c r="G89" s="721"/>
      <c r="H89" s="720">
        <f>H22</f>
        <v>0</v>
      </c>
    </row>
    <row r="90" spans="1:9">
      <c r="A90" s="663" t="s">
        <v>75</v>
      </c>
      <c r="B90" s="724">
        <f>B27</f>
        <v>0</v>
      </c>
      <c r="C90" s="721"/>
      <c r="D90" s="724">
        <f>D27</f>
        <v>0</v>
      </c>
      <c r="E90" s="721"/>
      <c r="F90" s="724">
        <f>F27</f>
        <v>0</v>
      </c>
      <c r="G90" s="721"/>
      <c r="H90" s="720">
        <f>H27</f>
        <v>0</v>
      </c>
    </row>
    <row r="91" spans="1:9">
      <c r="A91" s="663" t="s">
        <v>76</v>
      </c>
      <c r="B91" s="724">
        <f>B28</f>
        <v>0</v>
      </c>
      <c r="C91" s="721"/>
      <c r="D91" s="724">
        <f>D28</f>
        <v>0</v>
      </c>
      <c r="E91" s="721"/>
      <c r="F91" s="724">
        <f>F28</f>
        <v>0</v>
      </c>
      <c r="G91" s="721"/>
      <c r="H91" s="720">
        <f>H28</f>
        <v>0</v>
      </c>
    </row>
    <row r="92" spans="1:9">
      <c r="A92" s="663" t="s">
        <v>77</v>
      </c>
      <c r="B92" s="724">
        <f>B24</f>
        <v>0</v>
      </c>
      <c r="C92" s="721"/>
      <c r="D92" s="724">
        <f>D24</f>
        <v>0</v>
      </c>
      <c r="E92" s="721"/>
      <c r="F92" s="724">
        <f>F24</f>
        <v>0</v>
      </c>
      <c r="G92" s="721"/>
      <c r="H92" s="720">
        <f>H24</f>
        <v>0</v>
      </c>
    </row>
    <row r="93" spans="1:9">
      <c r="A93" s="663" t="s">
        <v>78</v>
      </c>
      <c r="B93" s="724">
        <f>B18+B19+B20+B21</f>
        <v>0</v>
      </c>
      <c r="C93" s="721"/>
      <c r="D93" s="724">
        <f>D18+D19+D20+D21</f>
        <v>0</v>
      </c>
      <c r="E93" s="721"/>
      <c r="F93" s="724">
        <f>F18+F19+F20+F21</f>
        <v>0</v>
      </c>
      <c r="G93" s="721"/>
      <c r="H93" s="720">
        <f>H18+H19+H20+H21</f>
        <v>0</v>
      </c>
    </row>
    <row r="94" spans="1:9" ht="31.5">
      <c r="A94" s="665" t="s">
        <v>79</v>
      </c>
      <c r="B94" s="725">
        <f>-B7</f>
        <v>0</v>
      </c>
      <c r="C94" s="726"/>
      <c r="D94" s="725">
        <f>-D7</f>
        <v>0</v>
      </c>
      <c r="E94" s="726"/>
      <c r="F94" s="725">
        <f>-F7</f>
        <v>0</v>
      </c>
      <c r="G94" s="726"/>
      <c r="H94" s="727">
        <f>-H7</f>
        <v>0</v>
      </c>
      <c r="I94" s="704"/>
    </row>
    <row r="95" spans="1:9">
      <c r="A95" s="665"/>
      <c r="B95" s="725"/>
      <c r="C95" s="726"/>
      <c r="D95" s="725"/>
      <c r="E95" s="726"/>
      <c r="F95" s="725"/>
      <c r="G95" s="726"/>
      <c r="H95" s="727"/>
      <c r="I95" s="704"/>
    </row>
    <row r="96" spans="1:9">
      <c r="A96" s="663" t="s">
        <v>80</v>
      </c>
      <c r="B96" s="724">
        <f>SUM(B86:B94)</f>
        <v>0</v>
      </c>
      <c r="C96" s="721"/>
      <c r="D96" s="724">
        <f>SUM(D86:D94)</f>
        <v>0</v>
      </c>
      <c r="E96" s="721"/>
      <c r="F96" s="724">
        <f>SUM(F86:F94)</f>
        <v>0</v>
      </c>
      <c r="G96" s="721"/>
      <c r="H96" s="720">
        <f>SUM(H86:H94)</f>
        <v>0</v>
      </c>
    </row>
    <row r="97" spans="1:9">
      <c r="A97" s="663" t="s">
        <v>81</v>
      </c>
      <c r="B97" s="724">
        <f>D57-B57</f>
        <v>0</v>
      </c>
      <c r="C97" s="721"/>
      <c r="D97" s="724">
        <f>F57-D57</f>
        <v>0</v>
      </c>
      <c r="E97" s="721"/>
      <c r="F97" s="724">
        <f>J57-F57</f>
        <v>0</v>
      </c>
      <c r="G97" s="721"/>
      <c r="H97" s="720">
        <f>L57-H57</f>
        <v>0</v>
      </c>
    </row>
    <row r="98" spans="1:9">
      <c r="A98" s="663" t="s">
        <v>82</v>
      </c>
      <c r="B98" s="724">
        <f>D56-B56</f>
        <v>0</v>
      </c>
      <c r="C98" s="721"/>
      <c r="D98" s="724">
        <f>F56-D56</f>
        <v>0</v>
      </c>
      <c r="E98" s="721"/>
      <c r="F98" s="724">
        <f>J56-F56</f>
        <v>0</v>
      </c>
      <c r="G98" s="721"/>
      <c r="H98" s="720">
        <f>L56-H56</f>
        <v>0</v>
      </c>
    </row>
    <row r="99" spans="1:9">
      <c r="A99" s="663" t="s">
        <v>83</v>
      </c>
      <c r="B99" s="724">
        <f>D61-B61</f>
        <v>0</v>
      </c>
      <c r="C99" s="721"/>
      <c r="D99" s="724">
        <f>F61-D61</f>
        <v>0</v>
      </c>
      <c r="E99" s="721"/>
      <c r="F99" s="724">
        <f>J61-F61</f>
        <v>0</v>
      </c>
      <c r="G99" s="721"/>
      <c r="H99" s="720">
        <f>L61-H61</f>
        <v>0</v>
      </c>
    </row>
    <row r="100" spans="1:9">
      <c r="A100" s="663" t="s">
        <v>84</v>
      </c>
      <c r="B100" s="724">
        <f>B44-D44</f>
        <v>0</v>
      </c>
      <c r="C100" s="721"/>
      <c r="D100" s="724">
        <f>D44-F44</f>
        <v>0</v>
      </c>
      <c r="E100" s="721"/>
      <c r="F100" s="724">
        <f>F44-J44</f>
        <v>0</v>
      </c>
      <c r="G100" s="721"/>
      <c r="H100" s="720">
        <f>H44-L44</f>
        <v>0</v>
      </c>
    </row>
    <row r="101" spans="1:9">
      <c r="A101" s="663" t="s">
        <v>85</v>
      </c>
      <c r="B101" s="724">
        <f>SUM(B97:B100)</f>
        <v>0</v>
      </c>
      <c r="C101" s="721"/>
      <c r="D101" s="724">
        <f>SUM(D97:D100)</f>
        <v>0</v>
      </c>
      <c r="E101" s="721"/>
      <c r="F101" s="724">
        <f>SUM(F97:F100)</f>
        <v>0</v>
      </c>
      <c r="G101" s="721"/>
      <c r="H101" s="720">
        <f>SUM(H97:H100)</f>
        <v>0</v>
      </c>
    </row>
    <row r="102" spans="1:9">
      <c r="A102" s="664" t="s">
        <v>86</v>
      </c>
      <c r="B102" s="725">
        <f>B96+B101</f>
        <v>0</v>
      </c>
      <c r="C102" s="726"/>
      <c r="D102" s="725">
        <f>D96+D101</f>
        <v>0</v>
      </c>
      <c r="E102" s="726"/>
      <c r="F102" s="725">
        <f>F96+F101</f>
        <v>0</v>
      </c>
      <c r="G102" s="726"/>
      <c r="H102" s="727">
        <f>H96+H101</f>
        <v>0</v>
      </c>
      <c r="I102" s="704"/>
    </row>
    <row r="103" spans="1:9">
      <c r="A103" s="664"/>
      <c r="B103" s="725"/>
      <c r="C103" s="726"/>
      <c r="D103" s="725"/>
      <c r="E103" s="726"/>
      <c r="F103" s="725"/>
      <c r="G103" s="726"/>
      <c r="H103" s="727"/>
      <c r="I103" s="704"/>
    </row>
    <row r="104" spans="1:9">
      <c r="A104" s="663" t="s">
        <v>87</v>
      </c>
      <c r="B104" s="724">
        <f>B24</f>
        <v>0</v>
      </c>
      <c r="C104" s="721"/>
      <c r="D104" s="724">
        <f>D24</f>
        <v>0</v>
      </c>
      <c r="E104" s="721"/>
      <c r="F104" s="724">
        <f>F24</f>
        <v>0</v>
      </c>
      <c r="G104" s="721"/>
      <c r="H104" s="720">
        <f>H24</f>
        <v>0</v>
      </c>
    </row>
    <row r="105" spans="1:9">
      <c r="A105" s="663"/>
      <c r="B105" s="724"/>
      <c r="C105" s="721"/>
      <c r="D105" s="724"/>
      <c r="E105" s="721"/>
      <c r="F105" s="724"/>
      <c r="G105" s="721"/>
      <c r="H105" s="720"/>
    </row>
    <row r="106" spans="1:9">
      <c r="A106" s="664" t="s">
        <v>88</v>
      </c>
      <c r="B106" s="724">
        <f>B102-B104</f>
        <v>0</v>
      </c>
      <c r="C106" s="721"/>
      <c r="D106" s="724">
        <f>D102-D104</f>
        <v>0</v>
      </c>
      <c r="E106" s="721"/>
      <c r="F106" s="724">
        <f>F102-F104</f>
        <v>0</v>
      </c>
      <c r="G106" s="721"/>
      <c r="H106" s="720">
        <f>H102-H104</f>
        <v>0</v>
      </c>
    </row>
  </sheetData>
  <sheetProtection formatCells="0" formatColumns="0" formatRows="0"/>
  <mergeCells count="8">
    <mergeCell ref="B1:E1"/>
    <mergeCell ref="A67:H68"/>
    <mergeCell ref="A3:A4"/>
    <mergeCell ref="A32:A33"/>
    <mergeCell ref="B32:B33"/>
    <mergeCell ref="D32:D33"/>
    <mergeCell ref="F32:F33"/>
    <mergeCell ref="H32:H33"/>
  </mergeCells>
  <phoneticPr fontId="0" type="noConversion"/>
  <conditionalFormatting sqref="B65 B48">
    <cfRule type="expression" dxfId="368" priority="7">
      <formula>$B$48&lt;&gt;$B$65</formula>
    </cfRule>
  </conditionalFormatting>
  <conditionalFormatting sqref="D65 D48">
    <cfRule type="expression" dxfId="367" priority="3">
      <formula>$B$48&lt;&gt;$B$65</formula>
    </cfRule>
  </conditionalFormatting>
  <conditionalFormatting sqref="F65 F48">
    <cfRule type="expression" dxfId="366" priority="2">
      <formula>$B$48&lt;&gt;$B$65</formula>
    </cfRule>
  </conditionalFormatting>
  <conditionalFormatting sqref="H65 H48">
    <cfRule type="expression" dxfId="365" priority="1">
      <formula>$B$48&lt;&gt;$B$65</formula>
    </cfRule>
  </conditionalFormatting>
  <dataValidations count="1">
    <dataValidation type="list" allowBlank="1" showInputMessage="1" showErrorMessage="1" sqref="I1" xr:uid="{FF03C2EA-E8A1-4C4D-8AF2-5D16482E06A9}">
      <formula1>"Actuals, Thousands, Lakhs, Millions, Crores"</formula1>
    </dataValidation>
  </dataValidations>
  <pageMargins left="0.78749999999999998" right="0.78749999999999998" top="1.0249999999999999" bottom="1.0249999999999999" header="0.78749999999999998" footer="0.78749999999999998"/>
  <pageSetup scale="58" firstPageNumber="0" orientation="portrait" horizontalDpi="300" verticalDpi="300" r:id="rId1"/>
  <headerFooter alignWithMargins="0">
    <oddHeader>&amp;C&amp;"Arial,Regular"&amp;10&amp;A</oddHeader>
    <oddFooter>&amp;C&amp;"Arial,Regular"&amp;10Page &amp;P</oddFooter>
  </headerFooter>
  <rowBreaks count="2" manualBreakCount="2">
    <brk id="30" max="16383" man="1"/>
    <brk id="66" max="16383"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C00000"/>
  </sheetPr>
  <dimension ref="A1:L107"/>
  <sheetViews>
    <sheetView showGridLines="0" view="pageBreakPreview" zoomScaleSheetLayoutView="100" workbookViewId="0">
      <selection activeCell="B6" sqref="B6"/>
    </sheetView>
  </sheetViews>
  <sheetFormatPr defaultColWidth="11.875" defaultRowHeight="32.1" customHeight="1"/>
  <cols>
    <col min="1" max="1" width="32.625" style="666" customWidth="1"/>
    <col min="2" max="2" width="14.625" style="669" customWidth="1"/>
    <col min="3" max="3" width="8.625" style="669" customWidth="1"/>
    <col min="4" max="4" width="14.625" style="669" customWidth="1"/>
    <col min="5" max="5" width="8.625" style="669" customWidth="1"/>
    <col min="6" max="6" width="14.625" style="669" customWidth="1"/>
    <col min="7" max="7" width="8.625" style="669" customWidth="1"/>
    <col min="8" max="8" width="14.25" style="669" customWidth="1"/>
    <col min="9" max="9" width="15.25" style="669" bestFit="1" customWidth="1"/>
    <col min="10" max="10" width="19.25" style="669" customWidth="1"/>
    <col min="11" max="11" width="10.5" style="669" customWidth="1"/>
    <col min="12" max="16384" width="11.875" style="669"/>
  </cols>
  <sheetData>
    <row r="1" spans="1:9" ht="15.75">
      <c r="A1" s="632" t="s">
        <v>607</v>
      </c>
      <c r="B1" s="1160" t="str">
        <f>IF('Financial Statement1'!F3="","",'Financial Statement1'!F3)</f>
        <v/>
      </c>
      <c r="C1" s="1160"/>
      <c r="D1" s="1160"/>
      <c r="E1" s="1160"/>
      <c r="F1" s="667"/>
      <c r="G1" s="667"/>
      <c r="H1" s="668" t="s">
        <v>608</v>
      </c>
      <c r="I1" s="668" t="s">
        <v>809</v>
      </c>
    </row>
    <row r="2" spans="1:9" ht="15.75">
      <c r="A2" s="633"/>
      <c r="B2" s="670"/>
      <c r="C2" s="670"/>
      <c r="D2" s="670"/>
      <c r="E2" s="670"/>
      <c r="F2" s="670"/>
      <c r="G2" s="670"/>
      <c r="H2" s="671"/>
      <c r="I2" s="672"/>
    </row>
    <row r="3" spans="1:9" ht="12.75">
      <c r="A3" s="1162" t="s">
        <v>0</v>
      </c>
      <c r="B3" s="673">
        <f>'Financial Statement1'!J5</f>
        <v>0</v>
      </c>
      <c r="C3" s="674" t="s">
        <v>1</v>
      </c>
      <c r="D3" s="673" t="str">
        <f>'Financial Statement1'!I5</f>
        <v>-</v>
      </c>
      <c r="E3" s="674" t="s">
        <v>1</v>
      </c>
      <c r="F3" s="673" t="str">
        <f>'Financial Statement1'!H5</f>
        <v>-</v>
      </c>
      <c r="G3" s="674" t="s">
        <v>1</v>
      </c>
      <c r="H3" s="673" t="str">
        <f>'Financial Statement1'!G5</f>
        <v>-</v>
      </c>
      <c r="I3" s="675"/>
    </row>
    <row r="4" spans="1:9" ht="12.75">
      <c r="A4" s="1163"/>
      <c r="B4" s="676" t="str">
        <f>CONCATENATE("Rs. ",$I$1)</f>
        <v>Rs. Lakhs</v>
      </c>
      <c r="C4" s="677">
        <f>B3</f>
        <v>0</v>
      </c>
      <c r="D4" s="676" t="str">
        <f>CONCATENATE("Rs. ",$I$1)</f>
        <v>Rs. Lakhs</v>
      </c>
      <c r="E4" s="677" t="str">
        <f>D3</f>
        <v>-</v>
      </c>
      <c r="F4" s="676" t="str">
        <f>CONCATENATE("Rs. ",$I$1)</f>
        <v>Rs. Lakhs</v>
      </c>
      <c r="G4" s="677" t="str">
        <f>F3</f>
        <v>-</v>
      </c>
      <c r="H4" s="676" t="str">
        <f>CONCATENATE("Rs. ",$I$1)</f>
        <v>Rs. Lakhs</v>
      </c>
      <c r="I4" s="678"/>
    </row>
    <row r="5" spans="1:9" ht="15.75">
      <c r="A5" s="634" t="s">
        <v>2</v>
      </c>
      <c r="B5" s="761">
        <f>('Financial Statement1'!J11+'Financial Statement1'!J15+'Financial Statement1'!J19-'Financial Statement1'!J21)*$I$5/$I$6</f>
        <v>0</v>
      </c>
      <c r="C5" s="679" t="str">
        <f>IFERROR((B5-D5)/D5*100,"")</f>
        <v/>
      </c>
      <c r="D5" s="761">
        <f>('Financial Statement1'!I11+'Financial Statement1'!I15+'Financial Statement1'!I19-'Financial Statement1'!I21)*$I$5/$I$6</f>
        <v>0</v>
      </c>
      <c r="E5" s="679" t="str">
        <f>IFERROR((D5-F5)/F5*100,"")</f>
        <v/>
      </c>
      <c r="F5" s="761">
        <f>('Financial Statement1'!H11+'Financial Statement1'!H15+'Financial Statement1'!H19-'Financial Statement1'!H21)*$I$5/$I$6</f>
        <v>0</v>
      </c>
      <c r="G5" s="679" t="str">
        <f>IFERROR((F5-H5)/H5*100,"")</f>
        <v/>
      </c>
      <c r="H5" s="761">
        <f>('Financial Statement1'!G11+'Financial Statement1'!G15+'Financial Statement1'!G19-'Financial Statement1'!G21)*$I$5/$I$6</f>
        <v>0</v>
      </c>
      <c r="I5" s="680">
        <f>IF('Financial Statement1'!$K$3="Actuals",1, IF('Financial Statement1'!$K$3="Thousands",1000, IF('Financial Statement1'!$K$3="Lakhs",100000, IF('Financial Statement1'!$K$3="Millions",1000000, IF('Financial Statement1'!$K$3="Crores",10000000,"")))))</f>
        <v>1</v>
      </c>
    </row>
    <row r="6" spans="1:9" ht="31.5">
      <c r="A6" s="635" t="s">
        <v>3</v>
      </c>
      <c r="B6" s="761">
        <f>'Financial Statement1'!J20*$I$5/$I$6</f>
        <v>0</v>
      </c>
      <c r="C6" s="681" t="str">
        <f>IFERROR((B6-D6)/D6*100,"")</f>
        <v/>
      </c>
      <c r="D6" s="761">
        <f>'Financial Statement1'!I20*$I$5/$I$6</f>
        <v>0</v>
      </c>
      <c r="E6" s="681" t="str">
        <f>IFERROR((D6-F6)/F6*100,"")</f>
        <v/>
      </c>
      <c r="F6" s="761">
        <f>'Financial Statement1'!H20*$I$5/$I$6</f>
        <v>0</v>
      </c>
      <c r="G6" s="681" t="str">
        <f>IFERROR((F6-H6)/H6*100,"")</f>
        <v/>
      </c>
      <c r="H6" s="761">
        <f>'Financial Statement1'!G20*$I$5/$I$6</f>
        <v>0</v>
      </c>
      <c r="I6" s="680">
        <f>IF(I1="Actuals",1, IF(I1="Thousands",1000, IF(I1="Lakhs",100000, IF(I1="Millions",1000000, IF(I1="Crores",10000000,"")))))</f>
        <v>100000</v>
      </c>
    </row>
    <row r="7" spans="1:9" ht="15.75">
      <c r="A7" s="635" t="s">
        <v>4</v>
      </c>
      <c r="B7" s="761">
        <f>'Financial Statement1'!J72*$I$5/$I$6</f>
        <v>0</v>
      </c>
      <c r="C7" s="681" t="str">
        <f>IFERROR((B7-D7)/D7*100,"")</f>
        <v/>
      </c>
      <c r="D7" s="761">
        <f>'Financial Statement1'!I72*$I$5/$I$6</f>
        <v>0</v>
      </c>
      <c r="E7" s="681" t="str">
        <f>IFERROR((D7-F7)/F7*100,"")</f>
        <v/>
      </c>
      <c r="F7" s="761">
        <f>'Financial Statement1'!H72*$I$5/$I$6</f>
        <v>0</v>
      </c>
      <c r="G7" s="681" t="str">
        <f>IFERROR((F7-H7)/H7*100,"")</f>
        <v/>
      </c>
      <c r="H7" s="761">
        <f>'Financial Statement1'!G72*$I$5/$I$6</f>
        <v>0</v>
      </c>
      <c r="I7" s="682"/>
    </row>
    <row r="8" spans="1:9" ht="15.75">
      <c r="A8" s="636" t="s">
        <v>5</v>
      </c>
      <c r="B8" s="683">
        <f>B5+B6+B7</f>
        <v>0</v>
      </c>
      <c r="C8" s="684" t="str">
        <f>IFERROR((B8-D8)/D8*100,"")</f>
        <v/>
      </c>
      <c r="D8" s="683">
        <f>D5+D6+D7</f>
        <v>0</v>
      </c>
      <c r="E8" s="684" t="str">
        <f>IFERROR((D8-F8)/F8*100,"")</f>
        <v/>
      </c>
      <c r="F8" s="683">
        <f>F5+F6+F7</f>
        <v>0</v>
      </c>
      <c r="G8" s="684" t="str">
        <f>IFERROR((F8-H8)/H8*100,"")</f>
        <v/>
      </c>
      <c r="H8" s="683">
        <f>H5+H6+H7</f>
        <v>0</v>
      </c>
      <c r="I8" s="685"/>
    </row>
    <row r="9" spans="1:9" ht="38.25">
      <c r="A9" s="637"/>
      <c r="B9" s="686"/>
      <c r="C9" s="687" t="str">
        <f>CONCATENATE("Cost % of sales of ",YEAR(B3))</f>
        <v>Cost % of sales of 1900</v>
      </c>
      <c r="D9" s="686"/>
      <c r="E9" s="687" t="e">
        <f>CONCATENATE("Cost % of sales of ",YEAR(D3))</f>
        <v>#VALUE!</v>
      </c>
      <c r="F9" s="686"/>
      <c r="G9" s="687" t="e">
        <f>CONCATENATE("Cost % of sales of ",YEAR(F3))</f>
        <v>#VALUE!</v>
      </c>
      <c r="H9" s="686"/>
      <c r="I9" s="687" t="e">
        <f>CONCATENATE("Cost % of sales of ",YEAR(H3))</f>
        <v>#VALUE!</v>
      </c>
    </row>
    <row r="10" spans="1:9" ht="15.75">
      <c r="A10" s="638" t="s">
        <v>6</v>
      </c>
      <c r="B10" s="761">
        <f>'Financial Statement1'!J25*$I$5/$I$6</f>
        <v>0</v>
      </c>
      <c r="C10" s="688" t="str">
        <f>IFERROR(B10/$B$5*100,"")</f>
        <v/>
      </c>
      <c r="D10" s="761">
        <f>'Financial Statement1'!I25*$I$5/$I$6</f>
        <v>0</v>
      </c>
      <c r="E10" s="688" t="str">
        <f>IFERROR(D10/$D$5*100,"")</f>
        <v/>
      </c>
      <c r="F10" s="761">
        <f>'Financial Statement1'!H25*$I$5/$I$6</f>
        <v>0</v>
      </c>
      <c r="G10" s="688" t="str">
        <f>IFERROR(F10/$F$5*100,"")</f>
        <v/>
      </c>
      <c r="H10" s="761">
        <f>'Financial Statement1'!G25*$I$5/$I$6</f>
        <v>0</v>
      </c>
      <c r="I10" s="688" t="str">
        <f>IFERROR(H10/$H$5*100,"")</f>
        <v/>
      </c>
    </row>
    <row r="11" spans="1:9" ht="15.75">
      <c r="A11" s="638" t="s">
        <v>7</v>
      </c>
      <c r="B11" s="761">
        <f>('Financial Statement1'!J39+'Financial Statement1'!J40+'Financial Statement1'!J41)*$I$5/$I$6</f>
        <v>0</v>
      </c>
      <c r="C11" s="688" t="str">
        <f t="shared" ref="C11:C29" si="0">IFERROR(B11/$B$5*100,"")</f>
        <v/>
      </c>
      <c r="D11" s="761">
        <f>('Financial Statement1'!I39+'Financial Statement1'!I40+'Financial Statement1'!I41)*$I$5/$I$6</f>
        <v>0</v>
      </c>
      <c r="E11" s="688" t="str">
        <f t="shared" ref="E11:E30" si="1">IFERROR(D11/$D$5*100,"")</f>
        <v/>
      </c>
      <c r="F11" s="761">
        <f>('Financial Statement1'!H39+'Financial Statement1'!H40+'Financial Statement1'!H41)*$I$5/$I$6</f>
        <v>0</v>
      </c>
      <c r="G11" s="688" t="str">
        <f t="shared" ref="G11:G29" si="2">IFERROR(F11/$F$5*100,"")</f>
        <v/>
      </c>
      <c r="H11" s="761">
        <f>('Financial Statement1'!G39+'Financial Statement1'!G40+'Financial Statement1'!G41)*$I$5/$I$6</f>
        <v>0</v>
      </c>
      <c r="I11" s="688" t="str">
        <f t="shared" ref="I11:I29" si="3">IFERROR(H11/$H$5*100,"")</f>
        <v/>
      </c>
    </row>
    <row r="12" spans="1:9" ht="15.75">
      <c r="A12" s="638" t="s">
        <v>8</v>
      </c>
      <c r="B12" s="761">
        <f>('Financial Statement1'!J38+'Financial Statement1'!J45+'Financial Statement1'!J49)*$I$5/$I$6</f>
        <v>0</v>
      </c>
      <c r="C12" s="688" t="str">
        <f t="shared" si="0"/>
        <v/>
      </c>
      <c r="D12" s="761">
        <f>('Financial Statement1'!I38+'Financial Statement1'!I45+'Financial Statement1'!I49)*$I$5/$I$6</f>
        <v>0</v>
      </c>
      <c r="E12" s="688" t="str">
        <f t="shared" si="1"/>
        <v/>
      </c>
      <c r="F12" s="761">
        <f>('Financial Statement1'!H38+'Financial Statement1'!H45+'Financial Statement1'!H49)*$I$5/$I$6</f>
        <v>0</v>
      </c>
      <c r="G12" s="688" t="str">
        <f t="shared" si="2"/>
        <v/>
      </c>
      <c r="H12" s="761">
        <f>('Financial Statement1'!G38+'Financial Statement1'!G45+'Financial Statement1'!G49)*$I$5/$I$6</f>
        <v>0</v>
      </c>
      <c r="I12" s="688" t="str">
        <f t="shared" si="3"/>
        <v/>
      </c>
    </row>
    <row r="13" spans="1:9" ht="15.75">
      <c r="A13" s="639" t="s">
        <v>9</v>
      </c>
      <c r="B13" s="689">
        <f>B8-B10-B11-B12</f>
        <v>0</v>
      </c>
      <c r="C13" s="688" t="str">
        <f t="shared" si="0"/>
        <v/>
      </c>
      <c r="D13" s="689">
        <f>D8-D10-D11-D12</f>
        <v>0</v>
      </c>
      <c r="E13" s="688" t="str">
        <f t="shared" si="1"/>
        <v/>
      </c>
      <c r="F13" s="689">
        <f>F8-F10-F11-F12</f>
        <v>0</v>
      </c>
      <c r="G13" s="688" t="str">
        <f t="shared" si="2"/>
        <v/>
      </c>
      <c r="H13" s="689">
        <f>H8-H10-H11-H12</f>
        <v>0</v>
      </c>
      <c r="I13" s="688" t="str">
        <f t="shared" si="3"/>
        <v/>
      </c>
    </row>
    <row r="14" spans="1:9" ht="15.75">
      <c r="A14" s="640" t="s">
        <v>10</v>
      </c>
      <c r="B14" s="761">
        <f>('Financial Statement1'!J47+'Financial Statement1'!J50+'Financial Statement1'!J51+'Financial Statement1'!J58+'Financial Statement1'!J61+'Financial Statement1'!J63+'Financial Statement1'!J71)*$I$5/$I$6</f>
        <v>0</v>
      </c>
      <c r="C14" s="688" t="str">
        <f t="shared" si="0"/>
        <v/>
      </c>
      <c r="D14" s="761">
        <f>('Financial Statement1'!I47+'Financial Statement1'!I50+'Financial Statement1'!I51+'Financial Statement1'!I58+'Financial Statement1'!I61+'Financial Statement1'!I63+'Financial Statement1'!I71)*$I$5/$I$6</f>
        <v>0</v>
      </c>
      <c r="E14" s="688" t="str">
        <f t="shared" si="1"/>
        <v/>
      </c>
      <c r="F14" s="761">
        <f>('Financial Statement1'!H47+'Financial Statement1'!H50+'Financial Statement1'!H51+'Financial Statement1'!H58+'Financial Statement1'!H61+'Financial Statement1'!H63+'Financial Statement1'!H71)*$I$5/$I$6</f>
        <v>0</v>
      </c>
      <c r="G14" s="688" t="str">
        <f t="shared" si="2"/>
        <v/>
      </c>
      <c r="H14" s="761">
        <f>('Financial Statement1'!G47+'Financial Statement1'!G50+'Financial Statement1'!G51+'Financial Statement1'!G58+'Financial Statement1'!G61+'Financial Statement1'!G63+'Financial Statement1'!G71)*$I$5/$I$6</f>
        <v>0</v>
      </c>
      <c r="I14" s="688" t="str">
        <f t="shared" si="3"/>
        <v/>
      </c>
    </row>
    <row r="15" spans="1:9" ht="15.75">
      <c r="A15" s="640" t="s">
        <v>11</v>
      </c>
      <c r="B15" s="761">
        <f>'Financial Statement1'!J46*$I$5/$I$6</f>
        <v>0</v>
      </c>
      <c r="C15" s="688" t="str">
        <f t="shared" si="0"/>
        <v/>
      </c>
      <c r="D15" s="761">
        <f>'Financial Statement1'!I46*$I$5/$I$6</f>
        <v>0</v>
      </c>
      <c r="E15" s="688" t="str">
        <f t="shared" si="1"/>
        <v/>
      </c>
      <c r="F15" s="761">
        <f>'Financial Statement1'!H46*$I$5/$I$6</f>
        <v>0</v>
      </c>
      <c r="G15" s="688" t="str">
        <f t="shared" si="2"/>
        <v/>
      </c>
      <c r="H15" s="761">
        <f>'Financial Statement1'!G46*$I$5/$I$6</f>
        <v>0</v>
      </c>
      <c r="I15" s="688" t="str">
        <f t="shared" si="3"/>
        <v/>
      </c>
    </row>
    <row r="16" spans="1:9" ht="15.75">
      <c r="A16" s="639" t="s">
        <v>12</v>
      </c>
      <c r="B16" s="689">
        <f>B13-B14-B15</f>
        <v>0</v>
      </c>
      <c r="C16" s="688" t="str">
        <f t="shared" si="0"/>
        <v/>
      </c>
      <c r="D16" s="689">
        <f>D13-D14-D15</f>
        <v>0</v>
      </c>
      <c r="E16" s="688" t="str">
        <f t="shared" si="1"/>
        <v/>
      </c>
      <c r="F16" s="689">
        <f>F13-F14-F15</f>
        <v>0</v>
      </c>
      <c r="G16" s="688" t="str">
        <f t="shared" si="2"/>
        <v/>
      </c>
      <c r="H16" s="689">
        <f>H13-H14-H15</f>
        <v>0</v>
      </c>
      <c r="I16" s="688" t="str">
        <f t="shared" si="3"/>
        <v/>
      </c>
    </row>
    <row r="17" spans="1:12" ht="15.75">
      <c r="A17" s="641" t="s">
        <v>13</v>
      </c>
      <c r="B17" s="761">
        <f>'Financial Statement1'!J56*$I$5/$I$6</f>
        <v>0</v>
      </c>
      <c r="C17" s="688" t="str">
        <f t="shared" si="0"/>
        <v/>
      </c>
      <c r="D17" s="761">
        <f>'Financial Statement1'!I56*$I$5/$I$6</f>
        <v>0</v>
      </c>
      <c r="E17" s="688" t="str">
        <f t="shared" si="1"/>
        <v/>
      </c>
      <c r="F17" s="761">
        <f>'Financial Statement1'!H56*$I$5/$I$6</f>
        <v>0</v>
      </c>
      <c r="G17" s="688" t="str">
        <f t="shared" si="2"/>
        <v/>
      </c>
      <c r="H17" s="761">
        <f>'Financial Statement1'!G56*$I$5/$I$6</f>
        <v>0</v>
      </c>
      <c r="I17" s="688" t="str">
        <f t="shared" si="3"/>
        <v/>
      </c>
      <c r="L17" s="690"/>
    </row>
    <row r="18" spans="1:12" s="690" customFormat="1" ht="15.75">
      <c r="A18" s="638" t="s">
        <v>153</v>
      </c>
      <c r="B18" s="761">
        <f>'Financial Statement1'!J67*$I$5/$I$6</f>
        <v>0</v>
      </c>
      <c r="C18" s="688" t="str">
        <f t="shared" si="0"/>
        <v/>
      </c>
      <c r="D18" s="761">
        <f>'Financial Statement1'!I67*$I$5/$I$6</f>
        <v>0</v>
      </c>
      <c r="E18" s="688" t="str">
        <f t="shared" si="1"/>
        <v/>
      </c>
      <c r="F18" s="761">
        <f>'Financial Statement1'!H67*$I$5/$I$6</f>
        <v>0</v>
      </c>
      <c r="G18" s="688" t="str">
        <f t="shared" si="2"/>
        <v/>
      </c>
      <c r="H18" s="761">
        <f>'Financial Statement1'!G67*$I$5/$I$6</f>
        <v>0</v>
      </c>
      <c r="I18" s="688" t="str">
        <f t="shared" si="3"/>
        <v/>
      </c>
      <c r="L18" s="669"/>
    </row>
    <row r="19" spans="1:12" s="690" customFormat="1" ht="15.75">
      <c r="A19" s="638" t="s">
        <v>154</v>
      </c>
      <c r="B19" s="761">
        <f>+'Financial Statement1'!J68*$I$5/$I$6</f>
        <v>0</v>
      </c>
      <c r="C19" s="688" t="str">
        <f t="shared" si="0"/>
        <v/>
      </c>
      <c r="D19" s="761">
        <f>+'Financial Statement1'!I68*$I$5/$I$6</f>
        <v>0</v>
      </c>
      <c r="E19" s="688" t="str">
        <f t="shared" si="1"/>
        <v/>
      </c>
      <c r="F19" s="761">
        <f>+'Financial Statement1'!H68*$I$5/$I$6</f>
        <v>0</v>
      </c>
      <c r="G19" s="688" t="str">
        <f t="shared" si="2"/>
        <v/>
      </c>
      <c r="H19" s="761">
        <f>+'Financial Statement1'!G68*$I$5/$I$6</f>
        <v>0</v>
      </c>
      <c r="I19" s="688" t="str">
        <f t="shared" si="3"/>
        <v/>
      </c>
      <c r="L19" s="669"/>
    </row>
    <row r="20" spans="1:12" s="690" customFormat="1" ht="31.5">
      <c r="A20" s="638" t="s">
        <v>366</v>
      </c>
      <c r="B20" s="761">
        <f>+'Financial Statement1'!J69*$I$5/$I$6</f>
        <v>0</v>
      </c>
      <c r="C20" s="688" t="str">
        <f t="shared" si="0"/>
        <v/>
      </c>
      <c r="D20" s="761">
        <f>+'Financial Statement1'!I69*$I$5/$I$6</f>
        <v>0</v>
      </c>
      <c r="E20" s="688" t="str">
        <f t="shared" si="1"/>
        <v/>
      </c>
      <c r="F20" s="761">
        <f>+'Financial Statement1'!H69*$I$5/$I$6</f>
        <v>0</v>
      </c>
      <c r="G20" s="688" t="str">
        <f t="shared" si="2"/>
        <v/>
      </c>
      <c r="H20" s="761">
        <f>+'Financial Statement1'!G69*$I$5/$I$6</f>
        <v>0</v>
      </c>
      <c r="I20" s="688" t="str">
        <f t="shared" si="3"/>
        <v/>
      </c>
      <c r="L20" s="669"/>
    </row>
    <row r="21" spans="1:12" s="690" customFormat="1" ht="15.75">
      <c r="A21" s="638" t="s">
        <v>123</v>
      </c>
      <c r="B21" s="761">
        <f>'Financial Statement1'!J70*$I$5/$I$6</f>
        <v>0</v>
      </c>
      <c r="C21" s="688" t="str">
        <f t="shared" si="0"/>
        <v/>
      </c>
      <c r="D21" s="761">
        <f>'Financial Statement1'!I70*$I$5/$I$6</f>
        <v>0</v>
      </c>
      <c r="E21" s="688" t="str">
        <f t="shared" si="1"/>
        <v/>
      </c>
      <c r="F21" s="761">
        <f>'Financial Statement1'!H70*$I$5/$I$6</f>
        <v>0</v>
      </c>
      <c r="G21" s="688" t="str">
        <f t="shared" si="2"/>
        <v/>
      </c>
      <c r="H21" s="761">
        <f>'Financial Statement1'!G70*$I$5/$I$6</f>
        <v>0</v>
      </c>
      <c r="I21" s="688" t="str">
        <f t="shared" si="3"/>
        <v/>
      </c>
      <c r="L21" s="669"/>
    </row>
    <row r="22" spans="1:12" ht="15.75">
      <c r="A22" s="641" t="s">
        <v>14</v>
      </c>
      <c r="B22" s="761">
        <f>('Financial Statement1'!J62+'Financial Statement1'!J59)*$I$5/$I$6</f>
        <v>0</v>
      </c>
      <c r="C22" s="688" t="str">
        <f t="shared" si="0"/>
        <v/>
      </c>
      <c r="D22" s="761">
        <f>('Financial Statement1'!I62+'Financial Statement1'!I59)*$I$5/$I$6</f>
        <v>0</v>
      </c>
      <c r="E22" s="688" t="str">
        <f t="shared" si="1"/>
        <v/>
      </c>
      <c r="F22" s="761">
        <f>('Financial Statement1'!H62+'Financial Statement1'!H59)*$I$5/$I$6</f>
        <v>0</v>
      </c>
      <c r="G22" s="688" t="str">
        <f t="shared" si="2"/>
        <v/>
      </c>
      <c r="H22" s="761">
        <f>('Financial Statement1'!G62+'Financial Statement1'!G59)*$I$5/$I$6</f>
        <v>0</v>
      </c>
      <c r="I22" s="688" t="str">
        <f t="shared" si="3"/>
        <v/>
      </c>
    </row>
    <row r="23" spans="1:12" ht="15.75">
      <c r="A23" s="642" t="s">
        <v>15</v>
      </c>
      <c r="B23" s="691">
        <f>B16-B17-B18-B22-B21-B19-B20</f>
        <v>0</v>
      </c>
      <c r="C23" s="688" t="str">
        <f t="shared" si="0"/>
        <v/>
      </c>
      <c r="D23" s="691">
        <f>D16-D17-D18-D22-D21-D19-D20</f>
        <v>0</v>
      </c>
      <c r="E23" s="688" t="str">
        <f t="shared" si="1"/>
        <v/>
      </c>
      <c r="F23" s="691">
        <f>F16-F17-F18-F22-F21-F19-F20</f>
        <v>0</v>
      </c>
      <c r="G23" s="688" t="str">
        <f t="shared" si="2"/>
        <v/>
      </c>
      <c r="H23" s="691">
        <f>H16-H17-H18-H22-H21-H19-H20</f>
        <v>0</v>
      </c>
      <c r="I23" s="688" t="str">
        <f t="shared" si="3"/>
        <v/>
      </c>
    </row>
    <row r="24" spans="1:12" ht="15.75">
      <c r="A24" s="643" t="s">
        <v>16</v>
      </c>
      <c r="B24" s="761">
        <f>'Financial Statement1'!J86*$I$5/$I$6</f>
        <v>0</v>
      </c>
      <c r="C24" s="688" t="str">
        <f t="shared" si="0"/>
        <v/>
      </c>
      <c r="D24" s="761">
        <f>'Financial Statement1'!I86*$I$5/$I$6</f>
        <v>0</v>
      </c>
      <c r="E24" s="688" t="str">
        <f t="shared" si="1"/>
        <v/>
      </c>
      <c r="F24" s="761">
        <f>'Financial Statement1'!H86*$I$5/$I$6</f>
        <v>0</v>
      </c>
      <c r="G24" s="688" t="str">
        <f t="shared" si="2"/>
        <v/>
      </c>
      <c r="H24" s="761">
        <f>'Financial Statement1'!G86*$I$5/$I$6</f>
        <v>0</v>
      </c>
      <c r="I24" s="688" t="str">
        <f t="shared" si="3"/>
        <v/>
      </c>
      <c r="K24" s="692"/>
    </row>
    <row r="25" spans="1:12" ht="15.75">
      <c r="A25" s="644" t="s">
        <v>17</v>
      </c>
      <c r="B25" s="693">
        <f>B23-B24</f>
        <v>0</v>
      </c>
      <c r="C25" s="688" t="str">
        <f t="shared" si="0"/>
        <v/>
      </c>
      <c r="D25" s="693">
        <f>D23-D24</f>
        <v>0</v>
      </c>
      <c r="E25" s="688" t="str">
        <f t="shared" si="1"/>
        <v/>
      </c>
      <c r="F25" s="693">
        <f>F23-F24</f>
        <v>0</v>
      </c>
      <c r="G25" s="688" t="str">
        <f t="shared" si="2"/>
        <v/>
      </c>
      <c r="H25" s="693">
        <f>H23-H24</f>
        <v>0</v>
      </c>
      <c r="I25" s="688" t="str">
        <f t="shared" si="3"/>
        <v/>
      </c>
      <c r="J25" s="694"/>
    </row>
    <row r="26" spans="1:12" s="696" customFormat="1" ht="15.75">
      <c r="A26" s="642" t="s">
        <v>18</v>
      </c>
      <c r="B26" s="691">
        <f>B25+B17+B22</f>
        <v>0</v>
      </c>
      <c r="C26" s="695" t="str">
        <f t="shared" si="0"/>
        <v/>
      </c>
      <c r="D26" s="691">
        <f>D25+D17+D22</f>
        <v>0</v>
      </c>
      <c r="E26" s="695" t="str">
        <f t="shared" si="1"/>
        <v/>
      </c>
      <c r="F26" s="691">
        <f>F25+F17+F22</f>
        <v>0</v>
      </c>
      <c r="G26" s="688" t="str">
        <f t="shared" si="2"/>
        <v/>
      </c>
      <c r="H26" s="691">
        <f>H25+H17+H22</f>
        <v>0</v>
      </c>
      <c r="I26" s="688" t="str">
        <f t="shared" si="3"/>
        <v/>
      </c>
      <c r="J26" s="694"/>
      <c r="K26" s="694"/>
      <c r="L26" s="694"/>
    </row>
    <row r="27" spans="1:12" ht="15.75">
      <c r="A27" s="645" t="s">
        <v>19</v>
      </c>
      <c r="B27" s="761">
        <f>'Financial Statement1'!J49*$I$5/$I$6</f>
        <v>0</v>
      </c>
      <c r="C27" s="688" t="str">
        <f t="shared" si="0"/>
        <v/>
      </c>
      <c r="D27" s="761">
        <f>'Financial Statement1'!I49*$I$5/$I$6</f>
        <v>0</v>
      </c>
      <c r="E27" s="688" t="str">
        <f t="shared" si="1"/>
        <v/>
      </c>
      <c r="F27" s="761">
        <f>'Financial Statement1'!H49*$I$5/$I$6</f>
        <v>0</v>
      </c>
      <c r="G27" s="688" t="str">
        <f t="shared" si="2"/>
        <v/>
      </c>
      <c r="H27" s="761">
        <f>'Financial Statement1'!G49*$I$5/$I$6</f>
        <v>0</v>
      </c>
      <c r="I27" s="688" t="str">
        <f t="shared" si="3"/>
        <v/>
      </c>
    </row>
    <row r="28" spans="1:12" ht="31.5">
      <c r="A28" s="645" t="s">
        <v>20</v>
      </c>
      <c r="B28" s="761">
        <f>'Financial Statement1'!J50*$I$5/$I$6</f>
        <v>0</v>
      </c>
      <c r="C28" s="688" t="str">
        <f t="shared" si="0"/>
        <v/>
      </c>
      <c r="D28" s="761">
        <f>'Financial Statement1'!I50*$I$5/$I$6</f>
        <v>0</v>
      </c>
      <c r="E28" s="688" t="str">
        <f t="shared" si="1"/>
        <v/>
      </c>
      <c r="F28" s="761">
        <f>'Financial Statement1'!H50*$I$5/$I$6</f>
        <v>0</v>
      </c>
      <c r="G28" s="688" t="str">
        <f t="shared" si="2"/>
        <v/>
      </c>
      <c r="H28" s="761">
        <f>'Financial Statement1'!G50*$I$5/$I$6</f>
        <v>0</v>
      </c>
      <c r="I28" s="688" t="str">
        <f t="shared" si="3"/>
        <v/>
      </c>
    </row>
    <row r="29" spans="1:12" ht="15.75">
      <c r="A29" s="646" t="s">
        <v>21</v>
      </c>
      <c r="B29" s="697">
        <f>B26+B27+B28</f>
        <v>0</v>
      </c>
      <c r="C29" s="688" t="str">
        <f t="shared" si="0"/>
        <v/>
      </c>
      <c r="D29" s="697">
        <f>D26+D27+D28</f>
        <v>0</v>
      </c>
      <c r="E29" s="688" t="str">
        <f t="shared" si="1"/>
        <v/>
      </c>
      <c r="F29" s="697">
        <f>F26+F27+F28</f>
        <v>0</v>
      </c>
      <c r="G29" s="688" t="str">
        <f t="shared" si="2"/>
        <v/>
      </c>
      <c r="H29" s="697">
        <f>H26+H27+H28</f>
        <v>0</v>
      </c>
      <c r="I29" s="688" t="str">
        <f t="shared" si="3"/>
        <v/>
      </c>
    </row>
    <row r="30" spans="1:12" ht="15.75">
      <c r="A30" s="646"/>
      <c r="B30" s="697"/>
      <c r="C30" s="698"/>
      <c r="D30" s="697"/>
      <c r="E30" s="688" t="str">
        <f t="shared" si="1"/>
        <v/>
      </c>
      <c r="F30" s="697"/>
      <c r="G30" s="698"/>
      <c r="H30" s="697"/>
      <c r="I30" s="698"/>
      <c r="J30" s="699"/>
    </row>
    <row r="31" spans="1:12" ht="15.75">
      <c r="A31" s="647"/>
      <c r="B31" s="700"/>
      <c r="C31" s="701"/>
      <c r="D31" s="700"/>
      <c r="E31" s="701"/>
      <c r="F31" s="700"/>
      <c r="G31" s="701"/>
      <c r="H31" s="700"/>
      <c r="I31" s="702" t="s">
        <v>22</v>
      </c>
    </row>
    <row r="32" spans="1:12" ht="12.75">
      <c r="A32" s="1164" t="s">
        <v>23</v>
      </c>
      <c r="B32" s="1165">
        <f>B3</f>
        <v>0</v>
      </c>
      <c r="C32" s="703" t="s">
        <v>1</v>
      </c>
      <c r="D32" s="1165" t="str">
        <f>D3</f>
        <v>-</v>
      </c>
      <c r="E32" s="703" t="s">
        <v>1</v>
      </c>
      <c r="F32" s="1165" t="str">
        <f>F3</f>
        <v>-</v>
      </c>
      <c r="G32" s="703" t="s">
        <v>1</v>
      </c>
      <c r="H32" s="1165" t="str">
        <f>H3</f>
        <v>-</v>
      </c>
      <c r="I32" s="704"/>
    </row>
    <row r="33" spans="1:10" ht="12.75">
      <c r="A33" s="1164"/>
      <c r="B33" s="1166"/>
      <c r="C33" s="705">
        <f>C4</f>
        <v>0</v>
      </c>
      <c r="D33" s="1166"/>
      <c r="E33" s="705" t="str">
        <f>E4</f>
        <v>-</v>
      </c>
      <c r="F33" s="1166"/>
      <c r="G33" s="705" t="str">
        <f>G4</f>
        <v>-</v>
      </c>
      <c r="H33" s="1166"/>
      <c r="I33" s="704"/>
    </row>
    <row r="34" spans="1:10" ht="15.75">
      <c r="A34" s="648" t="s">
        <v>24</v>
      </c>
      <c r="B34" s="761">
        <f>'Financial Statement1'!J106*$I$5/$I$6</f>
        <v>0</v>
      </c>
      <c r="C34" s="681" t="str">
        <f>IFERROR((B34-D34)/D34*100,"")</f>
        <v/>
      </c>
      <c r="D34" s="761">
        <f>'Financial Statement1'!I106*$I$5/$I$6</f>
        <v>0</v>
      </c>
      <c r="E34" s="681" t="str">
        <f>IFERROR((D34-F34)/F34*100,"")</f>
        <v/>
      </c>
      <c r="F34" s="761">
        <f>'Financial Statement1'!H106*$I$5/$I$6</f>
        <v>0</v>
      </c>
      <c r="G34" s="681" t="str">
        <f>IFERROR((F34-H34)/H34*100,"")</f>
        <v/>
      </c>
      <c r="H34" s="761">
        <f>'Financial Statement1'!G106*$I$5/$I$6</f>
        <v>0</v>
      </c>
    </row>
    <row r="35" spans="1:10" ht="31.5">
      <c r="A35" s="648" t="s">
        <v>25</v>
      </c>
      <c r="B35" s="761">
        <f>('Financial Statement1'!J112-'Financial Statement1'!J115)*$I$5/$I$6</f>
        <v>0</v>
      </c>
      <c r="C35" s="681" t="str">
        <f t="shared" ref="C35:C65" si="4">IFERROR((B35-D35)/D35*100,"")</f>
        <v/>
      </c>
      <c r="D35" s="761">
        <f>('Financial Statement1'!I112-'Financial Statement1'!I115)*$I$5/$I$6</f>
        <v>0</v>
      </c>
      <c r="E35" s="681" t="str">
        <f t="shared" ref="E35:E65" si="5">IFERROR((D35-F35)/F35*100,"")</f>
        <v/>
      </c>
      <c r="F35" s="761">
        <f>('Financial Statement1'!H112-'Financial Statement1'!H115)*$I$5/$I$6</f>
        <v>0</v>
      </c>
      <c r="G35" s="681" t="str">
        <f t="shared" ref="G35:G65" si="6">IFERROR((F35-H35)/H35*100,"")</f>
        <v/>
      </c>
      <c r="H35" s="761">
        <f>('Financial Statement1'!G112-'Financial Statement1'!G115)*$I$5/$I$6</f>
        <v>0</v>
      </c>
    </row>
    <row r="36" spans="1:10" ht="15.75">
      <c r="A36" s="649" t="s">
        <v>26</v>
      </c>
      <c r="B36" s="706">
        <f>SUM(B34:B35)</f>
        <v>0</v>
      </c>
      <c r="C36" s="707" t="str">
        <f t="shared" si="4"/>
        <v/>
      </c>
      <c r="D36" s="706">
        <f>SUM(D34:D35)</f>
        <v>0</v>
      </c>
      <c r="E36" s="707" t="str">
        <f t="shared" si="5"/>
        <v/>
      </c>
      <c r="F36" s="706">
        <f>SUM(F34:F35)</f>
        <v>0</v>
      </c>
      <c r="G36" s="707" t="str">
        <f t="shared" si="6"/>
        <v/>
      </c>
      <c r="H36" s="706">
        <f>SUM(H34:H35)</f>
        <v>0</v>
      </c>
    </row>
    <row r="37" spans="1:10" ht="15.75">
      <c r="A37" s="648" t="s">
        <v>27</v>
      </c>
      <c r="B37" s="761">
        <f>'Financial Statement1'!J115*$I$5/$I$6</f>
        <v>0</v>
      </c>
      <c r="C37" s="681" t="str">
        <f t="shared" si="4"/>
        <v/>
      </c>
      <c r="D37" s="761">
        <f>'Financial Statement1'!I115*$I$5/$I$6</f>
        <v>0</v>
      </c>
      <c r="E37" s="681" t="str">
        <f t="shared" si="5"/>
        <v/>
      </c>
      <c r="F37" s="761">
        <f>'Financial Statement1'!H115*$I$5/$I$6</f>
        <v>0</v>
      </c>
      <c r="G37" s="681" t="str">
        <f t="shared" si="6"/>
        <v/>
      </c>
      <c r="H37" s="761">
        <f>'Financial Statement1'!G115*$I$5/$I$6</f>
        <v>0</v>
      </c>
    </row>
    <row r="38" spans="1:10" ht="15.75">
      <c r="A38" s="649" t="s">
        <v>28</v>
      </c>
      <c r="B38" s="706">
        <f>B34+B35+B43-B62-B64-B52</f>
        <v>0</v>
      </c>
      <c r="C38" s="707" t="str">
        <f t="shared" si="4"/>
        <v/>
      </c>
      <c r="D38" s="706">
        <f>D34+D35+D43-D62-D64-D52</f>
        <v>0</v>
      </c>
      <c r="E38" s="707" t="str">
        <f t="shared" si="5"/>
        <v/>
      </c>
      <c r="F38" s="706">
        <f>F34+F35+F43-F62-F64-F52</f>
        <v>0</v>
      </c>
      <c r="G38" s="707" t="str">
        <f t="shared" si="6"/>
        <v/>
      </c>
      <c r="H38" s="706">
        <f>H34+H35+H43-H62-H64-H52</f>
        <v>0</v>
      </c>
    </row>
    <row r="39" spans="1:10" ht="15.75">
      <c r="A39" s="648" t="s">
        <v>29</v>
      </c>
      <c r="B39" s="761">
        <f>('Financial Statement1'!J125+'Financial Statement1'!J126)*$I$5/$I$6</f>
        <v>0</v>
      </c>
      <c r="C39" s="681" t="str">
        <f t="shared" si="4"/>
        <v/>
      </c>
      <c r="D39" s="761">
        <f>('Financial Statement1'!I125+'Financial Statement1'!I126)*$I$5/$I$6</f>
        <v>0</v>
      </c>
      <c r="E39" s="681" t="str">
        <f t="shared" si="5"/>
        <v/>
      </c>
      <c r="F39" s="761">
        <f>('Financial Statement1'!H125+'Financial Statement1'!H126)*$I$5/$I$6</f>
        <v>0</v>
      </c>
      <c r="G39" s="681" t="str">
        <f t="shared" si="6"/>
        <v/>
      </c>
      <c r="H39" s="761">
        <f>('Financial Statement1'!G125+'Financial Statement1'!G126)*$I$5/$I$6</f>
        <v>0</v>
      </c>
    </row>
    <row r="40" spans="1:10" ht="31.5">
      <c r="A40" s="648" t="s">
        <v>30</v>
      </c>
      <c r="B40" s="761">
        <f>('Financial Statement1'!J144+'Financial Statement1'!J145)*$I$5/$I$6</f>
        <v>0</v>
      </c>
      <c r="C40" s="681" t="str">
        <f t="shared" si="4"/>
        <v/>
      </c>
      <c r="D40" s="761">
        <f>('Financial Statement1'!I144+'Financial Statement1'!I145)*$I$5/$I$6</f>
        <v>0</v>
      </c>
      <c r="E40" s="681" t="str">
        <f t="shared" si="5"/>
        <v/>
      </c>
      <c r="F40" s="761">
        <f>('Financial Statement1'!H144+'Financial Statement1'!H145)*$I$5/$I$6</f>
        <v>0</v>
      </c>
      <c r="G40" s="681" t="str">
        <f t="shared" si="6"/>
        <v/>
      </c>
      <c r="H40" s="761">
        <f>('Financial Statement1'!G144+'Financial Statement1'!G145)*$I$5/$I$6</f>
        <v>0</v>
      </c>
      <c r="J40" s="708"/>
    </row>
    <row r="41" spans="1:10" ht="31.5">
      <c r="A41" s="650" t="s">
        <v>31</v>
      </c>
      <c r="B41" s="709">
        <f>B39+B40</f>
        <v>0</v>
      </c>
      <c r="C41" s="710" t="str">
        <f t="shared" si="4"/>
        <v/>
      </c>
      <c r="D41" s="709">
        <f>D39+D40</f>
        <v>0</v>
      </c>
      <c r="E41" s="710" t="str">
        <f t="shared" si="5"/>
        <v/>
      </c>
      <c r="F41" s="709">
        <f>F39+F40</f>
        <v>0</v>
      </c>
      <c r="G41" s="710" t="str">
        <f t="shared" si="6"/>
        <v/>
      </c>
      <c r="H41" s="709">
        <f>H39+H40</f>
        <v>0</v>
      </c>
      <c r="J41" s="708"/>
    </row>
    <row r="42" spans="1:10" ht="15.75">
      <c r="A42" s="648" t="s">
        <v>32</v>
      </c>
      <c r="B42" s="761">
        <f>('Financial Statement1'!J129+'Financial Statement1'!J130+'Financial Statement1'!J131+'Financial Statement1'!J146+'Financial Statement1'!J149+'Financial Statement1'!J150)*$I$5/$I$6</f>
        <v>0</v>
      </c>
      <c r="C42" s="681" t="str">
        <f t="shared" si="4"/>
        <v/>
      </c>
      <c r="D42" s="761">
        <f>('Financial Statement1'!I129+'Financial Statement1'!I130+'Financial Statement1'!I131+'Financial Statement1'!I146+'Financial Statement1'!I149+'Financial Statement1'!I150)*$I$5/$I$6</f>
        <v>0</v>
      </c>
      <c r="E42" s="681" t="str">
        <f t="shared" si="5"/>
        <v/>
      </c>
      <c r="F42" s="761">
        <f>('Financial Statement1'!H129+'Financial Statement1'!H130+'Financial Statement1'!H131+'Financial Statement1'!H146+'Financial Statement1'!H149+'Financial Statement1'!H150)*$I$5/$I$6</f>
        <v>0</v>
      </c>
      <c r="G42" s="681" t="str">
        <f t="shared" si="6"/>
        <v/>
      </c>
      <c r="H42" s="761">
        <f>('Financial Statement1'!G129+'Financial Statement1'!G130+'Financial Statement1'!G131+'Financial Statement1'!G146+'Financial Statement1'!G149+'Financial Statement1'!G150)*$I$5/$I$6</f>
        <v>0</v>
      </c>
    </row>
    <row r="43" spans="1:10" ht="31.5">
      <c r="A43" s="651" t="s">
        <v>33</v>
      </c>
      <c r="B43" s="761">
        <f>('Financial Statement1'!J127+'Financial Statement1'!J128+'Financial Statement1'!J147+'Financial Statement1'!J148)*$I$5/$I$6</f>
        <v>0</v>
      </c>
      <c r="C43" s="681" t="str">
        <f t="shared" si="4"/>
        <v/>
      </c>
      <c r="D43" s="761">
        <f>('Financial Statement1'!I127+'Financial Statement1'!I128+'Financial Statement1'!I147+'Financial Statement1'!I148)*$I$5/$I$6</f>
        <v>0</v>
      </c>
      <c r="E43" s="681" t="str">
        <f t="shared" si="5"/>
        <v/>
      </c>
      <c r="F43" s="761">
        <f>('Financial Statement1'!H127+'Financial Statement1'!H128+'Financial Statement1'!H147+'Financial Statement1'!H148)*$I$5/$I$6</f>
        <v>0</v>
      </c>
      <c r="G43" s="681" t="str">
        <f t="shared" si="6"/>
        <v/>
      </c>
      <c r="H43" s="761">
        <f>('Financial Statement1'!G127+'Financial Statement1'!G128+'Financial Statement1'!G147+'Financial Statement1'!G148)*$I$5/$I$6</f>
        <v>0</v>
      </c>
    </row>
    <row r="44" spans="1:10" ht="15.75">
      <c r="A44" s="652" t="s">
        <v>34</v>
      </c>
      <c r="B44" s="711">
        <f>B45+B46</f>
        <v>0</v>
      </c>
      <c r="C44" s="712" t="str">
        <f t="shared" si="4"/>
        <v/>
      </c>
      <c r="D44" s="711">
        <f>D45+D46</f>
        <v>0</v>
      </c>
      <c r="E44" s="712" t="str">
        <f t="shared" si="5"/>
        <v/>
      </c>
      <c r="F44" s="711">
        <f>F45+F46</f>
        <v>0</v>
      </c>
      <c r="G44" s="712" t="str">
        <f t="shared" si="6"/>
        <v/>
      </c>
      <c r="H44" s="711">
        <f>H45+H46</f>
        <v>0</v>
      </c>
    </row>
    <row r="45" spans="1:10" ht="15.75">
      <c r="A45" s="653" t="s">
        <v>35</v>
      </c>
      <c r="B45" s="761">
        <f>'Financial Statement1'!J158*$I$5/$I$6</f>
        <v>0</v>
      </c>
      <c r="C45" s="681" t="str">
        <f t="shared" si="4"/>
        <v/>
      </c>
      <c r="D45" s="761">
        <f>'Financial Statement1'!I158*$I$5/$I$6</f>
        <v>0</v>
      </c>
      <c r="E45" s="681" t="str">
        <f t="shared" si="5"/>
        <v/>
      </c>
      <c r="F45" s="761">
        <f>'Financial Statement1'!H158*$I$5/$I$6</f>
        <v>0</v>
      </c>
      <c r="G45" s="681" t="str">
        <f t="shared" si="6"/>
        <v/>
      </c>
      <c r="H45" s="761">
        <f>'Financial Statement1'!G158*$I$5/$I$6</f>
        <v>0</v>
      </c>
    </row>
    <row r="46" spans="1:10" ht="15.75">
      <c r="A46" s="648" t="s">
        <v>36</v>
      </c>
      <c r="B46" s="761">
        <f>('Financial Statement1'!J132+'Financial Statement1'!J133+'Financial Statement1'!J136+'Financial Statement1'!J139+'Financial Statement1'!J151+'Financial Statement1'!J156+'Financial Statement1'!J159+'Financial Statement1'!J160)*$I$5/$I$6</f>
        <v>0</v>
      </c>
      <c r="C46" s="681" t="str">
        <f t="shared" si="4"/>
        <v/>
      </c>
      <c r="D46" s="761">
        <f>('Financial Statement1'!I132+'Financial Statement1'!I133+'Financial Statement1'!I136+'Financial Statement1'!I139+'Financial Statement1'!I151+'Financial Statement1'!I156+'Financial Statement1'!I159+'Financial Statement1'!I160)*$I$5/$I$6</f>
        <v>0</v>
      </c>
      <c r="E46" s="681" t="str">
        <f t="shared" si="5"/>
        <v/>
      </c>
      <c r="F46" s="761">
        <f>('Financial Statement1'!H132+'Financial Statement1'!H133+'Financial Statement1'!H136+'Financial Statement1'!H139+'Financial Statement1'!H151+'Financial Statement1'!H156+'Financial Statement1'!H159+'Financial Statement1'!H160)*$I$5/$I$6</f>
        <v>0</v>
      </c>
      <c r="G46" s="681" t="str">
        <f t="shared" si="6"/>
        <v/>
      </c>
      <c r="H46" s="761">
        <f>('Financial Statement1'!G132+'Financial Statement1'!G133+'Financial Statement1'!G136+'Financial Statement1'!G139+'Financial Statement1'!G151+'Financial Statement1'!G156+'Financial Statement1'!G159+'Financial Statement1'!G160)*$I$5/$I$6</f>
        <v>0</v>
      </c>
    </row>
    <row r="47" spans="1:10" ht="15.75">
      <c r="A47" s="654" t="s">
        <v>37</v>
      </c>
      <c r="B47" s="713">
        <f>B41+B42+B44</f>
        <v>0</v>
      </c>
      <c r="C47" s="710" t="str">
        <f t="shared" si="4"/>
        <v/>
      </c>
      <c r="D47" s="713">
        <f>D41+D42+D44</f>
        <v>0</v>
      </c>
      <c r="E47" s="710" t="str">
        <f t="shared" si="5"/>
        <v/>
      </c>
      <c r="F47" s="713">
        <f>F41+F42+F44</f>
        <v>0</v>
      </c>
      <c r="G47" s="710" t="str">
        <f t="shared" si="6"/>
        <v/>
      </c>
      <c r="H47" s="713">
        <f>H41+H42+H44</f>
        <v>0</v>
      </c>
    </row>
    <row r="48" spans="1:10" ht="15.75">
      <c r="A48" s="655" t="s">
        <v>38</v>
      </c>
      <c r="B48" s="714">
        <f>B36+B37+B41+B42+B43+B44</f>
        <v>0</v>
      </c>
      <c r="C48" s="715" t="str">
        <f t="shared" si="4"/>
        <v/>
      </c>
      <c r="D48" s="714">
        <f>D36+D37+D41+D42+D43+D44</f>
        <v>0</v>
      </c>
      <c r="E48" s="715" t="str">
        <f t="shared" si="5"/>
        <v/>
      </c>
      <c r="F48" s="714">
        <f>F36+F37+F41+F42+F43+F44</f>
        <v>0</v>
      </c>
      <c r="G48" s="715" t="str">
        <f t="shared" si="6"/>
        <v/>
      </c>
      <c r="H48" s="714">
        <f>H36+H37+H41+H42+H43+H44</f>
        <v>0</v>
      </c>
    </row>
    <row r="49" spans="1:8" ht="15.75">
      <c r="A49" s="651" t="s">
        <v>39</v>
      </c>
      <c r="B49" s="761">
        <f>'Financial Statement1'!J166*$I$5/$I$6</f>
        <v>0</v>
      </c>
      <c r="C49" s="681" t="str">
        <f t="shared" si="4"/>
        <v/>
      </c>
      <c r="D49" s="761">
        <f>'Financial Statement1'!I166*$I$5/$I$6</f>
        <v>0</v>
      </c>
      <c r="E49" s="681" t="str">
        <f t="shared" si="5"/>
        <v/>
      </c>
      <c r="F49" s="761">
        <f>'Financial Statement1'!H166*$I$5/$I$6</f>
        <v>0</v>
      </c>
      <c r="G49" s="681" t="str">
        <f t="shared" si="6"/>
        <v/>
      </c>
      <c r="H49" s="761">
        <f>'Financial Statement1'!G166*$I$5/$I$6</f>
        <v>0</v>
      </c>
    </row>
    <row r="50" spans="1:8" ht="15.75">
      <c r="A50" s="656" t="s">
        <v>40</v>
      </c>
      <c r="B50" s="713">
        <f>B51+B53+B52</f>
        <v>0</v>
      </c>
      <c r="C50" s="710" t="str">
        <f t="shared" si="4"/>
        <v/>
      </c>
      <c r="D50" s="713">
        <f>D51+D53+D52</f>
        <v>0</v>
      </c>
      <c r="E50" s="710" t="str">
        <f t="shared" si="5"/>
        <v/>
      </c>
      <c r="F50" s="713">
        <f>F51+F53+F52</f>
        <v>0</v>
      </c>
      <c r="G50" s="710" t="str">
        <f t="shared" si="6"/>
        <v/>
      </c>
      <c r="H50" s="713">
        <f>H51+H53+H52</f>
        <v>0</v>
      </c>
    </row>
    <row r="51" spans="1:8" ht="15.75">
      <c r="A51" s="657" t="s">
        <v>41</v>
      </c>
      <c r="B51" s="761">
        <f>('Financial Statement1'!J177+'Financial Statement1'!J178+'Financial Statement1'!J196+'Financial Statement1'!J199)*$I$5/$I$6</f>
        <v>0</v>
      </c>
      <c r="C51" s="681" t="str">
        <f t="shared" si="4"/>
        <v/>
      </c>
      <c r="D51" s="761">
        <f>('Financial Statement1'!I177+'Financial Statement1'!I178+'Financial Statement1'!I196+'Financial Statement1'!I199)*$I$5/$I$6</f>
        <v>0</v>
      </c>
      <c r="E51" s="681" t="str">
        <f t="shared" si="5"/>
        <v/>
      </c>
      <c r="F51" s="761">
        <f>('Financial Statement1'!H177+'Financial Statement1'!H178+'Financial Statement1'!H196+'Financial Statement1'!H199)*$I$5/$I$6</f>
        <v>0</v>
      </c>
      <c r="G51" s="681" t="str">
        <f t="shared" si="6"/>
        <v/>
      </c>
      <c r="H51" s="761">
        <f>('Financial Statement1'!G177+'Financial Statement1'!G178+'Financial Statement1'!G196+'Financial Statement1'!G199)*$I$5/$I$6</f>
        <v>0</v>
      </c>
    </row>
    <row r="52" spans="1:8" ht="15.75">
      <c r="A52" s="657" t="s">
        <v>42</v>
      </c>
      <c r="B52" s="761">
        <f>('Financial Statement1'!J179+'Financial Statement1'!J200)*$I$5/$I$6</f>
        <v>0</v>
      </c>
      <c r="C52" s="681" t="str">
        <f t="shared" si="4"/>
        <v/>
      </c>
      <c r="D52" s="761">
        <f>('Financial Statement1'!I179+'Financial Statement1'!I200)*$I$5/$I$6</f>
        <v>0</v>
      </c>
      <c r="E52" s="681" t="str">
        <f t="shared" si="5"/>
        <v/>
      </c>
      <c r="F52" s="761">
        <f>('Financial Statement1'!H179+'Financial Statement1'!H200)*$I$5/$I$6</f>
        <v>0</v>
      </c>
      <c r="G52" s="681" t="str">
        <f t="shared" si="6"/>
        <v/>
      </c>
      <c r="H52" s="761">
        <f>('Financial Statement1'!G179+'Financial Statement1'!G200)*$I$5/$I$6</f>
        <v>0</v>
      </c>
    </row>
    <row r="53" spans="1:8" ht="15.75">
      <c r="A53" s="657" t="s">
        <v>43</v>
      </c>
      <c r="B53" s="761">
        <f>('Financial Statement1'!J201+'Financial Statement1'!J180)*$I$5/$I$6</f>
        <v>0</v>
      </c>
      <c r="C53" s="681" t="str">
        <f t="shared" si="4"/>
        <v/>
      </c>
      <c r="D53" s="761">
        <f>('Financial Statement1'!I201+'Financial Statement1'!I180)*$I$5/$I$6</f>
        <v>0</v>
      </c>
      <c r="E53" s="681" t="str">
        <f t="shared" si="5"/>
        <v/>
      </c>
      <c r="F53" s="761">
        <f>('Financial Statement1'!H201+'Financial Statement1'!H180)*$I$5/$I$6</f>
        <v>0</v>
      </c>
      <c r="G53" s="681" t="str">
        <f t="shared" si="6"/>
        <v/>
      </c>
      <c r="H53" s="761">
        <f>('Financial Statement1'!G201+'Financial Statement1'!G180)*$I$5/$I$6</f>
        <v>0</v>
      </c>
    </row>
    <row r="54" spans="1:8" ht="15.75">
      <c r="A54" s="658" t="s">
        <v>44</v>
      </c>
      <c r="B54" s="711">
        <f>B56+B57+B60+B61+B55</f>
        <v>0</v>
      </c>
      <c r="C54" s="712" t="str">
        <f t="shared" si="4"/>
        <v/>
      </c>
      <c r="D54" s="711">
        <f>D56+D57+D60+D61+D55</f>
        <v>0</v>
      </c>
      <c r="E54" s="712" t="str">
        <f t="shared" si="5"/>
        <v/>
      </c>
      <c r="F54" s="711">
        <f>F56+F57+F60+F61+F55</f>
        <v>0</v>
      </c>
      <c r="G54" s="712" t="str">
        <f t="shared" si="6"/>
        <v/>
      </c>
      <c r="H54" s="711">
        <f>H56+H57+H60+H61+H55</f>
        <v>0</v>
      </c>
    </row>
    <row r="55" spans="1:8" ht="15.75">
      <c r="A55" s="659" t="s">
        <v>45</v>
      </c>
      <c r="B55" s="761">
        <f>'Financial Statement1'!J187*$I$5/$I$6</f>
        <v>0</v>
      </c>
      <c r="C55" s="681" t="str">
        <f t="shared" si="4"/>
        <v/>
      </c>
      <c r="D55" s="761">
        <f>'Financial Statement1'!I187*$I$5/$I$6</f>
        <v>0</v>
      </c>
      <c r="E55" s="681" t="str">
        <f t="shared" si="5"/>
        <v/>
      </c>
      <c r="F55" s="761">
        <f>'Financial Statement1'!H187*$I$5/$I$6</f>
        <v>0</v>
      </c>
      <c r="G55" s="681" t="str">
        <f t="shared" si="6"/>
        <v/>
      </c>
      <c r="H55" s="761">
        <f>'Financial Statement1'!G187*$I$5/$I$6</f>
        <v>0</v>
      </c>
    </row>
    <row r="56" spans="1:8" ht="15.75">
      <c r="A56" s="651" t="s">
        <v>46</v>
      </c>
      <c r="B56" s="761">
        <f>'Financial Statement1'!J202*$I$5/$I$6</f>
        <v>0</v>
      </c>
      <c r="C56" s="681" t="str">
        <f t="shared" si="4"/>
        <v/>
      </c>
      <c r="D56" s="761">
        <f>'Financial Statement1'!I202*$I$5/$I$6</f>
        <v>0</v>
      </c>
      <c r="E56" s="681" t="str">
        <f t="shared" si="5"/>
        <v/>
      </c>
      <c r="F56" s="761">
        <f>'Financial Statement1'!H202*$I$5/$I$6</f>
        <v>0</v>
      </c>
      <c r="G56" s="681" t="str">
        <f t="shared" si="6"/>
        <v/>
      </c>
      <c r="H56" s="761">
        <f>'Financial Statement1'!G202*$I$5/$I$6</f>
        <v>0</v>
      </c>
    </row>
    <row r="57" spans="1:8" ht="15.75">
      <c r="A57" s="660" t="s">
        <v>47</v>
      </c>
      <c r="B57" s="716">
        <f>B58+B59</f>
        <v>0</v>
      </c>
      <c r="C57" s="710" t="str">
        <f t="shared" si="4"/>
        <v/>
      </c>
      <c r="D57" s="716">
        <f>D58+D59</f>
        <v>0</v>
      </c>
      <c r="E57" s="710" t="str">
        <f t="shared" si="5"/>
        <v/>
      </c>
      <c r="F57" s="716">
        <f>F58+F59</f>
        <v>0</v>
      </c>
      <c r="G57" s="710" t="str">
        <f t="shared" si="6"/>
        <v/>
      </c>
      <c r="H57" s="716">
        <f>H58+H59</f>
        <v>0</v>
      </c>
    </row>
    <row r="58" spans="1:8" ht="15.75">
      <c r="A58" s="651" t="s">
        <v>48</v>
      </c>
      <c r="B58" s="761">
        <f>'Financial Statement1'!J209*$I$5/$I$6</f>
        <v>0</v>
      </c>
      <c r="C58" s="681" t="str">
        <f t="shared" si="4"/>
        <v/>
      </c>
      <c r="D58" s="761">
        <f>'Financial Statement1'!I209*$I$5/$I$6</f>
        <v>0</v>
      </c>
      <c r="E58" s="681" t="str">
        <f t="shared" si="5"/>
        <v/>
      </c>
      <c r="F58" s="761">
        <f>'Financial Statement1'!H209*$I$5/$I$6</f>
        <v>0</v>
      </c>
      <c r="G58" s="681" t="str">
        <f t="shared" si="6"/>
        <v/>
      </c>
      <c r="H58" s="761">
        <f>'Financial Statement1'!G209*$I$5/$I$6</f>
        <v>0</v>
      </c>
    </row>
    <row r="59" spans="1:8" ht="15.75">
      <c r="A59" s="651" t="s">
        <v>49</v>
      </c>
      <c r="B59" s="761">
        <f>'Financial Statement1'!J208*$I$5/$I$6</f>
        <v>0</v>
      </c>
      <c r="C59" s="681" t="str">
        <f t="shared" si="4"/>
        <v/>
      </c>
      <c r="D59" s="761">
        <f>'Financial Statement1'!I208*$I$5/$I$6</f>
        <v>0</v>
      </c>
      <c r="E59" s="681" t="str">
        <f t="shared" si="5"/>
        <v/>
      </c>
      <c r="F59" s="761">
        <f>'Financial Statement1'!H208*$I$5/$I$6</f>
        <v>0</v>
      </c>
      <c r="G59" s="681" t="str">
        <f t="shared" si="6"/>
        <v/>
      </c>
      <c r="H59" s="761">
        <f>'Financial Statement1'!G208*$I$5/$I$6</f>
        <v>0</v>
      </c>
    </row>
    <row r="60" spans="1:8" ht="15.75">
      <c r="A60" s="651" t="s">
        <v>50</v>
      </c>
      <c r="B60" s="761">
        <f>'Financial Statement1'!J212*$I$5/$I$6</f>
        <v>0</v>
      </c>
      <c r="C60" s="681" t="str">
        <f t="shared" si="4"/>
        <v/>
      </c>
      <c r="D60" s="761">
        <f>'Financial Statement1'!I212*$I$5/$I$6</f>
        <v>0</v>
      </c>
      <c r="E60" s="681" t="str">
        <f t="shared" si="5"/>
        <v/>
      </c>
      <c r="F60" s="761">
        <f>'Financial Statement1'!H212*$I$5/$I$6</f>
        <v>0</v>
      </c>
      <c r="G60" s="681" t="str">
        <f t="shared" si="6"/>
        <v/>
      </c>
      <c r="H60" s="761">
        <f>'Financial Statement1'!G212*$I$5/$I$6</f>
        <v>0</v>
      </c>
    </row>
    <row r="61" spans="1:8" ht="15.75">
      <c r="A61" s="661" t="s">
        <v>51</v>
      </c>
      <c r="B61" s="717">
        <f>B62+B63</f>
        <v>0</v>
      </c>
      <c r="C61" s="710" t="str">
        <f t="shared" si="4"/>
        <v/>
      </c>
      <c r="D61" s="717">
        <f>D62+D63</f>
        <v>0</v>
      </c>
      <c r="E61" s="710" t="str">
        <f t="shared" si="5"/>
        <v/>
      </c>
      <c r="F61" s="717">
        <f>F62+F63</f>
        <v>0</v>
      </c>
      <c r="G61" s="710" t="str">
        <f t="shared" si="6"/>
        <v/>
      </c>
      <c r="H61" s="717">
        <f>H62+H63</f>
        <v>0</v>
      </c>
    </row>
    <row r="62" spans="1:8" ht="31.5">
      <c r="A62" s="648" t="s">
        <v>52</v>
      </c>
      <c r="B62" s="761">
        <f>('Financial Statement1'!J182+'Financial Statement1'!J214)*$I$5/$I$6</f>
        <v>0</v>
      </c>
      <c r="C62" s="681" t="str">
        <f t="shared" si="4"/>
        <v/>
      </c>
      <c r="D62" s="761">
        <f>('Financial Statement1'!I182+'Financial Statement1'!I214)*$I$5/$I$6</f>
        <v>0</v>
      </c>
      <c r="E62" s="681" t="str">
        <f t="shared" si="5"/>
        <v/>
      </c>
      <c r="F62" s="761">
        <f>('Financial Statement1'!H182+'Financial Statement1'!H214)*$I$5/$I$6</f>
        <v>0</v>
      </c>
      <c r="G62" s="681" t="str">
        <f t="shared" si="6"/>
        <v/>
      </c>
      <c r="H62" s="761">
        <f>('Financial Statement1'!G182+'Financial Statement1'!G214)*$I$5/$I$6</f>
        <v>0</v>
      </c>
    </row>
    <row r="63" spans="1:8" ht="15.75">
      <c r="A63" s="648" t="s">
        <v>53</v>
      </c>
      <c r="B63" s="761">
        <f>('Financial Statement1'!J186+'Financial Statement1'!J218)*$I$5/$I$6</f>
        <v>0</v>
      </c>
      <c r="C63" s="681" t="str">
        <f t="shared" si="4"/>
        <v/>
      </c>
      <c r="D63" s="761">
        <f>('Financial Statement1'!I186+'Financial Statement1'!I218)*$I$5/$I$6</f>
        <v>0</v>
      </c>
      <c r="E63" s="681" t="str">
        <f t="shared" si="5"/>
        <v/>
      </c>
      <c r="F63" s="761">
        <f>('Financial Statement1'!H186+'Financial Statement1'!H218)*$I$5/$I$6</f>
        <v>0</v>
      </c>
      <c r="G63" s="681" t="str">
        <f t="shared" si="6"/>
        <v/>
      </c>
      <c r="H63" s="761">
        <f>('Financial Statement1'!G186+'Financial Statement1'!G218)*$I$5/$I$6</f>
        <v>0</v>
      </c>
    </row>
    <row r="64" spans="1:8" ht="31.5">
      <c r="A64" s="648" t="s">
        <v>54</v>
      </c>
      <c r="B64" s="761">
        <f>('Financial Statement1'!J188+'Financial Statement1'!J219)*$I$5/$I$6</f>
        <v>0</v>
      </c>
      <c r="C64" s="681" t="str">
        <f t="shared" si="4"/>
        <v/>
      </c>
      <c r="D64" s="761">
        <f>('Financial Statement1'!I188+'Financial Statement1'!I219)*$I$5/$I$6</f>
        <v>0</v>
      </c>
      <c r="E64" s="681" t="str">
        <f t="shared" si="5"/>
        <v/>
      </c>
      <c r="F64" s="761">
        <f>('Financial Statement1'!H188+'Financial Statement1'!H219)*$I$5/$I$6</f>
        <v>0</v>
      </c>
      <c r="G64" s="681" t="str">
        <f t="shared" si="6"/>
        <v/>
      </c>
      <c r="H64" s="761">
        <f>('Financial Statement1'!G188+'Financial Statement1'!G219)*$I$5/$I$6</f>
        <v>0</v>
      </c>
    </row>
    <row r="65" spans="1:9" ht="15.75">
      <c r="A65" s="655" t="s">
        <v>38</v>
      </c>
      <c r="B65" s="718">
        <f>B49+B50+B54+B64</f>
        <v>0</v>
      </c>
      <c r="C65" s="715" t="str">
        <f t="shared" si="4"/>
        <v/>
      </c>
      <c r="D65" s="718">
        <f>D49+D50+D54+D64</f>
        <v>0</v>
      </c>
      <c r="E65" s="715" t="str">
        <f t="shared" si="5"/>
        <v/>
      </c>
      <c r="F65" s="718">
        <f>F49+F50+F54+F64</f>
        <v>0</v>
      </c>
      <c r="G65" s="715" t="str">
        <f t="shared" si="6"/>
        <v/>
      </c>
      <c r="H65" s="718">
        <f>H49+H50+H54+H64</f>
        <v>0</v>
      </c>
      <c r="I65" s="704"/>
    </row>
    <row r="66" spans="1:9" ht="15.75">
      <c r="A66" s="662"/>
      <c r="B66" s="719"/>
      <c r="C66" s="719"/>
      <c r="D66" s="719"/>
      <c r="E66" s="719"/>
      <c r="F66" s="719"/>
      <c r="G66" s="719"/>
      <c r="H66" s="719"/>
    </row>
    <row r="67" spans="1:9" ht="12.75">
      <c r="A67" s="1161" t="s">
        <v>55</v>
      </c>
      <c r="B67" s="1161"/>
      <c r="C67" s="1161"/>
      <c r="D67" s="1161"/>
      <c r="E67" s="1161"/>
      <c r="F67" s="1161"/>
      <c r="G67" s="1161"/>
      <c r="H67" s="1161"/>
    </row>
    <row r="68" spans="1:9" ht="12.75">
      <c r="A68" s="1161"/>
      <c r="B68" s="1161"/>
      <c r="C68" s="1161"/>
      <c r="D68" s="1161"/>
      <c r="E68" s="1161"/>
      <c r="F68" s="1161"/>
      <c r="G68" s="1161"/>
      <c r="H68" s="1161"/>
    </row>
    <row r="69" spans="1:9" ht="15.75">
      <c r="A69" s="663" t="s">
        <v>56</v>
      </c>
      <c r="B69" s="720" t="str">
        <f>IFERROR(B57/B5*365,"-")</f>
        <v>-</v>
      </c>
      <c r="C69" s="721"/>
      <c r="D69" s="720" t="str">
        <f>IFERROR(D57/D5*365,"-")</f>
        <v>-</v>
      </c>
      <c r="E69" s="721"/>
      <c r="F69" s="720" t="str">
        <f>IFERROR(F57/F5*365,"-")</f>
        <v>-</v>
      </c>
      <c r="G69" s="721"/>
      <c r="H69" s="720" t="str">
        <f>IFERROR(H57/H5*365,"-")</f>
        <v>-</v>
      </c>
    </row>
    <row r="70" spans="1:9" ht="15.75">
      <c r="A70" s="663" t="s">
        <v>57</v>
      </c>
      <c r="B70" s="720" t="str">
        <f>IFERROR(B56/(B10+B11+B12)*365,"-")</f>
        <v>-</v>
      </c>
      <c r="C70" s="721"/>
      <c r="D70" s="720" t="str">
        <f>IFERROR(D56/(D10+D11+D12)*365,"-")</f>
        <v>-</v>
      </c>
      <c r="E70" s="721"/>
      <c r="F70" s="720" t="str">
        <f>IFERROR(F56/(F10+F11+F12)*365,"-")</f>
        <v>-</v>
      </c>
      <c r="G70" s="721"/>
      <c r="H70" s="720" t="str">
        <f>IFERROR(H56/(H10+H11+H12)*365,"-")</f>
        <v>-</v>
      </c>
    </row>
    <row r="71" spans="1:9" ht="15.75">
      <c r="A71" s="663" t="s">
        <v>58</v>
      </c>
      <c r="B71" s="720" t="str">
        <f>IFERROR(B56/(B11+B10+B12),"-")</f>
        <v>-</v>
      </c>
      <c r="C71" s="721"/>
      <c r="D71" s="720" t="str">
        <f>IFERROR(D56/(D11+D10+D12),"-")</f>
        <v>-</v>
      </c>
      <c r="E71" s="721"/>
      <c r="F71" s="720" t="str">
        <f>IFERROR(F56/(F11+F10+F12),"-")</f>
        <v>-</v>
      </c>
      <c r="G71" s="721"/>
      <c r="H71" s="720" t="str">
        <f>IFERROR(H56/(H11+H10+H12),"-")</f>
        <v>-</v>
      </c>
    </row>
    <row r="72" spans="1:9" ht="15.75">
      <c r="A72" s="663" t="s">
        <v>59</v>
      </c>
      <c r="B72" s="720" t="str">
        <f>IFERROR(B54/(B44+B40),"-")</f>
        <v>-</v>
      </c>
      <c r="C72" s="721"/>
      <c r="D72" s="720" t="str">
        <f>IFERROR(D54/(D44+D40),"-")</f>
        <v>-</v>
      </c>
      <c r="E72" s="721"/>
      <c r="F72" s="720" t="str">
        <f>IFERROR(F54/(F44+F40),"-")</f>
        <v>-</v>
      </c>
      <c r="G72" s="721"/>
      <c r="H72" s="720" t="str">
        <f>IFERROR(H54/(H44+H40),"-")</f>
        <v>-</v>
      </c>
    </row>
    <row r="73" spans="1:9" ht="15.75">
      <c r="A73" s="663" t="s">
        <v>60</v>
      </c>
      <c r="B73" s="720" t="str">
        <f>IFERROR((B54-B56)/(B44+B40),"-")</f>
        <v>-</v>
      </c>
      <c r="C73" s="721"/>
      <c r="D73" s="720" t="str">
        <f>IFERROR((D54-D56)/(D44+D40),"-")</f>
        <v>-</v>
      </c>
      <c r="E73" s="721"/>
      <c r="F73" s="720" t="str">
        <f>IFERROR((F54-F56)/(F44+F40),"-")</f>
        <v>-</v>
      </c>
      <c r="G73" s="721"/>
      <c r="H73" s="720" t="str">
        <f>IFERROR((H54-H56)/(H44+H40),"-")</f>
        <v>-</v>
      </c>
    </row>
    <row r="74" spans="1:9" ht="15.75">
      <c r="A74" s="663" t="s">
        <v>61</v>
      </c>
      <c r="B74" s="720" t="str">
        <f>IFERROR((B39+B40+B42)/B36,"-")</f>
        <v>-</v>
      </c>
      <c r="C74" s="721"/>
      <c r="D74" s="720" t="str">
        <f>IFERROR((D39+D40+D42)/D36,"-")</f>
        <v>-</v>
      </c>
      <c r="E74" s="721"/>
      <c r="F74" s="720" t="str">
        <f>IFERROR((F39+F40+F42)/F36,"-")</f>
        <v>-</v>
      </c>
      <c r="G74" s="721"/>
      <c r="H74" s="720" t="str">
        <f>IFERROR((H39+H40+H42)/H36,"-")</f>
        <v>-</v>
      </c>
    </row>
    <row r="75" spans="1:9" ht="15.75">
      <c r="A75" s="663" t="s">
        <v>62</v>
      </c>
      <c r="B75" s="720" t="str">
        <f>IFERROR(B16/(B18+B19+B20+B21),"-")</f>
        <v>-</v>
      </c>
      <c r="C75" s="721"/>
      <c r="D75" s="720" t="str">
        <f>IFERROR(D16/(D18+D19+D20+D21),"-")</f>
        <v>-</v>
      </c>
      <c r="E75" s="721"/>
      <c r="F75" s="720" t="str">
        <f>IFERROR(F16/(F18+F19+F20+F21),"-")</f>
        <v>-</v>
      </c>
      <c r="G75" s="721"/>
      <c r="H75" s="720" t="str">
        <f>IFERROR(H16/(H18+H19+H20+H21),"-")</f>
        <v>-</v>
      </c>
    </row>
    <row r="76" spans="1:9" ht="15.75">
      <c r="A76" s="663" t="s">
        <v>63</v>
      </c>
      <c r="B76" s="720" t="str">
        <f>IFERROR($B$16/($B$18+$B$19+$B$20+$B$21+($B$39+$B$42)/5),"-")</f>
        <v>-</v>
      </c>
      <c r="C76" s="721"/>
      <c r="D76" s="720" t="str">
        <f>IFERROR($D$16/($D$18+$D$19+$D$20+$D$21+($D$39+$D$42)/5),"-")</f>
        <v>-</v>
      </c>
      <c r="E76" s="721"/>
      <c r="F76" s="720" t="str">
        <f>IFERROR($F$16/($F$18+$F$19+$F$20+$F$21+($F$39+$F$42)/5),"-")</f>
        <v>-</v>
      </c>
      <c r="G76" s="721"/>
      <c r="H76" s="720" t="str">
        <f>IFERROR($H$16/($H$18+$H$19+$H$20+$H$21+($H$39+$H$42)/5),"-")</f>
        <v>-</v>
      </c>
    </row>
    <row r="77" spans="1:9" ht="15.75">
      <c r="A77" s="663" t="s">
        <v>64</v>
      </c>
      <c r="B77" s="720" t="str">
        <f>IFERROR($B$16/($B$18+$B$19+$B$20+$B$21+($B$39+$B$42)/5+Eligibility!F38),"-")</f>
        <v>-</v>
      </c>
      <c r="C77" s="721"/>
      <c r="D77" s="720" t="str">
        <f>IFERROR($D$16/($D$18+$D$19+$D$20+$D$21+($D$39+$D$42)/5),"-")</f>
        <v>-</v>
      </c>
      <c r="E77" s="721"/>
      <c r="F77" s="720" t="str">
        <f>IFERROR($F$16/($F$18+$F$19+$F$20+$F$21+($F$39+$F$42)/5),"-")</f>
        <v>-</v>
      </c>
      <c r="G77" s="721"/>
      <c r="H77" s="720" t="str">
        <f>IFERROR($H$16/($H$18+$H$19+$H$20+$H$21+($H$39+$H$42)/5),"-")</f>
        <v>-</v>
      </c>
    </row>
    <row r="78" spans="1:9" ht="15.75">
      <c r="A78" s="663" t="s">
        <v>65</v>
      </c>
      <c r="B78" s="720" t="str">
        <f>IFERROR(B13/B5*100,"-")</f>
        <v>-</v>
      </c>
      <c r="C78" s="721"/>
      <c r="D78" s="720" t="str">
        <f>IFERROR(D13/D5*100,"-")</f>
        <v>-</v>
      </c>
      <c r="E78" s="721"/>
      <c r="F78" s="720" t="str">
        <f>IFERROR(F13/F5*100,"-")</f>
        <v>-</v>
      </c>
      <c r="G78" s="721"/>
      <c r="H78" s="720" t="str">
        <f>IFERROR(H13/H5*100,"-")</f>
        <v>-</v>
      </c>
    </row>
    <row r="79" spans="1:9" ht="15.75">
      <c r="A79" s="663" t="s">
        <v>66</v>
      </c>
      <c r="B79" s="720" t="str">
        <f>IFERROR(B25/B5*100,"-")</f>
        <v>-</v>
      </c>
      <c r="C79" s="721"/>
      <c r="D79" s="720" t="str">
        <f>IFERROR(D25/D5*100,"-")</f>
        <v>-</v>
      </c>
      <c r="E79" s="721"/>
      <c r="F79" s="720" t="str">
        <f>IFERROR(F25/F5*100,"-")</f>
        <v>-</v>
      </c>
      <c r="G79" s="721"/>
      <c r="H79" s="720" t="str">
        <f>IFERROR(H25/H5*100,"-")</f>
        <v>-</v>
      </c>
    </row>
    <row r="80" spans="1:9" ht="15.75">
      <c r="A80" s="663" t="s">
        <v>67</v>
      </c>
      <c r="B80" s="720" t="str">
        <f>IFERROR(B26/B5*100,"-")</f>
        <v>-</v>
      </c>
      <c r="C80" s="721"/>
      <c r="D80" s="720" t="str">
        <f>IFERROR(D26/D5*100,"-")</f>
        <v>-</v>
      </c>
      <c r="E80" s="721"/>
      <c r="F80" s="720" t="str">
        <f>IFERROR(F26/F5*100,"-")</f>
        <v>-</v>
      </c>
      <c r="G80" s="721"/>
      <c r="H80" s="720" t="str">
        <f>IFERROR(H26/H5*100,"-")</f>
        <v>-</v>
      </c>
    </row>
    <row r="81" spans="1:9" ht="15.75">
      <c r="A81" s="663" t="s">
        <v>68</v>
      </c>
      <c r="B81" s="720" t="str">
        <f>IFERROR((B5-D5)/D5*100,"-")</f>
        <v>-</v>
      </c>
      <c r="C81" s="722"/>
      <c r="D81" s="720" t="str">
        <f>IFERROR((D5-F5)/F5*100,"-")</f>
        <v>-</v>
      </c>
      <c r="E81" s="722"/>
      <c r="F81" s="723" t="e">
        <f>#N/A</f>
        <v>#N/A</v>
      </c>
      <c r="G81" s="722"/>
      <c r="H81" s="720" t="e">
        <f>#N/A</f>
        <v>#N/A</v>
      </c>
    </row>
    <row r="82" spans="1:9" ht="15.75">
      <c r="A82" s="663" t="s">
        <v>69</v>
      </c>
      <c r="B82" s="720" t="str">
        <f>IFERROR((B25-D25)/D25*100,"-")</f>
        <v>-</v>
      </c>
      <c r="C82" s="722"/>
      <c r="D82" s="720" t="str">
        <f>IFERROR((D25-F25)/F25*100,"-")</f>
        <v>-</v>
      </c>
      <c r="E82" s="722"/>
      <c r="F82" s="723" t="e">
        <f>#N/A</f>
        <v>#N/A</v>
      </c>
      <c r="G82" s="722"/>
      <c r="H82" s="720" t="e">
        <f>#N/A</f>
        <v>#N/A</v>
      </c>
    </row>
    <row r="83" spans="1:9" ht="15.75">
      <c r="A83" s="663"/>
      <c r="B83" s="724"/>
      <c r="C83" s="721"/>
      <c r="D83" s="724"/>
      <c r="E83" s="721"/>
      <c r="F83" s="724"/>
      <c r="G83" s="721"/>
      <c r="H83" s="720"/>
    </row>
    <row r="84" spans="1:9" ht="15.75">
      <c r="A84" s="664" t="s">
        <v>70</v>
      </c>
      <c r="B84" s="724"/>
      <c r="C84" s="721"/>
      <c r="D84" s="724"/>
      <c r="E84" s="721"/>
      <c r="F84" s="724"/>
      <c r="G84" s="721"/>
      <c r="H84" s="720"/>
    </row>
    <row r="85" spans="1:9" ht="15.75">
      <c r="A85" s="664"/>
      <c r="B85" s="724"/>
      <c r="C85" s="721"/>
      <c r="D85" s="724"/>
      <c r="E85" s="721"/>
      <c r="F85" s="724"/>
      <c r="G85" s="721"/>
      <c r="H85" s="720"/>
    </row>
    <row r="86" spans="1:9" ht="15.75">
      <c r="A86" s="663" t="s">
        <v>71</v>
      </c>
      <c r="B86" s="724">
        <f>B25</f>
        <v>0</v>
      </c>
      <c r="C86" s="721"/>
      <c r="D86" s="724">
        <f>D25</f>
        <v>0</v>
      </c>
      <c r="E86" s="721"/>
      <c r="F86" s="724">
        <f>F25</f>
        <v>0</v>
      </c>
      <c r="G86" s="721"/>
      <c r="H86" s="720">
        <f>H25</f>
        <v>0</v>
      </c>
    </row>
    <row r="87" spans="1:9" ht="15.75">
      <c r="A87" s="663" t="s">
        <v>72</v>
      </c>
      <c r="B87" s="724"/>
      <c r="C87" s="721"/>
      <c r="D87" s="724"/>
      <c r="E87" s="721"/>
      <c r="F87" s="724"/>
      <c r="G87" s="721"/>
      <c r="H87" s="720"/>
    </row>
    <row r="88" spans="1:9" ht="15.75">
      <c r="A88" s="663" t="s">
        <v>73</v>
      </c>
      <c r="B88" s="724">
        <f>B17</f>
        <v>0</v>
      </c>
      <c r="C88" s="721"/>
      <c r="D88" s="724">
        <f>D17</f>
        <v>0</v>
      </c>
      <c r="E88" s="721"/>
      <c r="F88" s="724">
        <f>F17</f>
        <v>0</v>
      </c>
      <c r="G88" s="721"/>
      <c r="H88" s="720">
        <f>H17</f>
        <v>0</v>
      </c>
    </row>
    <row r="89" spans="1:9" ht="15.75">
      <c r="A89" s="663" t="s">
        <v>74</v>
      </c>
      <c r="B89" s="724">
        <f>B22</f>
        <v>0</v>
      </c>
      <c r="C89" s="721"/>
      <c r="D89" s="724">
        <f>D22</f>
        <v>0</v>
      </c>
      <c r="E89" s="721"/>
      <c r="F89" s="724">
        <f>F22</f>
        <v>0</v>
      </c>
      <c r="G89" s="721"/>
      <c r="H89" s="720">
        <f>H22</f>
        <v>0</v>
      </c>
    </row>
    <row r="90" spans="1:9" ht="15.75">
      <c r="A90" s="663" t="s">
        <v>75</v>
      </c>
      <c r="B90" s="724">
        <f>B27</f>
        <v>0</v>
      </c>
      <c r="C90" s="721"/>
      <c r="D90" s="724">
        <f>D27</f>
        <v>0</v>
      </c>
      <c r="E90" s="721"/>
      <c r="F90" s="724">
        <f>F27</f>
        <v>0</v>
      </c>
      <c r="G90" s="721"/>
      <c r="H90" s="720">
        <f>H27</f>
        <v>0</v>
      </c>
    </row>
    <row r="91" spans="1:9" ht="15.75">
      <c r="A91" s="663" t="s">
        <v>76</v>
      </c>
      <c r="B91" s="724">
        <f>B28</f>
        <v>0</v>
      </c>
      <c r="C91" s="721"/>
      <c r="D91" s="724">
        <f>D28</f>
        <v>0</v>
      </c>
      <c r="E91" s="721"/>
      <c r="F91" s="724">
        <f>F28</f>
        <v>0</v>
      </c>
      <c r="G91" s="721"/>
      <c r="H91" s="720">
        <f>H28</f>
        <v>0</v>
      </c>
    </row>
    <row r="92" spans="1:9" ht="15.75">
      <c r="A92" s="663" t="s">
        <v>77</v>
      </c>
      <c r="B92" s="724">
        <f>B24</f>
        <v>0</v>
      </c>
      <c r="C92" s="721"/>
      <c r="D92" s="724">
        <f>D24</f>
        <v>0</v>
      </c>
      <c r="E92" s="721"/>
      <c r="F92" s="724">
        <f>F24</f>
        <v>0</v>
      </c>
      <c r="G92" s="721"/>
      <c r="H92" s="720">
        <f>H24</f>
        <v>0</v>
      </c>
    </row>
    <row r="93" spans="1:9" ht="15.75">
      <c r="A93" s="663" t="s">
        <v>78</v>
      </c>
      <c r="B93" s="724">
        <f>B18+B19+B20+B21</f>
        <v>0</v>
      </c>
      <c r="C93" s="721"/>
      <c r="D93" s="724">
        <f>D18+D19+D20+D21</f>
        <v>0</v>
      </c>
      <c r="E93" s="721"/>
      <c r="F93" s="724">
        <f>F18+F19+F20+F21</f>
        <v>0</v>
      </c>
      <c r="G93" s="721"/>
      <c r="H93" s="720">
        <f>H18+H19+H20+H21</f>
        <v>0</v>
      </c>
    </row>
    <row r="94" spans="1:9" ht="31.5">
      <c r="A94" s="665" t="s">
        <v>79</v>
      </c>
      <c r="B94" s="725">
        <f>-B7</f>
        <v>0</v>
      </c>
      <c r="C94" s="726"/>
      <c r="D94" s="725">
        <f>-D7</f>
        <v>0</v>
      </c>
      <c r="E94" s="726"/>
      <c r="F94" s="725">
        <f>-F7</f>
        <v>0</v>
      </c>
      <c r="G94" s="726"/>
      <c r="H94" s="727">
        <f>-H7</f>
        <v>0</v>
      </c>
      <c r="I94" s="704"/>
    </row>
    <row r="95" spans="1:9" ht="15.75">
      <c r="A95" s="665"/>
      <c r="B95" s="725"/>
      <c r="C95" s="726"/>
      <c r="D95" s="725"/>
      <c r="E95" s="726"/>
      <c r="F95" s="725"/>
      <c r="G95" s="726"/>
      <c r="H95" s="727"/>
      <c r="I95" s="704"/>
    </row>
    <row r="96" spans="1:9" ht="15.75">
      <c r="A96" s="663" t="s">
        <v>80</v>
      </c>
      <c r="B96" s="724">
        <f>SUM(B86:B94)</f>
        <v>0</v>
      </c>
      <c r="C96" s="721"/>
      <c r="D96" s="724">
        <f>SUM(D86:D94)</f>
        <v>0</v>
      </c>
      <c r="E96" s="721"/>
      <c r="F96" s="724">
        <f>SUM(F86:F94)</f>
        <v>0</v>
      </c>
      <c r="G96" s="721"/>
      <c r="H96" s="720">
        <f>SUM(H86:H94)</f>
        <v>0</v>
      </c>
    </row>
    <row r="97" spans="1:9" ht="15.75">
      <c r="A97" s="663" t="s">
        <v>81</v>
      </c>
      <c r="B97" s="724">
        <f>D57-B57</f>
        <v>0</v>
      </c>
      <c r="C97" s="721"/>
      <c r="D97" s="724">
        <f>F57-D57</f>
        <v>0</v>
      </c>
      <c r="E97" s="721"/>
      <c r="F97" s="724">
        <f>J57-F57</f>
        <v>0</v>
      </c>
      <c r="G97" s="721"/>
      <c r="H97" s="720">
        <f>L57-H57</f>
        <v>0</v>
      </c>
    </row>
    <row r="98" spans="1:9" ht="15.75">
      <c r="A98" s="663" t="s">
        <v>82</v>
      </c>
      <c r="B98" s="724">
        <f>D56-B56</f>
        <v>0</v>
      </c>
      <c r="C98" s="721"/>
      <c r="D98" s="724">
        <f>F56-D56</f>
        <v>0</v>
      </c>
      <c r="E98" s="721"/>
      <c r="F98" s="724">
        <f>J56-F56</f>
        <v>0</v>
      </c>
      <c r="G98" s="721"/>
      <c r="H98" s="720">
        <f>L56-H56</f>
        <v>0</v>
      </c>
    </row>
    <row r="99" spans="1:9" ht="15.75">
      <c r="A99" s="663" t="s">
        <v>83</v>
      </c>
      <c r="B99" s="724">
        <f>D61-B61</f>
        <v>0</v>
      </c>
      <c r="C99" s="721"/>
      <c r="D99" s="724">
        <f>F61-D61</f>
        <v>0</v>
      </c>
      <c r="E99" s="721"/>
      <c r="F99" s="724">
        <f>J61-F61</f>
        <v>0</v>
      </c>
      <c r="G99" s="721"/>
      <c r="H99" s="720">
        <f>L61-H61</f>
        <v>0</v>
      </c>
    </row>
    <row r="100" spans="1:9" ht="15.75">
      <c r="A100" s="663" t="s">
        <v>84</v>
      </c>
      <c r="B100" s="724">
        <f>B44-D44</f>
        <v>0</v>
      </c>
      <c r="C100" s="721"/>
      <c r="D100" s="724">
        <f>D44-F44</f>
        <v>0</v>
      </c>
      <c r="E100" s="721"/>
      <c r="F100" s="724">
        <f>F44-J44</f>
        <v>0</v>
      </c>
      <c r="G100" s="721"/>
      <c r="H100" s="720">
        <f>H44-L44</f>
        <v>0</v>
      </c>
    </row>
    <row r="101" spans="1:9" ht="15.75">
      <c r="A101" s="663" t="s">
        <v>85</v>
      </c>
      <c r="B101" s="724">
        <f>SUM(B97:B100)</f>
        <v>0</v>
      </c>
      <c r="C101" s="721"/>
      <c r="D101" s="724">
        <f>SUM(D97:D100)</f>
        <v>0</v>
      </c>
      <c r="E101" s="721"/>
      <c r="F101" s="724">
        <f>SUM(F97:F100)</f>
        <v>0</v>
      </c>
      <c r="G101" s="721"/>
      <c r="H101" s="720">
        <f>SUM(H97:H100)</f>
        <v>0</v>
      </c>
    </row>
    <row r="102" spans="1:9" ht="15.75">
      <c r="A102" s="664" t="s">
        <v>86</v>
      </c>
      <c r="B102" s="725">
        <f>B96+B101</f>
        <v>0</v>
      </c>
      <c r="C102" s="726"/>
      <c r="D102" s="725">
        <f>D96+D101</f>
        <v>0</v>
      </c>
      <c r="E102" s="726"/>
      <c r="F102" s="725">
        <f>F96+F101</f>
        <v>0</v>
      </c>
      <c r="G102" s="726"/>
      <c r="H102" s="727">
        <f>H96+H101</f>
        <v>0</v>
      </c>
      <c r="I102" s="704"/>
    </row>
    <row r="103" spans="1:9" ht="15.75">
      <c r="A103" s="664"/>
      <c r="B103" s="725"/>
      <c r="C103" s="726"/>
      <c r="D103" s="725"/>
      <c r="E103" s="726"/>
      <c r="F103" s="725"/>
      <c r="G103" s="726"/>
      <c r="H103" s="727"/>
      <c r="I103" s="704"/>
    </row>
    <row r="104" spans="1:9" ht="15.75">
      <c r="A104" s="663" t="s">
        <v>87</v>
      </c>
      <c r="B104" s="724">
        <f>B24</f>
        <v>0</v>
      </c>
      <c r="C104" s="721"/>
      <c r="D104" s="724">
        <f>D24</f>
        <v>0</v>
      </c>
      <c r="E104" s="721"/>
      <c r="F104" s="724">
        <f>F24</f>
        <v>0</v>
      </c>
      <c r="G104" s="721"/>
      <c r="H104" s="720">
        <f>H24</f>
        <v>0</v>
      </c>
    </row>
    <row r="105" spans="1:9" ht="15.75">
      <c r="A105" s="663"/>
      <c r="B105" s="724"/>
      <c r="C105" s="721"/>
      <c r="D105" s="724"/>
      <c r="E105" s="721"/>
      <c r="F105" s="724"/>
      <c r="G105" s="721"/>
      <c r="H105" s="720"/>
    </row>
    <row r="106" spans="1:9" ht="15.75">
      <c r="A106" s="664" t="s">
        <v>88</v>
      </c>
      <c r="B106" s="724">
        <f>B102-B104</f>
        <v>0</v>
      </c>
      <c r="C106" s="721"/>
      <c r="D106" s="724">
        <f>D102-D104</f>
        <v>0</v>
      </c>
      <c r="E106" s="721"/>
      <c r="F106" s="724">
        <f>F102-F104</f>
        <v>0</v>
      </c>
      <c r="G106" s="721"/>
      <c r="H106" s="720">
        <f>H102-H104</f>
        <v>0</v>
      </c>
    </row>
    <row r="107" spans="1:9" ht="15.75"/>
  </sheetData>
  <sheetProtection formatCells="0" formatColumns="0" formatRows="0"/>
  <mergeCells count="8">
    <mergeCell ref="B1:E1"/>
    <mergeCell ref="A67:H68"/>
    <mergeCell ref="A3:A4"/>
    <mergeCell ref="A32:A33"/>
    <mergeCell ref="B32:B33"/>
    <mergeCell ref="D32:D33"/>
    <mergeCell ref="F32:F33"/>
    <mergeCell ref="H32:H33"/>
  </mergeCells>
  <conditionalFormatting sqref="B65 B48">
    <cfRule type="expression" dxfId="364" priority="7">
      <formula>$B$48&lt;&gt;$B$65</formula>
    </cfRule>
  </conditionalFormatting>
  <conditionalFormatting sqref="D65 D48">
    <cfRule type="expression" dxfId="363" priority="3">
      <formula>$B$48&lt;&gt;$B$65</formula>
    </cfRule>
  </conditionalFormatting>
  <conditionalFormatting sqref="F65 F48">
    <cfRule type="expression" dxfId="362" priority="2">
      <formula>$B$48&lt;&gt;$B$65</formula>
    </cfRule>
  </conditionalFormatting>
  <conditionalFormatting sqref="H65 H48">
    <cfRule type="expression" dxfId="361" priority="1">
      <formula>$B$48&lt;&gt;$B$65</formula>
    </cfRule>
  </conditionalFormatting>
  <dataValidations count="1">
    <dataValidation type="list" allowBlank="1" showInputMessage="1" showErrorMessage="1" sqref="I1" xr:uid="{4097EF2C-DB47-4E12-A2F2-35D851916ADB}">
      <formula1>"Actuals, Thousands, Lakhs, Millions, Crores"</formula1>
    </dataValidation>
  </dataValidations>
  <pageMargins left="0.78749999999999998" right="0.78749999999999998" top="1.0249999999999999" bottom="1.0249999999999999" header="0.78749999999999998" footer="0.78749999999999998"/>
  <pageSetup scale="58" firstPageNumber="0" orientation="portrait" horizontalDpi="300" verticalDpi="300" r:id="rId1"/>
  <headerFooter alignWithMargins="0">
    <oddHeader>&amp;C&amp;"Arial,Regular"&amp;10&amp;A</oddHeader>
    <oddFooter>&amp;C&amp;"Arial,Regular"&amp;10Page &amp;P</oddFooter>
  </headerFooter>
  <rowBreaks count="2" manualBreakCount="2">
    <brk id="30" max="16383" man="1"/>
    <brk id="66"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C00000"/>
  </sheetPr>
  <dimension ref="A1:L107"/>
  <sheetViews>
    <sheetView showGridLines="0" view="pageBreakPreview" zoomScaleSheetLayoutView="100" workbookViewId="0">
      <selection activeCell="H5" sqref="H5:H65"/>
    </sheetView>
  </sheetViews>
  <sheetFormatPr defaultColWidth="11.875" defaultRowHeight="32.1" customHeight="1"/>
  <cols>
    <col min="1" max="1" width="32.625" style="666" customWidth="1"/>
    <col min="2" max="2" width="14.625" style="669" customWidth="1"/>
    <col min="3" max="3" width="8.625" style="669" customWidth="1"/>
    <col min="4" max="4" width="14.625" style="669" customWidth="1"/>
    <col min="5" max="5" width="8.625" style="669" customWidth="1"/>
    <col min="6" max="6" width="14.625" style="669" customWidth="1"/>
    <col min="7" max="7" width="8.625" style="669" customWidth="1"/>
    <col min="8" max="8" width="14.25" style="669" customWidth="1"/>
    <col min="9" max="9" width="15.25" style="669" bestFit="1" customWidth="1"/>
    <col min="10" max="10" width="19.25" style="669" customWidth="1"/>
    <col min="11" max="11" width="10.5" style="669" customWidth="1"/>
    <col min="12" max="16384" width="11.875" style="669"/>
  </cols>
  <sheetData>
    <row r="1" spans="1:9" ht="15.75">
      <c r="A1" s="632" t="s">
        <v>607</v>
      </c>
      <c r="B1" s="1160" t="str">
        <f>IF('Financial Statement2'!F3="","",'Financial Statement2'!F3)</f>
        <v/>
      </c>
      <c r="C1" s="1160"/>
      <c r="D1" s="1160"/>
      <c r="E1" s="1160"/>
      <c r="F1" s="667"/>
      <c r="G1" s="667"/>
      <c r="H1" s="668" t="s">
        <v>608</v>
      </c>
      <c r="I1" s="668" t="str">
        <f>'Ratios Sheet1'!I1</f>
        <v>Lakhs</v>
      </c>
    </row>
    <row r="2" spans="1:9" ht="15.75">
      <c r="A2" s="633"/>
      <c r="B2" s="670"/>
      <c r="C2" s="670"/>
      <c r="D2" s="670"/>
      <c r="E2" s="670"/>
      <c r="F2" s="670"/>
      <c r="G2" s="670"/>
      <c r="H2" s="671"/>
      <c r="I2" s="672"/>
    </row>
    <row r="3" spans="1:9" ht="12.75">
      <c r="A3" s="1162" t="s">
        <v>0</v>
      </c>
      <c r="B3" s="673">
        <f>'Financial Statement2'!J5</f>
        <v>0</v>
      </c>
      <c r="C3" s="674" t="s">
        <v>1</v>
      </c>
      <c r="D3" s="673" t="str">
        <f>'Financial Statement2'!I5</f>
        <v>-</v>
      </c>
      <c r="E3" s="674" t="s">
        <v>1</v>
      </c>
      <c r="F3" s="673" t="str">
        <f>'Financial Statement2'!H5</f>
        <v>-</v>
      </c>
      <c r="G3" s="674" t="s">
        <v>1</v>
      </c>
      <c r="H3" s="673" t="str">
        <f>'Financial Statement2'!G5</f>
        <v>-</v>
      </c>
      <c r="I3" s="675"/>
    </row>
    <row r="4" spans="1:9" ht="12.75">
      <c r="A4" s="1163"/>
      <c r="B4" s="676" t="str">
        <f>CONCATENATE("Rs. ",$I$1)</f>
        <v>Rs. Lakhs</v>
      </c>
      <c r="C4" s="677">
        <f>B3</f>
        <v>0</v>
      </c>
      <c r="D4" s="676" t="str">
        <f>CONCATENATE("Rs. ",$I$1)</f>
        <v>Rs. Lakhs</v>
      </c>
      <c r="E4" s="677" t="str">
        <f>D3</f>
        <v>-</v>
      </c>
      <c r="F4" s="676" t="str">
        <f>CONCATENATE("Rs. ",$I$1)</f>
        <v>Rs. Lakhs</v>
      </c>
      <c r="G4" s="677" t="str">
        <f>F3</f>
        <v>-</v>
      </c>
      <c r="H4" s="676" t="str">
        <f>CONCATENATE("Rs. ",$I$1)</f>
        <v>Rs. Lakhs</v>
      </c>
      <c r="I4" s="678"/>
    </row>
    <row r="5" spans="1:9" ht="15.75">
      <c r="A5" s="634" t="s">
        <v>2</v>
      </c>
      <c r="B5" s="761">
        <f>('Financial Statement2'!J11+'Financial Statement2'!J15+'Financial Statement2'!J19-'Financial Statement2'!J21)*$I$5/$I$6</f>
        <v>0</v>
      </c>
      <c r="C5" s="679" t="str">
        <f>IFERROR((B5-D5)/D5*100,"")</f>
        <v/>
      </c>
      <c r="D5" s="761">
        <f>('Financial Statement2'!I11+'Financial Statement2'!I15+'Financial Statement2'!I19-'Financial Statement2'!I21)*$I$5/$I$6</f>
        <v>0</v>
      </c>
      <c r="E5" s="679" t="str">
        <f>IFERROR((D5-F5)/F5*100,"")</f>
        <v/>
      </c>
      <c r="F5" s="761">
        <f>('Financial Statement2'!H11+'Financial Statement2'!H15+'Financial Statement2'!H19-'Financial Statement2'!H21)*$I$5/$I$6</f>
        <v>0</v>
      </c>
      <c r="G5" s="679" t="str">
        <f>IFERROR((F5-H5)/H5*100,"")</f>
        <v/>
      </c>
      <c r="H5" s="761">
        <f>('Financial Statement2'!G11+'Financial Statement2'!G15+'Financial Statement2'!G19-'Financial Statement2'!G21)*$I$5/$I$6</f>
        <v>0</v>
      </c>
      <c r="I5" s="680">
        <f>IF('Financial Statement2'!$K$3="Actuals",1, IF('Financial Statement2'!$K$3="Thousands",1000, IF('Financial Statement2'!$K$3="Lakhs",100000, IF('Financial Statement2'!$K$3="Millions",1000000, IF('Financial Statement2'!$K$3="Crores",10000000,"")))))</f>
        <v>1</v>
      </c>
    </row>
    <row r="6" spans="1:9" ht="31.5">
      <c r="A6" s="635" t="s">
        <v>3</v>
      </c>
      <c r="B6" s="761">
        <f>'Financial Statement2'!J20*$I$5/$I$6</f>
        <v>0</v>
      </c>
      <c r="C6" s="681" t="str">
        <f>IFERROR((B6-D6)/D6*100,"")</f>
        <v/>
      </c>
      <c r="D6" s="761">
        <f>'Financial Statement2'!I20*$I$5/$I$6</f>
        <v>0</v>
      </c>
      <c r="E6" s="681" t="str">
        <f>IFERROR((D6-F6)/F6*100,"")</f>
        <v/>
      </c>
      <c r="F6" s="761">
        <f>'Financial Statement2'!H20*$I$5/$I$6</f>
        <v>0</v>
      </c>
      <c r="G6" s="681" t="str">
        <f>IFERROR((F6-H6)/H6*100,"")</f>
        <v/>
      </c>
      <c r="H6" s="761">
        <f>'Financial Statement2'!G20*$I$5/$I$6</f>
        <v>0</v>
      </c>
      <c r="I6" s="680">
        <f>IF(I1="Actuals",1, IF(I1="Thousands",1000, IF(I1="Lakhs",100000, IF(I1="Millions",1000000, IF(I1="Crores",10000000,"")))))</f>
        <v>100000</v>
      </c>
    </row>
    <row r="7" spans="1:9" ht="15.75">
      <c r="A7" s="635" t="s">
        <v>4</v>
      </c>
      <c r="B7" s="761">
        <f>'Financial Statement2'!J72*$I$5/$I$6</f>
        <v>0</v>
      </c>
      <c r="C7" s="681" t="str">
        <f>IFERROR((B7-D7)/D7*100,"")</f>
        <v/>
      </c>
      <c r="D7" s="761">
        <f>'Financial Statement2'!I72*$I$5/$I$6</f>
        <v>0</v>
      </c>
      <c r="E7" s="681" t="str">
        <f>IFERROR((D7-F7)/F7*100,"")</f>
        <v/>
      </c>
      <c r="F7" s="761">
        <f>'Financial Statement2'!H72*$I$5/$I$6</f>
        <v>0</v>
      </c>
      <c r="G7" s="681" t="str">
        <f>IFERROR((F7-H7)/H7*100,"")</f>
        <v/>
      </c>
      <c r="H7" s="761">
        <f>'Financial Statement2'!G72*$I$5/$I$6</f>
        <v>0</v>
      </c>
      <c r="I7" s="682"/>
    </row>
    <row r="8" spans="1:9" ht="15.75">
      <c r="A8" s="636" t="s">
        <v>5</v>
      </c>
      <c r="B8" s="683">
        <f>B5+B6+B7</f>
        <v>0</v>
      </c>
      <c r="C8" s="684" t="str">
        <f>IFERROR((B8-D8)/D8*100,"")</f>
        <v/>
      </c>
      <c r="D8" s="683">
        <f>D5+D6+D7</f>
        <v>0</v>
      </c>
      <c r="E8" s="684" t="str">
        <f>IFERROR((D8-F8)/F8*100,"")</f>
        <v/>
      </c>
      <c r="F8" s="683">
        <f>F5+F6+F7</f>
        <v>0</v>
      </c>
      <c r="G8" s="684" t="str">
        <f>IFERROR((F8-H8)/H8*100,"")</f>
        <v/>
      </c>
      <c r="H8" s="683">
        <f>H5+H6+H7</f>
        <v>0</v>
      </c>
      <c r="I8" s="685"/>
    </row>
    <row r="9" spans="1:9" ht="38.25">
      <c r="A9" s="637"/>
      <c r="B9" s="686"/>
      <c r="C9" s="687" t="str">
        <f>CONCATENATE("Cost % of sales of ",YEAR(B3))</f>
        <v>Cost % of sales of 1900</v>
      </c>
      <c r="D9" s="686"/>
      <c r="E9" s="687" t="e">
        <f>CONCATENATE("Cost % of sales of ",YEAR(D3))</f>
        <v>#VALUE!</v>
      </c>
      <c r="F9" s="686"/>
      <c r="G9" s="687" t="e">
        <f>CONCATENATE("Cost % of sales of ",YEAR(F3))</f>
        <v>#VALUE!</v>
      </c>
      <c r="H9" s="686"/>
      <c r="I9" s="687" t="e">
        <f>CONCATENATE("Cost % of sales of ",YEAR(H3))</f>
        <v>#VALUE!</v>
      </c>
    </row>
    <row r="10" spans="1:9" ht="15.75">
      <c r="A10" s="638" t="s">
        <v>6</v>
      </c>
      <c r="B10" s="761">
        <f>'Financial Statement2'!J25*$I$5/$I$6</f>
        <v>0</v>
      </c>
      <c r="C10" s="688" t="str">
        <f>IFERROR(B10/$B$5*100,"")</f>
        <v/>
      </c>
      <c r="D10" s="761">
        <f>'Financial Statement2'!I25*$I$5/$I$6</f>
        <v>0</v>
      </c>
      <c r="E10" s="688" t="str">
        <f>IFERROR(D10/$D$5*100,"")</f>
        <v/>
      </c>
      <c r="F10" s="761">
        <f>'Financial Statement2'!H25*$I$5/$I$6</f>
        <v>0</v>
      </c>
      <c r="G10" s="688" t="str">
        <f>IFERROR(F10/$F$5*100,"")</f>
        <v/>
      </c>
      <c r="H10" s="761">
        <f>'Financial Statement2'!G25*$I$5/$I$6</f>
        <v>0</v>
      </c>
      <c r="I10" s="688" t="str">
        <f>IFERROR(H10/$H$5*100,"")</f>
        <v/>
      </c>
    </row>
    <row r="11" spans="1:9" ht="15.75">
      <c r="A11" s="638" t="s">
        <v>7</v>
      </c>
      <c r="B11" s="761">
        <f>('Financial Statement2'!J39+'Financial Statement2'!J40+'Financial Statement2'!J41)*$I$5/$I$6</f>
        <v>0</v>
      </c>
      <c r="C11" s="688" t="str">
        <f t="shared" ref="C11:C29" si="0">IFERROR(B11/$B$5*100,"")</f>
        <v/>
      </c>
      <c r="D11" s="761">
        <f>('Financial Statement2'!I39+'Financial Statement2'!I40+'Financial Statement2'!I41)*$I$5/$I$6</f>
        <v>0</v>
      </c>
      <c r="E11" s="688" t="str">
        <f t="shared" ref="E11:E30" si="1">IFERROR(D11/$D$5*100,"")</f>
        <v/>
      </c>
      <c r="F11" s="761">
        <f>('Financial Statement2'!H39+'Financial Statement2'!H40+'Financial Statement2'!H41)*$I$5/$I$6</f>
        <v>0</v>
      </c>
      <c r="G11" s="688" t="str">
        <f t="shared" ref="G11:G29" si="2">IFERROR(F11/$F$5*100,"")</f>
        <v/>
      </c>
      <c r="H11" s="761">
        <f>('Financial Statement2'!G39+'Financial Statement2'!G40+'Financial Statement2'!G41)*$I$5/$I$6</f>
        <v>0</v>
      </c>
      <c r="I11" s="688" t="str">
        <f t="shared" ref="I11:I29" si="3">IFERROR(H11/$H$5*100,"")</f>
        <v/>
      </c>
    </row>
    <row r="12" spans="1:9" ht="15.75">
      <c r="A12" s="638" t="s">
        <v>8</v>
      </c>
      <c r="B12" s="761">
        <f>('Financial Statement2'!J38+'Financial Statement2'!J45+'Financial Statement2'!J49)*$I$5/$I$6</f>
        <v>0</v>
      </c>
      <c r="C12" s="688" t="str">
        <f t="shared" si="0"/>
        <v/>
      </c>
      <c r="D12" s="761">
        <f>('Financial Statement2'!I38+'Financial Statement2'!I45+'Financial Statement2'!I49)*$I$5/$I$6</f>
        <v>0</v>
      </c>
      <c r="E12" s="688" t="str">
        <f t="shared" si="1"/>
        <v/>
      </c>
      <c r="F12" s="761">
        <f>('Financial Statement2'!H38+'Financial Statement2'!H45+'Financial Statement2'!H49)*$I$5/$I$6</f>
        <v>0</v>
      </c>
      <c r="G12" s="688" t="str">
        <f t="shared" si="2"/>
        <v/>
      </c>
      <c r="H12" s="761">
        <f>('Financial Statement2'!G38+'Financial Statement2'!G45+'Financial Statement2'!G49)*$I$5/$I$6</f>
        <v>0</v>
      </c>
      <c r="I12" s="688" t="str">
        <f t="shared" si="3"/>
        <v/>
      </c>
    </row>
    <row r="13" spans="1:9" ht="15.75">
      <c r="A13" s="639" t="s">
        <v>9</v>
      </c>
      <c r="B13" s="689">
        <f>B8-B10-B11-B12</f>
        <v>0</v>
      </c>
      <c r="C13" s="688" t="str">
        <f t="shared" si="0"/>
        <v/>
      </c>
      <c r="D13" s="689">
        <f>D8-D10-D11-D12</f>
        <v>0</v>
      </c>
      <c r="E13" s="688" t="str">
        <f t="shared" si="1"/>
        <v/>
      </c>
      <c r="F13" s="689">
        <f>F8-F10-F11-F12</f>
        <v>0</v>
      </c>
      <c r="G13" s="688" t="str">
        <f t="shared" si="2"/>
        <v/>
      </c>
      <c r="H13" s="689">
        <f>H8-H10-H11-H12</f>
        <v>0</v>
      </c>
      <c r="I13" s="688" t="str">
        <f t="shared" si="3"/>
        <v/>
      </c>
    </row>
    <row r="14" spans="1:9" ht="15.75">
      <c r="A14" s="640" t="s">
        <v>10</v>
      </c>
      <c r="B14" s="761">
        <f>('Financial Statement2'!J47+'Financial Statement2'!J50+'Financial Statement2'!J51+'Financial Statement2'!J58+'Financial Statement2'!J61+'Financial Statement2'!J63+'Financial Statement2'!J71)*$I$5/$I$6</f>
        <v>0</v>
      </c>
      <c r="C14" s="688" t="str">
        <f t="shared" si="0"/>
        <v/>
      </c>
      <c r="D14" s="761">
        <f>('Financial Statement2'!I47+'Financial Statement2'!I50+'Financial Statement2'!I51+'Financial Statement2'!I58+'Financial Statement2'!I61+'Financial Statement2'!I63+'Financial Statement2'!I71)*$I$5/$I$6</f>
        <v>0</v>
      </c>
      <c r="E14" s="688" t="str">
        <f t="shared" si="1"/>
        <v/>
      </c>
      <c r="F14" s="761">
        <f>('Financial Statement2'!H47+'Financial Statement2'!H50+'Financial Statement2'!H51+'Financial Statement2'!H58+'Financial Statement2'!H61+'Financial Statement2'!H63+'Financial Statement2'!H71)*$I$5/$I$6</f>
        <v>0</v>
      </c>
      <c r="G14" s="688" t="str">
        <f t="shared" si="2"/>
        <v/>
      </c>
      <c r="H14" s="761">
        <f>('Financial Statement2'!G47+'Financial Statement2'!G50+'Financial Statement2'!G51+'Financial Statement2'!G58+'Financial Statement2'!G61+'Financial Statement2'!G63+'Financial Statement2'!G71)*$I$5/$I$6</f>
        <v>0</v>
      </c>
      <c r="I14" s="688" t="str">
        <f t="shared" si="3"/>
        <v/>
      </c>
    </row>
    <row r="15" spans="1:9" ht="15.75">
      <c r="A15" s="640" t="s">
        <v>11</v>
      </c>
      <c r="B15" s="761">
        <f>'Financial Statement2'!J46*$I$5/$I$6</f>
        <v>0</v>
      </c>
      <c r="C15" s="688" t="str">
        <f t="shared" si="0"/>
        <v/>
      </c>
      <c r="D15" s="761">
        <f>'Financial Statement2'!I46*$I$5/$I$6</f>
        <v>0</v>
      </c>
      <c r="E15" s="688" t="str">
        <f t="shared" si="1"/>
        <v/>
      </c>
      <c r="F15" s="761">
        <f>'Financial Statement2'!H46*$I$5/$I$6</f>
        <v>0</v>
      </c>
      <c r="G15" s="688" t="str">
        <f t="shared" si="2"/>
        <v/>
      </c>
      <c r="H15" s="761">
        <f>'Financial Statement2'!G46*$I$5/$I$6</f>
        <v>0</v>
      </c>
      <c r="I15" s="688" t="str">
        <f t="shared" si="3"/>
        <v/>
      </c>
    </row>
    <row r="16" spans="1:9" ht="15.75">
      <c r="A16" s="639" t="s">
        <v>12</v>
      </c>
      <c r="B16" s="689">
        <f>B13-B14-B15</f>
        <v>0</v>
      </c>
      <c r="C16" s="688" t="str">
        <f t="shared" si="0"/>
        <v/>
      </c>
      <c r="D16" s="689">
        <f>D13-D14-D15</f>
        <v>0</v>
      </c>
      <c r="E16" s="688" t="str">
        <f t="shared" si="1"/>
        <v/>
      </c>
      <c r="F16" s="689">
        <f>F13-F14-F15</f>
        <v>0</v>
      </c>
      <c r="G16" s="688" t="str">
        <f t="shared" si="2"/>
        <v/>
      </c>
      <c r="H16" s="689">
        <f>H13-H14-H15</f>
        <v>0</v>
      </c>
      <c r="I16" s="688" t="str">
        <f t="shared" si="3"/>
        <v/>
      </c>
    </row>
    <row r="17" spans="1:12" ht="15.75">
      <c r="A17" s="641" t="s">
        <v>13</v>
      </c>
      <c r="B17" s="761">
        <f>'Financial Statement2'!J56*$I$5/$I$6</f>
        <v>0</v>
      </c>
      <c r="C17" s="688" t="str">
        <f t="shared" si="0"/>
        <v/>
      </c>
      <c r="D17" s="761">
        <f>'Financial Statement2'!I56*$I$5/$I$6</f>
        <v>0</v>
      </c>
      <c r="E17" s="688" t="str">
        <f t="shared" si="1"/>
        <v/>
      </c>
      <c r="F17" s="761">
        <f>'Financial Statement2'!H56*$I$5/$I$6</f>
        <v>0</v>
      </c>
      <c r="G17" s="688" t="str">
        <f t="shared" si="2"/>
        <v/>
      </c>
      <c r="H17" s="761">
        <f>'Financial Statement2'!G56*$I$5/$I$6</f>
        <v>0</v>
      </c>
      <c r="I17" s="688" t="str">
        <f t="shared" si="3"/>
        <v/>
      </c>
      <c r="L17" s="690"/>
    </row>
    <row r="18" spans="1:12" s="690" customFormat="1" ht="15.75">
      <c r="A18" s="638" t="s">
        <v>153</v>
      </c>
      <c r="B18" s="761">
        <f>'Financial Statement2'!J67*$I$5/$I$6</f>
        <v>0</v>
      </c>
      <c r="C18" s="688" t="str">
        <f t="shared" si="0"/>
        <v/>
      </c>
      <c r="D18" s="761">
        <f>'Financial Statement2'!I67*$I$5/$I$6</f>
        <v>0</v>
      </c>
      <c r="E18" s="688" t="str">
        <f t="shared" si="1"/>
        <v/>
      </c>
      <c r="F18" s="761">
        <f>'Financial Statement2'!H67*$I$5/$I$6</f>
        <v>0</v>
      </c>
      <c r="G18" s="688" t="str">
        <f t="shared" si="2"/>
        <v/>
      </c>
      <c r="H18" s="761">
        <f>'Financial Statement2'!G67*$I$5/$I$6</f>
        <v>0</v>
      </c>
      <c r="I18" s="688" t="str">
        <f t="shared" si="3"/>
        <v/>
      </c>
      <c r="L18" s="669"/>
    </row>
    <row r="19" spans="1:12" s="690" customFormat="1" ht="15.75">
      <c r="A19" s="638" t="s">
        <v>154</v>
      </c>
      <c r="B19" s="761">
        <f>+'Financial Statement2'!J68*$I$5/$I$6</f>
        <v>0</v>
      </c>
      <c r="C19" s="688" t="str">
        <f t="shared" si="0"/>
        <v/>
      </c>
      <c r="D19" s="761">
        <f>+'Financial Statement2'!I68*$I$5/$I$6</f>
        <v>0</v>
      </c>
      <c r="E19" s="688" t="str">
        <f t="shared" si="1"/>
        <v/>
      </c>
      <c r="F19" s="761">
        <f>+'Financial Statement2'!H68*$I$5/$I$6</f>
        <v>0</v>
      </c>
      <c r="G19" s="688" t="str">
        <f t="shared" si="2"/>
        <v/>
      </c>
      <c r="H19" s="761">
        <f>+'Financial Statement2'!G68*$I$5/$I$6</f>
        <v>0</v>
      </c>
      <c r="I19" s="688" t="str">
        <f t="shared" si="3"/>
        <v/>
      </c>
      <c r="L19" s="669"/>
    </row>
    <row r="20" spans="1:12" s="690" customFormat="1" ht="31.5">
      <c r="A20" s="638" t="s">
        <v>366</v>
      </c>
      <c r="B20" s="761">
        <f>+'Financial Statement2'!J69*$I$5/$I$6</f>
        <v>0</v>
      </c>
      <c r="C20" s="688" t="str">
        <f t="shared" si="0"/>
        <v/>
      </c>
      <c r="D20" s="761">
        <f>+'Financial Statement2'!I69*$I$5/$I$6</f>
        <v>0</v>
      </c>
      <c r="E20" s="688" t="str">
        <f t="shared" si="1"/>
        <v/>
      </c>
      <c r="F20" s="761">
        <f>+'Financial Statement2'!H69*$I$5/$I$6</f>
        <v>0</v>
      </c>
      <c r="G20" s="688" t="str">
        <f t="shared" si="2"/>
        <v/>
      </c>
      <c r="H20" s="761">
        <f>+'Financial Statement2'!G69*$I$5/$I$6</f>
        <v>0</v>
      </c>
      <c r="I20" s="688" t="str">
        <f t="shared" si="3"/>
        <v/>
      </c>
      <c r="L20" s="669"/>
    </row>
    <row r="21" spans="1:12" s="690" customFormat="1" ht="15.75">
      <c r="A21" s="638" t="s">
        <v>123</v>
      </c>
      <c r="B21" s="761">
        <f>'Financial Statement2'!J70*$I$5/$I$6</f>
        <v>0</v>
      </c>
      <c r="C21" s="688" t="str">
        <f t="shared" si="0"/>
        <v/>
      </c>
      <c r="D21" s="761">
        <f>'Financial Statement2'!I70*$I$5/$I$6</f>
        <v>0</v>
      </c>
      <c r="E21" s="688" t="str">
        <f t="shared" si="1"/>
        <v/>
      </c>
      <c r="F21" s="761">
        <f>'Financial Statement2'!H70*$I$5/$I$6</f>
        <v>0</v>
      </c>
      <c r="G21" s="688" t="str">
        <f t="shared" si="2"/>
        <v/>
      </c>
      <c r="H21" s="761">
        <f>'Financial Statement2'!G70*$I$5/$I$6</f>
        <v>0</v>
      </c>
      <c r="I21" s="688" t="str">
        <f t="shared" si="3"/>
        <v/>
      </c>
      <c r="L21" s="669"/>
    </row>
    <row r="22" spans="1:12" ht="15.75">
      <c r="A22" s="641" t="s">
        <v>14</v>
      </c>
      <c r="B22" s="761">
        <f>('Financial Statement2'!J62+'Financial Statement2'!J59)*$I$5/$I$6</f>
        <v>0</v>
      </c>
      <c r="C22" s="688" t="str">
        <f t="shared" si="0"/>
        <v/>
      </c>
      <c r="D22" s="761">
        <f>('Financial Statement2'!I62+'Financial Statement2'!I59)*$I$5/$I$6</f>
        <v>0</v>
      </c>
      <c r="E22" s="688" t="str">
        <f t="shared" si="1"/>
        <v/>
      </c>
      <c r="F22" s="761">
        <f>('Financial Statement2'!H62+'Financial Statement2'!H59)*$I$5/$I$6</f>
        <v>0</v>
      </c>
      <c r="G22" s="688" t="str">
        <f t="shared" si="2"/>
        <v/>
      </c>
      <c r="H22" s="761">
        <f>('Financial Statement2'!G62+'Financial Statement2'!G59)*$I$5/$I$6</f>
        <v>0</v>
      </c>
      <c r="I22" s="688" t="str">
        <f t="shared" si="3"/>
        <v/>
      </c>
    </row>
    <row r="23" spans="1:12" ht="15.75">
      <c r="A23" s="642" t="s">
        <v>15</v>
      </c>
      <c r="B23" s="691">
        <f>B16-B17-B18-B22-B21-B19-B20</f>
        <v>0</v>
      </c>
      <c r="C23" s="688" t="str">
        <f t="shared" si="0"/>
        <v/>
      </c>
      <c r="D23" s="691">
        <f>D16-D17-D18-D22-D21-D19-D20</f>
        <v>0</v>
      </c>
      <c r="E23" s="688" t="str">
        <f t="shared" si="1"/>
        <v/>
      </c>
      <c r="F23" s="691">
        <f>F16-F17-F18-F22-F21-F19-F20</f>
        <v>0</v>
      </c>
      <c r="G23" s="688" t="str">
        <f t="shared" si="2"/>
        <v/>
      </c>
      <c r="H23" s="691">
        <f>H16-H17-H18-H22-H21-H19-H20</f>
        <v>0</v>
      </c>
      <c r="I23" s="688" t="str">
        <f t="shared" si="3"/>
        <v/>
      </c>
    </row>
    <row r="24" spans="1:12" ht="15.75">
      <c r="A24" s="643" t="s">
        <v>16</v>
      </c>
      <c r="B24" s="761">
        <f>'Financial Statement2'!J86*$I$5/$I$6</f>
        <v>0</v>
      </c>
      <c r="C24" s="688" t="str">
        <f t="shared" si="0"/>
        <v/>
      </c>
      <c r="D24" s="761">
        <f>'Financial Statement2'!I86*$I$5/$I$6</f>
        <v>0</v>
      </c>
      <c r="E24" s="688" t="str">
        <f t="shared" si="1"/>
        <v/>
      </c>
      <c r="F24" s="761">
        <f>'Financial Statement2'!H86*$I$5/$I$6</f>
        <v>0</v>
      </c>
      <c r="G24" s="688" t="str">
        <f t="shared" si="2"/>
        <v/>
      </c>
      <c r="H24" s="761">
        <f>'Financial Statement2'!G86*$I$5/$I$6</f>
        <v>0</v>
      </c>
      <c r="I24" s="688" t="str">
        <f t="shared" si="3"/>
        <v/>
      </c>
      <c r="K24" s="692"/>
    </row>
    <row r="25" spans="1:12" ht="15.75">
      <c r="A25" s="644" t="s">
        <v>17</v>
      </c>
      <c r="B25" s="693">
        <f>B23-B24</f>
        <v>0</v>
      </c>
      <c r="C25" s="688" t="str">
        <f t="shared" si="0"/>
        <v/>
      </c>
      <c r="D25" s="693">
        <f>D23-D24</f>
        <v>0</v>
      </c>
      <c r="E25" s="688" t="str">
        <f t="shared" si="1"/>
        <v/>
      </c>
      <c r="F25" s="693">
        <f>F23-F24</f>
        <v>0</v>
      </c>
      <c r="G25" s="688" t="str">
        <f t="shared" si="2"/>
        <v/>
      </c>
      <c r="H25" s="693">
        <f>H23-H24</f>
        <v>0</v>
      </c>
      <c r="I25" s="688" t="str">
        <f t="shared" si="3"/>
        <v/>
      </c>
      <c r="J25" s="694"/>
    </row>
    <row r="26" spans="1:12" s="696" customFormat="1" ht="15.75">
      <c r="A26" s="642" t="s">
        <v>18</v>
      </c>
      <c r="B26" s="691">
        <f>B25+B17+B22</f>
        <v>0</v>
      </c>
      <c r="C26" s="695" t="str">
        <f t="shared" si="0"/>
        <v/>
      </c>
      <c r="D26" s="691">
        <f>D25+D17+D22</f>
        <v>0</v>
      </c>
      <c r="E26" s="695" t="str">
        <f t="shared" si="1"/>
        <v/>
      </c>
      <c r="F26" s="691">
        <f>F25+F17+F22</f>
        <v>0</v>
      </c>
      <c r="G26" s="688" t="str">
        <f t="shared" si="2"/>
        <v/>
      </c>
      <c r="H26" s="691">
        <f>H25+H17+H22</f>
        <v>0</v>
      </c>
      <c r="I26" s="688" t="str">
        <f t="shared" si="3"/>
        <v/>
      </c>
      <c r="J26" s="694"/>
      <c r="K26" s="694"/>
      <c r="L26" s="694"/>
    </row>
    <row r="27" spans="1:12" ht="15.75">
      <c r="A27" s="645" t="s">
        <v>19</v>
      </c>
      <c r="B27" s="761">
        <f>'Financial Statement2'!J49*$I$5/$I$6</f>
        <v>0</v>
      </c>
      <c r="C27" s="688" t="str">
        <f t="shared" si="0"/>
        <v/>
      </c>
      <c r="D27" s="761">
        <f>'Financial Statement2'!I49*$I$5/$I$6</f>
        <v>0</v>
      </c>
      <c r="E27" s="688" t="str">
        <f t="shared" si="1"/>
        <v/>
      </c>
      <c r="F27" s="761">
        <f>'Financial Statement2'!H49*$I$5/$I$6</f>
        <v>0</v>
      </c>
      <c r="G27" s="688" t="str">
        <f t="shared" si="2"/>
        <v/>
      </c>
      <c r="H27" s="761">
        <f>'Financial Statement2'!G49*$I$5/$I$6</f>
        <v>0</v>
      </c>
      <c r="I27" s="688" t="str">
        <f t="shared" si="3"/>
        <v/>
      </c>
    </row>
    <row r="28" spans="1:12" ht="31.5">
      <c r="A28" s="645" t="s">
        <v>20</v>
      </c>
      <c r="B28" s="761">
        <f>'Financial Statement2'!J50*$I$5/$I$6</f>
        <v>0</v>
      </c>
      <c r="C28" s="688" t="str">
        <f t="shared" si="0"/>
        <v/>
      </c>
      <c r="D28" s="761">
        <f>'Financial Statement2'!I50*$I$5/$I$6</f>
        <v>0</v>
      </c>
      <c r="E28" s="688" t="str">
        <f t="shared" si="1"/>
        <v/>
      </c>
      <c r="F28" s="761">
        <f>'Financial Statement2'!H50*$I$5/$I$6</f>
        <v>0</v>
      </c>
      <c r="G28" s="688" t="str">
        <f t="shared" si="2"/>
        <v/>
      </c>
      <c r="H28" s="761">
        <f>'Financial Statement2'!G50*$I$5/$I$6</f>
        <v>0</v>
      </c>
      <c r="I28" s="688" t="str">
        <f t="shared" si="3"/>
        <v/>
      </c>
    </row>
    <row r="29" spans="1:12" ht="15.75">
      <c r="A29" s="646" t="s">
        <v>21</v>
      </c>
      <c r="B29" s="697">
        <f>B26+B27+B28</f>
        <v>0</v>
      </c>
      <c r="C29" s="688" t="str">
        <f t="shared" si="0"/>
        <v/>
      </c>
      <c r="D29" s="697">
        <f>D26+D27+D28</f>
        <v>0</v>
      </c>
      <c r="E29" s="688" t="str">
        <f t="shared" si="1"/>
        <v/>
      </c>
      <c r="F29" s="697">
        <f>F26+F27+F28</f>
        <v>0</v>
      </c>
      <c r="G29" s="688" t="str">
        <f t="shared" si="2"/>
        <v/>
      </c>
      <c r="H29" s="697">
        <f>H26+H27+H28</f>
        <v>0</v>
      </c>
      <c r="I29" s="688" t="str">
        <f t="shared" si="3"/>
        <v/>
      </c>
    </row>
    <row r="30" spans="1:12" ht="15.75">
      <c r="A30" s="646"/>
      <c r="B30" s="697"/>
      <c r="C30" s="698"/>
      <c r="D30" s="697"/>
      <c r="E30" s="688" t="str">
        <f t="shared" si="1"/>
        <v/>
      </c>
      <c r="F30" s="697"/>
      <c r="G30" s="698"/>
      <c r="H30" s="697"/>
      <c r="I30" s="698"/>
      <c r="J30" s="699"/>
    </row>
    <row r="31" spans="1:12" ht="15.75">
      <c r="A31" s="647"/>
      <c r="B31" s="700"/>
      <c r="C31" s="701"/>
      <c r="D31" s="700"/>
      <c r="E31" s="701"/>
      <c r="F31" s="700"/>
      <c r="G31" s="701"/>
      <c r="H31" s="700"/>
      <c r="I31" s="702" t="s">
        <v>22</v>
      </c>
    </row>
    <row r="32" spans="1:12" ht="12.75">
      <c r="A32" s="1164" t="s">
        <v>23</v>
      </c>
      <c r="B32" s="1165">
        <f>B3</f>
        <v>0</v>
      </c>
      <c r="C32" s="703" t="s">
        <v>1</v>
      </c>
      <c r="D32" s="1165" t="str">
        <f>D3</f>
        <v>-</v>
      </c>
      <c r="E32" s="703" t="s">
        <v>1</v>
      </c>
      <c r="F32" s="1165" t="str">
        <f>F3</f>
        <v>-</v>
      </c>
      <c r="G32" s="703" t="s">
        <v>1</v>
      </c>
      <c r="H32" s="1165" t="str">
        <f>H3</f>
        <v>-</v>
      </c>
      <c r="I32" s="704"/>
    </row>
    <row r="33" spans="1:10" ht="12.75">
      <c r="A33" s="1164"/>
      <c r="B33" s="1166"/>
      <c r="C33" s="705">
        <f>C4</f>
        <v>0</v>
      </c>
      <c r="D33" s="1166"/>
      <c r="E33" s="705" t="str">
        <f>E4</f>
        <v>-</v>
      </c>
      <c r="F33" s="1166"/>
      <c r="G33" s="705" t="str">
        <f>G4</f>
        <v>-</v>
      </c>
      <c r="H33" s="1166"/>
      <c r="I33" s="704"/>
    </row>
    <row r="34" spans="1:10" ht="15.75">
      <c r="A34" s="648" t="s">
        <v>24</v>
      </c>
      <c r="B34" s="761">
        <f>'Financial Statement2'!J106*$I$5/$I$6</f>
        <v>0</v>
      </c>
      <c r="C34" s="681" t="str">
        <f>IFERROR((B34-D34)/D34*100,"")</f>
        <v/>
      </c>
      <c r="D34" s="761">
        <f>'Financial Statement2'!I106*$I$5/$I$6</f>
        <v>0</v>
      </c>
      <c r="E34" s="681" t="str">
        <f>IFERROR((D34-F34)/F34*100,"")</f>
        <v/>
      </c>
      <c r="F34" s="761">
        <f>'Financial Statement2'!H106*$I$5/$I$6</f>
        <v>0</v>
      </c>
      <c r="G34" s="681" t="str">
        <f>IFERROR((F34-H34)/H34*100,"")</f>
        <v/>
      </c>
      <c r="H34" s="761">
        <f>'Financial Statement2'!G106*$I$5/$I$6</f>
        <v>0</v>
      </c>
    </row>
    <row r="35" spans="1:10" ht="31.5">
      <c r="A35" s="648" t="s">
        <v>25</v>
      </c>
      <c r="B35" s="761">
        <f>('Financial Statement2'!J112-'Financial Statement2'!J115)*$I$5/$I$6</f>
        <v>0</v>
      </c>
      <c r="C35" s="681" t="str">
        <f t="shared" ref="C35:C65" si="4">IFERROR((B35-D35)/D35*100,"")</f>
        <v/>
      </c>
      <c r="D35" s="761">
        <f>('Financial Statement2'!I112-'Financial Statement2'!I115)*$I$5/$I$6</f>
        <v>0</v>
      </c>
      <c r="E35" s="681" t="str">
        <f t="shared" ref="E35:E65" si="5">IFERROR((D35-F35)/F35*100,"")</f>
        <v/>
      </c>
      <c r="F35" s="761">
        <f>('Financial Statement2'!H112-'Financial Statement2'!H115)*$I$5/$I$6</f>
        <v>0</v>
      </c>
      <c r="G35" s="681" t="str">
        <f t="shared" ref="G35:G65" si="6">IFERROR((F35-H35)/H35*100,"")</f>
        <v/>
      </c>
      <c r="H35" s="761">
        <f>('Financial Statement2'!G112-'Financial Statement2'!G115)*$I$5/$I$6</f>
        <v>0</v>
      </c>
    </row>
    <row r="36" spans="1:10" ht="15.75">
      <c r="A36" s="649" t="s">
        <v>26</v>
      </c>
      <c r="B36" s="706">
        <f>SUM(B34:B35)</f>
        <v>0</v>
      </c>
      <c r="C36" s="707" t="str">
        <f t="shared" si="4"/>
        <v/>
      </c>
      <c r="D36" s="706">
        <f>SUM(D34:D35)</f>
        <v>0</v>
      </c>
      <c r="E36" s="707" t="str">
        <f t="shared" si="5"/>
        <v/>
      </c>
      <c r="F36" s="706">
        <f>SUM(F34:F35)</f>
        <v>0</v>
      </c>
      <c r="G36" s="707" t="str">
        <f t="shared" si="6"/>
        <v/>
      </c>
      <c r="H36" s="706">
        <f>SUM(H34:H35)</f>
        <v>0</v>
      </c>
    </row>
    <row r="37" spans="1:10" ht="15.75">
      <c r="A37" s="648" t="s">
        <v>27</v>
      </c>
      <c r="B37" s="761">
        <f>'Financial Statement2'!J115*$I$5/$I$6</f>
        <v>0</v>
      </c>
      <c r="C37" s="681" t="str">
        <f t="shared" si="4"/>
        <v/>
      </c>
      <c r="D37" s="761">
        <f>'Financial Statement2'!I115*$I$5/$I$6</f>
        <v>0</v>
      </c>
      <c r="E37" s="681" t="str">
        <f t="shared" si="5"/>
        <v/>
      </c>
      <c r="F37" s="761">
        <f>'Financial Statement2'!H115*$I$5/$I$6</f>
        <v>0</v>
      </c>
      <c r="G37" s="681" t="str">
        <f t="shared" si="6"/>
        <v/>
      </c>
      <c r="H37" s="761">
        <f>'Financial Statement2'!G115*$I$5/$I$6</f>
        <v>0</v>
      </c>
    </row>
    <row r="38" spans="1:10" ht="15.75">
      <c r="A38" s="649" t="s">
        <v>28</v>
      </c>
      <c r="B38" s="706">
        <f>B34+B35+B43-B62-B64-B52</f>
        <v>0</v>
      </c>
      <c r="C38" s="707" t="str">
        <f t="shared" si="4"/>
        <v/>
      </c>
      <c r="D38" s="706">
        <f>D34+D35+D43-D62-D64-D52</f>
        <v>0</v>
      </c>
      <c r="E38" s="707" t="str">
        <f t="shared" si="5"/>
        <v/>
      </c>
      <c r="F38" s="706">
        <f>F34+F35+F43-F62-F64-F52</f>
        <v>0</v>
      </c>
      <c r="G38" s="707" t="str">
        <f t="shared" si="6"/>
        <v/>
      </c>
      <c r="H38" s="706">
        <f>H34+H35+H43-H62-H64-H52</f>
        <v>0</v>
      </c>
    </row>
    <row r="39" spans="1:10" ht="15.75">
      <c r="A39" s="648" t="s">
        <v>29</v>
      </c>
      <c r="B39" s="761">
        <f>('Financial Statement2'!J125+'Financial Statement2'!J126)*$I$5/$I$6</f>
        <v>0</v>
      </c>
      <c r="C39" s="681" t="str">
        <f t="shared" si="4"/>
        <v/>
      </c>
      <c r="D39" s="761">
        <f>('Financial Statement2'!I125+'Financial Statement2'!I126)*$I$5/$I$6</f>
        <v>0</v>
      </c>
      <c r="E39" s="681" t="str">
        <f t="shared" si="5"/>
        <v/>
      </c>
      <c r="F39" s="761">
        <f>('Financial Statement2'!H125+'Financial Statement2'!H126)*$I$5/$I$6</f>
        <v>0</v>
      </c>
      <c r="G39" s="681" t="str">
        <f t="shared" si="6"/>
        <v/>
      </c>
      <c r="H39" s="761">
        <f>('Financial Statement2'!G125+'Financial Statement2'!G126)*$I$5/$I$6</f>
        <v>0</v>
      </c>
    </row>
    <row r="40" spans="1:10" ht="31.5">
      <c r="A40" s="648" t="s">
        <v>30</v>
      </c>
      <c r="B40" s="761">
        <f>('Financial Statement2'!J144+'Financial Statement2'!J145)*$I$5/$I$6</f>
        <v>0</v>
      </c>
      <c r="C40" s="681" t="str">
        <f t="shared" si="4"/>
        <v/>
      </c>
      <c r="D40" s="761">
        <f>('Financial Statement2'!I144+'Financial Statement2'!I145)*$I$5/$I$6</f>
        <v>0</v>
      </c>
      <c r="E40" s="681" t="str">
        <f t="shared" si="5"/>
        <v/>
      </c>
      <c r="F40" s="761">
        <f>('Financial Statement2'!H144+'Financial Statement2'!H145)*$I$5/$I$6</f>
        <v>0</v>
      </c>
      <c r="G40" s="681" t="str">
        <f t="shared" si="6"/>
        <v/>
      </c>
      <c r="H40" s="761">
        <f>('Financial Statement2'!G144+'Financial Statement2'!G145)*$I$5/$I$6</f>
        <v>0</v>
      </c>
      <c r="J40" s="708"/>
    </row>
    <row r="41" spans="1:10" ht="31.5">
      <c r="A41" s="650" t="s">
        <v>31</v>
      </c>
      <c r="B41" s="709">
        <f>B39+B40</f>
        <v>0</v>
      </c>
      <c r="C41" s="710" t="str">
        <f t="shared" si="4"/>
        <v/>
      </c>
      <c r="D41" s="709">
        <f>D39+D40</f>
        <v>0</v>
      </c>
      <c r="E41" s="710" t="str">
        <f t="shared" si="5"/>
        <v/>
      </c>
      <c r="F41" s="709">
        <f>F39+F40</f>
        <v>0</v>
      </c>
      <c r="G41" s="710" t="str">
        <f t="shared" si="6"/>
        <v/>
      </c>
      <c r="H41" s="709">
        <f>H39+H40</f>
        <v>0</v>
      </c>
      <c r="J41" s="708"/>
    </row>
    <row r="42" spans="1:10" ht="15.75">
      <c r="A42" s="648" t="s">
        <v>32</v>
      </c>
      <c r="B42" s="761">
        <f>('Financial Statement2'!J129+'Financial Statement2'!J130+'Financial Statement2'!J131+'Financial Statement2'!J146+'Financial Statement2'!J149+'Financial Statement2'!J150)*$I$5/$I$6</f>
        <v>0</v>
      </c>
      <c r="C42" s="681" t="str">
        <f t="shared" si="4"/>
        <v/>
      </c>
      <c r="D42" s="761">
        <f>('Financial Statement2'!I129+'Financial Statement2'!I130+'Financial Statement2'!I131+'Financial Statement2'!I146+'Financial Statement2'!I149+'Financial Statement2'!I150)*$I$5/$I$6</f>
        <v>0</v>
      </c>
      <c r="E42" s="681" t="str">
        <f t="shared" si="5"/>
        <v/>
      </c>
      <c r="F42" s="761">
        <f>('Financial Statement2'!H129+'Financial Statement2'!H130+'Financial Statement2'!H131+'Financial Statement2'!H146+'Financial Statement2'!H149+'Financial Statement2'!H150)*$I$5/$I$6</f>
        <v>0</v>
      </c>
      <c r="G42" s="681" t="str">
        <f t="shared" si="6"/>
        <v/>
      </c>
      <c r="H42" s="761">
        <f>('Financial Statement2'!G129+'Financial Statement2'!G130+'Financial Statement2'!G131+'Financial Statement2'!G146+'Financial Statement2'!G149+'Financial Statement2'!G150)*$I$5/$I$6</f>
        <v>0</v>
      </c>
    </row>
    <row r="43" spans="1:10" ht="31.5">
      <c r="A43" s="651" t="s">
        <v>33</v>
      </c>
      <c r="B43" s="761">
        <f>('Financial Statement2'!J127+'Financial Statement2'!J128+'Financial Statement2'!J147+'Financial Statement2'!J148)*$I$5/$I$6</f>
        <v>0</v>
      </c>
      <c r="C43" s="681" t="str">
        <f t="shared" si="4"/>
        <v/>
      </c>
      <c r="D43" s="761">
        <f>('Financial Statement2'!I127+'Financial Statement2'!I128+'Financial Statement2'!I147+'Financial Statement2'!I148)*$I$5/$I$6</f>
        <v>0</v>
      </c>
      <c r="E43" s="681" t="str">
        <f t="shared" si="5"/>
        <v/>
      </c>
      <c r="F43" s="761">
        <f>('Financial Statement2'!H127+'Financial Statement2'!H128+'Financial Statement2'!H147+'Financial Statement2'!H148)*$I$5/$I$6</f>
        <v>0</v>
      </c>
      <c r="G43" s="681" t="str">
        <f t="shared" si="6"/>
        <v/>
      </c>
      <c r="H43" s="761">
        <f>('Financial Statement2'!G127+'Financial Statement2'!G128+'Financial Statement2'!G147+'Financial Statement2'!G148)*$I$5/$I$6</f>
        <v>0</v>
      </c>
    </row>
    <row r="44" spans="1:10" ht="15.75">
      <c r="A44" s="652" t="s">
        <v>34</v>
      </c>
      <c r="B44" s="711">
        <f>B45+B46</f>
        <v>0</v>
      </c>
      <c r="C44" s="712" t="str">
        <f t="shared" si="4"/>
        <v/>
      </c>
      <c r="D44" s="711">
        <f>D45+D46</f>
        <v>0</v>
      </c>
      <c r="E44" s="712" t="str">
        <f t="shared" si="5"/>
        <v/>
      </c>
      <c r="F44" s="711">
        <f>F45+F46</f>
        <v>0</v>
      </c>
      <c r="G44" s="712" t="str">
        <f t="shared" si="6"/>
        <v/>
      </c>
      <c r="H44" s="711">
        <f>H45+H46</f>
        <v>0</v>
      </c>
    </row>
    <row r="45" spans="1:10" ht="15.75">
      <c r="A45" s="653" t="s">
        <v>35</v>
      </c>
      <c r="B45" s="761">
        <f>'Financial Statement2'!J158*$I$5/$I$6</f>
        <v>0</v>
      </c>
      <c r="C45" s="681" t="str">
        <f t="shared" si="4"/>
        <v/>
      </c>
      <c r="D45" s="761">
        <f>'Financial Statement2'!I158*$I$5/$I$6</f>
        <v>0</v>
      </c>
      <c r="E45" s="681" t="str">
        <f t="shared" si="5"/>
        <v/>
      </c>
      <c r="F45" s="761">
        <f>'Financial Statement2'!H158*$I$5/$I$6</f>
        <v>0</v>
      </c>
      <c r="G45" s="681" t="str">
        <f t="shared" si="6"/>
        <v/>
      </c>
      <c r="H45" s="761">
        <f>'Financial Statement2'!G158*$I$5/$I$6</f>
        <v>0</v>
      </c>
    </row>
    <row r="46" spans="1:10" ht="15.75">
      <c r="A46" s="648" t="s">
        <v>36</v>
      </c>
      <c r="B46" s="761">
        <f>('Financial Statement2'!J132+'Financial Statement2'!J133+'Financial Statement2'!J136+'Financial Statement2'!J139+'Financial Statement2'!J151+'Financial Statement2'!J156+'Financial Statement2'!J159+'Financial Statement2'!J160)*$I$5/$I$6</f>
        <v>0</v>
      </c>
      <c r="C46" s="681" t="str">
        <f t="shared" si="4"/>
        <v/>
      </c>
      <c r="D46" s="761">
        <f>('Financial Statement2'!I132+'Financial Statement2'!I133+'Financial Statement2'!I136+'Financial Statement2'!I139+'Financial Statement2'!I151+'Financial Statement2'!I156+'Financial Statement2'!I159+'Financial Statement2'!I160)*$I$5/$I$6</f>
        <v>0</v>
      </c>
      <c r="E46" s="681" t="str">
        <f t="shared" si="5"/>
        <v/>
      </c>
      <c r="F46" s="761">
        <f>('Financial Statement2'!H132+'Financial Statement2'!H133+'Financial Statement2'!H136+'Financial Statement2'!H139+'Financial Statement2'!H151+'Financial Statement2'!H156+'Financial Statement2'!H159+'Financial Statement2'!H160)*$I$5/$I$6</f>
        <v>0</v>
      </c>
      <c r="G46" s="681" t="str">
        <f t="shared" si="6"/>
        <v/>
      </c>
      <c r="H46" s="761">
        <f>('Financial Statement2'!G132+'Financial Statement2'!G133+'Financial Statement2'!G136+'Financial Statement2'!G139+'Financial Statement2'!G151+'Financial Statement2'!G156+'Financial Statement2'!G159+'Financial Statement2'!G160)*$I$5/$I$6</f>
        <v>0</v>
      </c>
    </row>
    <row r="47" spans="1:10" ht="15.75">
      <c r="A47" s="654" t="s">
        <v>37</v>
      </c>
      <c r="B47" s="713">
        <f>B41+B42+B44</f>
        <v>0</v>
      </c>
      <c r="C47" s="710" t="str">
        <f t="shared" si="4"/>
        <v/>
      </c>
      <c r="D47" s="713">
        <f>D41+D42+D44</f>
        <v>0</v>
      </c>
      <c r="E47" s="710" t="str">
        <f t="shared" si="5"/>
        <v/>
      </c>
      <c r="F47" s="713">
        <f>F41+F42+F44</f>
        <v>0</v>
      </c>
      <c r="G47" s="710" t="str">
        <f t="shared" si="6"/>
        <v/>
      </c>
      <c r="H47" s="713">
        <f>H41+H42+H44</f>
        <v>0</v>
      </c>
    </row>
    <row r="48" spans="1:10" ht="15.75">
      <c r="A48" s="655" t="s">
        <v>38</v>
      </c>
      <c r="B48" s="714">
        <f>B36+B37+B41+B42+B43+B44</f>
        <v>0</v>
      </c>
      <c r="C48" s="715" t="str">
        <f t="shared" si="4"/>
        <v/>
      </c>
      <c r="D48" s="714">
        <f>D36+D37+D41+D42+D43+D44</f>
        <v>0</v>
      </c>
      <c r="E48" s="715" t="str">
        <f t="shared" si="5"/>
        <v/>
      </c>
      <c r="F48" s="714">
        <f>F36+F37+F41+F42+F43+F44</f>
        <v>0</v>
      </c>
      <c r="G48" s="715" t="str">
        <f t="shared" si="6"/>
        <v/>
      </c>
      <c r="H48" s="714">
        <f>H36+H37+H41+H42+H43+H44</f>
        <v>0</v>
      </c>
    </row>
    <row r="49" spans="1:8" ht="15.75">
      <c r="A49" s="651" t="s">
        <v>39</v>
      </c>
      <c r="B49" s="761">
        <f>'Financial Statement2'!J166*$I$5/$I$6</f>
        <v>0</v>
      </c>
      <c r="C49" s="681" t="str">
        <f t="shared" si="4"/>
        <v/>
      </c>
      <c r="D49" s="761">
        <f>'Financial Statement2'!I166*$I$5/$I$6</f>
        <v>0</v>
      </c>
      <c r="E49" s="681" t="str">
        <f t="shared" si="5"/>
        <v/>
      </c>
      <c r="F49" s="761">
        <f>'Financial Statement2'!H166*$I$5/$I$6</f>
        <v>0</v>
      </c>
      <c r="G49" s="681" t="str">
        <f t="shared" si="6"/>
        <v/>
      </c>
      <c r="H49" s="761">
        <f>'Financial Statement2'!G166*$I$5/$I$6</f>
        <v>0</v>
      </c>
    </row>
    <row r="50" spans="1:8" ht="15.75">
      <c r="A50" s="656" t="s">
        <v>40</v>
      </c>
      <c r="B50" s="713">
        <f>B51+B53+B52</f>
        <v>0</v>
      </c>
      <c r="C50" s="710" t="str">
        <f t="shared" si="4"/>
        <v/>
      </c>
      <c r="D50" s="713">
        <f>D51+D53+D52</f>
        <v>0</v>
      </c>
      <c r="E50" s="710" t="str">
        <f t="shared" si="5"/>
        <v/>
      </c>
      <c r="F50" s="713">
        <f>F51+F53+F52</f>
        <v>0</v>
      </c>
      <c r="G50" s="710" t="str">
        <f t="shared" si="6"/>
        <v/>
      </c>
      <c r="H50" s="713">
        <f>H51+H53+H52</f>
        <v>0</v>
      </c>
    </row>
    <row r="51" spans="1:8" ht="15.75">
      <c r="A51" s="657" t="s">
        <v>41</v>
      </c>
      <c r="B51" s="761">
        <f>('Financial Statement2'!J177+'Financial Statement2'!J178+'Financial Statement2'!J196+'Financial Statement2'!J199)*$I$5/$I$6</f>
        <v>0</v>
      </c>
      <c r="C51" s="681" t="str">
        <f t="shared" si="4"/>
        <v/>
      </c>
      <c r="D51" s="761">
        <f>('Financial Statement2'!I177+'Financial Statement2'!I178+'Financial Statement2'!I196+'Financial Statement2'!I199)*$I$5/$I$6</f>
        <v>0</v>
      </c>
      <c r="E51" s="681" t="str">
        <f t="shared" si="5"/>
        <v/>
      </c>
      <c r="F51" s="761">
        <f>('Financial Statement2'!H177+'Financial Statement2'!H178+'Financial Statement2'!H196+'Financial Statement2'!H199)*$I$5/$I$6</f>
        <v>0</v>
      </c>
      <c r="G51" s="681" t="str">
        <f t="shared" si="6"/>
        <v/>
      </c>
      <c r="H51" s="761">
        <f>('Financial Statement2'!G177+'Financial Statement2'!G178+'Financial Statement2'!G196+'Financial Statement2'!G199)*$I$5/$I$6</f>
        <v>0</v>
      </c>
    </row>
    <row r="52" spans="1:8" ht="15.75">
      <c r="A52" s="657" t="s">
        <v>42</v>
      </c>
      <c r="B52" s="761">
        <f>('Financial Statement2'!J179+'Financial Statement2'!J200)*$I$5/$I$6</f>
        <v>0</v>
      </c>
      <c r="C52" s="681" t="str">
        <f t="shared" si="4"/>
        <v/>
      </c>
      <c r="D52" s="761">
        <f>('Financial Statement2'!I179+'Financial Statement2'!I200)*$I$5/$I$6</f>
        <v>0</v>
      </c>
      <c r="E52" s="681" t="str">
        <f t="shared" si="5"/>
        <v/>
      </c>
      <c r="F52" s="761">
        <f>('Financial Statement2'!H179+'Financial Statement2'!H200)*$I$5/$I$6</f>
        <v>0</v>
      </c>
      <c r="G52" s="681" t="str">
        <f t="shared" si="6"/>
        <v/>
      </c>
      <c r="H52" s="761">
        <f>('Financial Statement2'!G179+'Financial Statement2'!G200)*$I$5/$I$6</f>
        <v>0</v>
      </c>
    </row>
    <row r="53" spans="1:8" ht="15.75">
      <c r="A53" s="657" t="s">
        <v>43</v>
      </c>
      <c r="B53" s="761">
        <f>('Financial Statement2'!J201+'Financial Statement2'!J180)*$I$5/$I$6</f>
        <v>0</v>
      </c>
      <c r="C53" s="681" t="str">
        <f t="shared" si="4"/>
        <v/>
      </c>
      <c r="D53" s="761">
        <f>('Financial Statement2'!I201+'Financial Statement2'!I180)*$I$5/$I$6</f>
        <v>0</v>
      </c>
      <c r="E53" s="681" t="str">
        <f t="shared" si="5"/>
        <v/>
      </c>
      <c r="F53" s="761">
        <f>('Financial Statement2'!H201+'Financial Statement2'!H180)*$I$5/$I$6</f>
        <v>0</v>
      </c>
      <c r="G53" s="681" t="str">
        <f t="shared" si="6"/>
        <v/>
      </c>
      <c r="H53" s="761">
        <f>('Financial Statement2'!G201+'Financial Statement2'!G180)*$I$5/$I$6</f>
        <v>0</v>
      </c>
    </row>
    <row r="54" spans="1:8" ht="15.75">
      <c r="A54" s="658" t="s">
        <v>44</v>
      </c>
      <c r="B54" s="711">
        <f>B56+B57+B60+B61+B55</f>
        <v>0</v>
      </c>
      <c r="C54" s="712" t="str">
        <f t="shared" si="4"/>
        <v/>
      </c>
      <c r="D54" s="711">
        <f>D56+D57+D60+D61+D55</f>
        <v>0</v>
      </c>
      <c r="E54" s="712" t="str">
        <f t="shared" si="5"/>
        <v/>
      </c>
      <c r="F54" s="711">
        <f>F56+F57+F60+F61+F55</f>
        <v>0</v>
      </c>
      <c r="G54" s="712" t="str">
        <f t="shared" si="6"/>
        <v/>
      </c>
      <c r="H54" s="711">
        <f>H56+H57+H60+H61+H55</f>
        <v>0</v>
      </c>
    </row>
    <row r="55" spans="1:8" ht="15.75">
      <c r="A55" s="659" t="s">
        <v>45</v>
      </c>
      <c r="B55" s="761">
        <f>'Financial Statement2'!J187*$I$5/$I$6</f>
        <v>0</v>
      </c>
      <c r="C55" s="681" t="str">
        <f t="shared" si="4"/>
        <v/>
      </c>
      <c r="D55" s="761">
        <f>'Financial Statement2'!I187*$I$5/$I$6</f>
        <v>0</v>
      </c>
      <c r="E55" s="681" t="str">
        <f t="shared" si="5"/>
        <v/>
      </c>
      <c r="F55" s="761">
        <f>'Financial Statement2'!H187*$I$5/$I$6</f>
        <v>0</v>
      </c>
      <c r="G55" s="681" t="str">
        <f t="shared" si="6"/>
        <v/>
      </c>
      <c r="H55" s="761">
        <f>'Financial Statement2'!G187*$I$5/$I$6</f>
        <v>0</v>
      </c>
    </row>
    <row r="56" spans="1:8" ht="15.75">
      <c r="A56" s="651" t="s">
        <v>46</v>
      </c>
      <c r="B56" s="761">
        <f>'Financial Statement2'!J202*$I$5/$I$6</f>
        <v>0</v>
      </c>
      <c r="C56" s="681" t="str">
        <f t="shared" si="4"/>
        <v/>
      </c>
      <c r="D56" s="761">
        <f>'Financial Statement2'!I202*$I$5/$I$6</f>
        <v>0</v>
      </c>
      <c r="E56" s="681" t="str">
        <f t="shared" si="5"/>
        <v/>
      </c>
      <c r="F56" s="761">
        <f>'Financial Statement2'!H202*$I$5/$I$6</f>
        <v>0</v>
      </c>
      <c r="G56" s="681" t="str">
        <f t="shared" si="6"/>
        <v/>
      </c>
      <c r="H56" s="761">
        <f>'Financial Statement2'!G202*$I$5/$I$6</f>
        <v>0</v>
      </c>
    </row>
    <row r="57" spans="1:8" ht="15.75">
      <c r="A57" s="660" t="s">
        <v>47</v>
      </c>
      <c r="B57" s="716">
        <f>B58+B59</f>
        <v>0</v>
      </c>
      <c r="C57" s="710" t="str">
        <f t="shared" si="4"/>
        <v/>
      </c>
      <c r="D57" s="716">
        <f>D58+D59</f>
        <v>0</v>
      </c>
      <c r="E57" s="710" t="str">
        <f t="shared" si="5"/>
        <v/>
      </c>
      <c r="F57" s="716">
        <f>F58+F59</f>
        <v>0</v>
      </c>
      <c r="G57" s="710" t="str">
        <f t="shared" si="6"/>
        <v/>
      </c>
      <c r="H57" s="716">
        <f>H58+H59</f>
        <v>0</v>
      </c>
    </row>
    <row r="58" spans="1:8" ht="15.75">
      <c r="A58" s="651" t="s">
        <v>48</v>
      </c>
      <c r="B58" s="761">
        <f>'Financial Statement2'!J209*$I$5/$I$6</f>
        <v>0</v>
      </c>
      <c r="C58" s="681" t="str">
        <f t="shared" si="4"/>
        <v/>
      </c>
      <c r="D58" s="761">
        <f>'Financial Statement2'!I209*$I$5/$I$6</f>
        <v>0</v>
      </c>
      <c r="E58" s="681" t="str">
        <f t="shared" si="5"/>
        <v/>
      </c>
      <c r="F58" s="761">
        <f>'Financial Statement2'!H209*$I$5/$I$6</f>
        <v>0</v>
      </c>
      <c r="G58" s="681" t="str">
        <f t="shared" si="6"/>
        <v/>
      </c>
      <c r="H58" s="761">
        <f>'Financial Statement2'!G209*$I$5/$I$6</f>
        <v>0</v>
      </c>
    </row>
    <row r="59" spans="1:8" ht="15.75">
      <c r="A59" s="651" t="s">
        <v>49</v>
      </c>
      <c r="B59" s="761">
        <f>'Financial Statement2'!J208*$I$5/$I$6</f>
        <v>0</v>
      </c>
      <c r="C59" s="681" t="str">
        <f t="shared" si="4"/>
        <v/>
      </c>
      <c r="D59" s="761">
        <f>'Financial Statement2'!I208*$I$5/$I$6</f>
        <v>0</v>
      </c>
      <c r="E59" s="681" t="str">
        <f t="shared" si="5"/>
        <v/>
      </c>
      <c r="F59" s="761">
        <f>'Financial Statement2'!H208*$I$5/$I$6</f>
        <v>0</v>
      </c>
      <c r="G59" s="681" t="str">
        <f t="shared" si="6"/>
        <v/>
      </c>
      <c r="H59" s="761">
        <f>'Financial Statement2'!G208*$I$5/$I$6</f>
        <v>0</v>
      </c>
    </row>
    <row r="60" spans="1:8" ht="15.75">
      <c r="A60" s="651" t="s">
        <v>50</v>
      </c>
      <c r="B60" s="761">
        <f>'Financial Statement2'!J212*$I$5/$I$6</f>
        <v>0</v>
      </c>
      <c r="C60" s="681" t="str">
        <f t="shared" si="4"/>
        <v/>
      </c>
      <c r="D60" s="761">
        <f>'Financial Statement2'!I212*$I$5/$I$6</f>
        <v>0</v>
      </c>
      <c r="E60" s="681" t="str">
        <f t="shared" si="5"/>
        <v/>
      </c>
      <c r="F60" s="761">
        <f>'Financial Statement2'!H212*$I$5/$I$6</f>
        <v>0</v>
      </c>
      <c r="G60" s="681" t="str">
        <f t="shared" si="6"/>
        <v/>
      </c>
      <c r="H60" s="761">
        <f>'Financial Statement2'!G212*$I$5/$I$6</f>
        <v>0</v>
      </c>
    </row>
    <row r="61" spans="1:8" ht="15.75">
      <c r="A61" s="661" t="s">
        <v>51</v>
      </c>
      <c r="B61" s="717">
        <f>B62+B63</f>
        <v>0</v>
      </c>
      <c r="C61" s="710" t="str">
        <f t="shared" si="4"/>
        <v/>
      </c>
      <c r="D61" s="717">
        <f>D62+D63</f>
        <v>0</v>
      </c>
      <c r="E61" s="710" t="str">
        <f t="shared" si="5"/>
        <v/>
      </c>
      <c r="F61" s="717">
        <f>F62+F63</f>
        <v>0</v>
      </c>
      <c r="G61" s="710" t="str">
        <f t="shared" si="6"/>
        <v/>
      </c>
      <c r="H61" s="717">
        <f>H62+H63</f>
        <v>0</v>
      </c>
    </row>
    <row r="62" spans="1:8" ht="31.5">
      <c r="A62" s="648" t="s">
        <v>52</v>
      </c>
      <c r="B62" s="761">
        <f>('Financial Statement2'!J182+'Financial Statement2'!J214)*$I$5/$I$6</f>
        <v>0</v>
      </c>
      <c r="C62" s="681" t="str">
        <f t="shared" si="4"/>
        <v/>
      </c>
      <c r="D62" s="761">
        <f>('Financial Statement2'!I182+'Financial Statement2'!I214)*$I$5/$I$6</f>
        <v>0</v>
      </c>
      <c r="E62" s="681" t="str">
        <f t="shared" si="5"/>
        <v/>
      </c>
      <c r="F62" s="761">
        <f>('Financial Statement2'!H182+'Financial Statement2'!H214)*$I$5/$I$6</f>
        <v>0</v>
      </c>
      <c r="G62" s="681" t="str">
        <f t="shared" si="6"/>
        <v/>
      </c>
      <c r="H62" s="761">
        <f>('Financial Statement2'!G182+'Financial Statement2'!G214)*$I$5/$I$6</f>
        <v>0</v>
      </c>
    </row>
    <row r="63" spans="1:8" ht="15.75">
      <c r="A63" s="648" t="s">
        <v>53</v>
      </c>
      <c r="B63" s="761">
        <f>('Financial Statement2'!J186+'Financial Statement2'!J218)*$I$5/$I$6</f>
        <v>0</v>
      </c>
      <c r="C63" s="681" t="str">
        <f t="shared" si="4"/>
        <v/>
      </c>
      <c r="D63" s="761">
        <f>('Financial Statement2'!I186+'Financial Statement2'!I218)*$I$5/$I$6</f>
        <v>0</v>
      </c>
      <c r="E63" s="681" t="str">
        <f t="shared" si="5"/>
        <v/>
      </c>
      <c r="F63" s="761">
        <f>('Financial Statement2'!H186+'Financial Statement2'!H218)*$I$5/$I$6</f>
        <v>0</v>
      </c>
      <c r="G63" s="681" t="str">
        <f t="shared" si="6"/>
        <v/>
      </c>
      <c r="H63" s="761">
        <f>('Financial Statement2'!G186+'Financial Statement2'!G218)*$I$5/$I$6</f>
        <v>0</v>
      </c>
    </row>
    <row r="64" spans="1:8" ht="31.5">
      <c r="A64" s="648" t="s">
        <v>54</v>
      </c>
      <c r="B64" s="761">
        <f>('Financial Statement2'!J188+'Financial Statement2'!J219)*$I$5/$I$6</f>
        <v>0</v>
      </c>
      <c r="C64" s="681" t="str">
        <f t="shared" si="4"/>
        <v/>
      </c>
      <c r="D64" s="761">
        <f>('Financial Statement2'!I188+'Financial Statement2'!I219)*$I$5/$I$6</f>
        <v>0</v>
      </c>
      <c r="E64" s="681" t="str">
        <f t="shared" si="5"/>
        <v/>
      </c>
      <c r="F64" s="761">
        <f>('Financial Statement2'!H188+'Financial Statement2'!H219)*$I$5/$I$6</f>
        <v>0</v>
      </c>
      <c r="G64" s="681" t="str">
        <f t="shared" si="6"/>
        <v/>
      </c>
      <c r="H64" s="761">
        <f>('Financial Statement2'!G188+'Financial Statement2'!G219)*$I$5/$I$6</f>
        <v>0</v>
      </c>
    </row>
    <row r="65" spans="1:9" ht="15.75">
      <c r="A65" s="655" t="s">
        <v>38</v>
      </c>
      <c r="B65" s="718">
        <f>B49+B50+B54+B64</f>
        <v>0</v>
      </c>
      <c r="C65" s="715" t="str">
        <f t="shared" si="4"/>
        <v/>
      </c>
      <c r="D65" s="718">
        <f>D49+D50+D54+D64</f>
        <v>0</v>
      </c>
      <c r="E65" s="715" t="str">
        <f t="shared" si="5"/>
        <v/>
      </c>
      <c r="F65" s="718">
        <f>F49+F50+F54+F64</f>
        <v>0</v>
      </c>
      <c r="G65" s="715" t="str">
        <f t="shared" si="6"/>
        <v/>
      </c>
      <c r="H65" s="718">
        <f>H49+H50+H54+H64</f>
        <v>0</v>
      </c>
      <c r="I65" s="704"/>
    </row>
    <row r="66" spans="1:9" ht="15.75">
      <c r="A66" s="662"/>
      <c r="B66" s="719"/>
      <c r="C66" s="719"/>
      <c r="D66" s="719"/>
      <c r="E66" s="719"/>
      <c r="F66" s="719"/>
      <c r="G66" s="719"/>
      <c r="H66" s="719"/>
    </row>
    <row r="67" spans="1:9" ht="12.75">
      <c r="A67" s="1161" t="s">
        <v>55</v>
      </c>
      <c r="B67" s="1161"/>
      <c r="C67" s="1161"/>
      <c r="D67" s="1161"/>
      <c r="E67" s="1161"/>
      <c r="F67" s="1161"/>
      <c r="G67" s="1161"/>
      <c r="H67" s="1161"/>
    </row>
    <row r="68" spans="1:9" ht="12.75">
      <c r="A68" s="1161"/>
      <c r="B68" s="1161"/>
      <c r="C68" s="1161"/>
      <c r="D68" s="1161"/>
      <c r="E68" s="1161"/>
      <c r="F68" s="1161"/>
      <c r="G68" s="1161"/>
      <c r="H68" s="1161"/>
    </row>
    <row r="69" spans="1:9" ht="15.75">
      <c r="A69" s="663" t="s">
        <v>56</v>
      </c>
      <c r="B69" s="720" t="str">
        <f>IFERROR(B57/B5*365,"-")</f>
        <v>-</v>
      </c>
      <c r="C69" s="721"/>
      <c r="D69" s="720" t="str">
        <f>IFERROR(D57/D5*365,"-")</f>
        <v>-</v>
      </c>
      <c r="E69" s="721"/>
      <c r="F69" s="720" t="str">
        <f>IFERROR(F57/F5*365,"-")</f>
        <v>-</v>
      </c>
      <c r="G69" s="721"/>
      <c r="H69" s="720" t="str">
        <f>IFERROR(H57/H5*365,"-")</f>
        <v>-</v>
      </c>
    </row>
    <row r="70" spans="1:9" ht="15.75">
      <c r="A70" s="663" t="s">
        <v>57</v>
      </c>
      <c r="B70" s="720" t="str">
        <f>IFERROR(B56/(B10+B11+B12)*365,"-")</f>
        <v>-</v>
      </c>
      <c r="C70" s="721"/>
      <c r="D70" s="720" t="str">
        <f>IFERROR(D56/(D10+D11+D12)*365,"-")</f>
        <v>-</v>
      </c>
      <c r="E70" s="721"/>
      <c r="F70" s="720" t="str">
        <f>IFERROR(F56/(F10+F11+F12)*365,"-")</f>
        <v>-</v>
      </c>
      <c r="G70" s="721"/>
      <c r="H70" s="720" t="str">
        <f>IFERROR(H56/(H10+H11+H12)*365,"-")</f>
        <v>-</v>
      </c>
    </row>
    <row r="71" spans="1:9" ht="15.75">
      <c r="A71" s="663" t="s">
        <v>58</v>
      </c>
      <c r="B71" s="720" t="str">
        <f>IFERROR(B56/(B11+B10+B12),"-")</f>
        <v>-</v>
      </c>
      <c r="C71" s="721"/>
      <c r="D71" s="720" t="str">
        <f>IFERROR(D56/(D11+D10+D12),"-")</f>
        <v>-</v>
      </c>
      <c r="E71" s="721"/>
      <c r="F71" s="720" t="str">
        <f>IFERROR(F56/(F11+F10+F12),"-")</f>
        <v>-</v>
      </c>
      <c r="G71" s="721"/>
      <c r="H71" s="720" t="str">
        <f>IFERROR(H56/(H11+H10+H12),"-")</f>
        <v>-</v>
      </c>
    </row>
    <row r="72" spans="1:9" ht="15.75">
      <c r="A72" s="663" t="s">
        <v>59</v>
      </c>
      <c r="B72" s="720" t="str">
        <f>IFERROR(B54/(B44+B40),"-")</f>
        <v>-</v>
      </c>
      <c r="C72" s="721"/>
      <c r="D72" s="720" t="str">
        <f>IFERROR(D54/(D44+D40),"-")</f>
        <v>-</v>
      </c>
      <c r="E72" s="721"/>
      <c r="F72" s="720" t="str">
        <f>IFERROR(F54/(F44+F40),"-")</f>
        <v>-</v>
      </c>
      <c r="G72" s="721"/>
      <c r="H72" s="720" t="str">
        <f>IFERROR(H54/(H44+H40),"-")</f>
        <v>-</v>
      </c>
    </row>
    <row r="73" spans="1:9" ht="15.75">
      <c r="A73" s="663" t="s">
        <v>60</v>
      </c>
      <c r="B73" s="720" t="str">
        <f>IFERROR((B54-B56)/(B44+B40),"-")</f>
        <v>-</v>
      </c>
      <c r="C73" s="721"/>
      <c r="D73" s="720" t="str">
        <f>IFERROR((D54-D56)/(D44+D40),"-")</f>
        <v>-</v>
      </c>
      <c r="E73" s="721"/>
      <c r="F73" s="720" t="str">
        <f>IFERROR((F54-F56)/(F44+F40),"-")</f>
        <v>-</v>
      </c>
      <c r="G73" s="721"/>
      <c r="H73" s="720" t="str">
        <f>IFERROR((H54-H56)/(H44+H40),"-")</f>
        <v>-</v>
      </c>
    </row>
    <row r="74" spans="1:9" ht="15.75">
      <c r="A74" s="663" t="s">
        <v>61</v>
      </c>
      <c r="B74" s="720" t="str">
        <f>IFERROR((B39+B40+B42)/B36,"-")</f>
        <v>-</v>
      </c>
      <c r="C74" s="721"/>
      <c r="D74" s="720" t="str">
        <f>IFERROR((D39+D40+D42)/D36,"-")</f>
        <v>-</v>
      </c>
      <c r="E74" s="721"/>
      <c r="F74" s="720" t="str">
        <f>IFERROR((F39+F40+F42)/F36,"-")</f>
        <v>-</v>
      </c>
      <c r="G74" s="721"/>
      <c r="H74" s="720" t="str">
        <f>IFERROR((H39+H40+H42)/H36,"-")</f>
        <v>-</v>
      </c>
    </row>
    <row r="75" spans="1:9" ht="15.75">
      <c r="A75" s="663" t="s">
        <v>62</v>
      </c>
      <c r="B75" s="720" t="str">
        <f>IFERROR(B16/(B18+B19+B20+B21),"-")</f>
        <v>-</v>
      </c>
      <c r="C75" s="721"/>
      <c r="D75" s="720" t="str">
        <f>IFERROR(D16/(D18+D19+D20+D21),"-")</f>
        <v>-</v>
      </c>
      <c r="E75" s="721"/>
      <c r="F75" s="720" t="str">
        <f>IFERROR(F16/(F18+F19+F20+F21),"-")</f>
        <v>-</v>
      </c>
      <c r="G75" s="721"/>
      <c r="H75" s="720" t="str">
        <f>IFERROR(H16/(H18+H19+H20+H21),"-")</f>
        <v>-</v>
      </c>
    </row>
    <row r="76" spans="1:9" ht="15.75">
      <c r="A76" s="663" t="s">
        <v>63</v>
      </c>
      <c r="B76" s="720" t="str">
        <f>IFERROR($B$16/($B$18+$B$19+$B$20+$B$21+($B$39+$B$42)/5),"-")</f>
        <v>-</v>
      </c>
      <c r="C76" s="721"/>
      <c r="D76" s="720" t="str">
        <f>IFERROR($D$16/($D$18+$D$19+$D$20+$D$21+($D$39+$D$42)/5),"-")</f>
        <v>-</v>
      </c>
      <c r="E76" s="721"/>
      <c r="F76" s="720" t="str">
        <f>IFERROR($F$16/($F$18+$F$19+$F$20+$F$21+($F$39+$F$42)/5),"-")</f>
        <v>-</v>
      </c>
      <c r="G76" s="721"/>
      <c r="H76" s="720" t="str">
        <f>IFERROR($H$16/($H$18+$H$19+$H$20+$H$21+($H$39+$H$42)/5),"-")</f>
        <v>-</v>
      </c>
    </row>
    <row r="77" spans="1:9" ht="15.75">
      <c r="A77" s="663" t="s">
        <v>64</v>
      </c>
      <c r="B77" s="720" t="str">
        <f>IFERROR($B$16/($B$18+$B$19+$B$20+$B$21+($B$39+$B$42)/5+Eligibility!F38),"-")</f>
        <v>-</v>
      </c>
      <c r="C77" s="721"/>
      <c r="D77" s="720" t="str">
        <f>IFERROR($D$16/($D$18+$D$19+$D$20+$D$21+($D$39+$D$42)/5),"-")</f>
        <v>-</v>
      </c>
      <c r="E77" s="721"/>
      <c r="F77" s="720" t="str">
        <f>IFERROR($F$16/($F$18+$F$19+$F$20+$F$21+($F$39+$F$42)/5),"-")</f>
        <v>-</v>
      </c>
      <c r="G77" s="721"/>
      <c r="H77" s="720" t="str">
        <f>IFERROR($H$16/($H$18+$H$19+$H$20+$H$21+($H$39+$H$42)/5),"-")</f>
        <v>-</v>
      </c>
    </row>
    <row r="78" spans="1:9" ht="15.75">
      <c r="A78" s="663" t="s">
        <v>65</v>
      </c>
      <c r="B78" s="720" t="str">
        <f>IFERROR(B13/B5*100,"-")</f>
        <v>-</v>
      </c>
      <c r="C78" s="721"/>
      <c r="D78" s="720" t="str">
        <f>IFERROR(D13/D5*100,"-")</f>
        <v>-</v>
      </c>
      <c r="E78" s="721"/>
      <c r="F78" s="720" t="str">
        <f>IFERROR(F13/F5*100,"-")</f>
        <v>-</v>
      </c>
      <c r="G78" s="721"/>
      <c r="H78" s="720" t="str">
        <f>IFERROR(H13/H5*100,"-")</f>
        <v>-</v>
      </c>
    </row>
    <row r="79" spans="1:9" ht="15.75">
      <c r="A79" s="663" t="s">
        <v>66</v>
      </c>
      <c r="B79" s="720" t="str">
        <f>IFERROR(B25/B5*100,"-")</f>
        <v>-</v>
      </c>
      <c r="C79" s="721"/>
      <c r="D79" s="720" t="str">
        <f>IFERROR(D25/D5*100,"-")</f>
        <v>-</v>
      </c>
      <c r="E79" s="721"/>
      <c r="F79" s="720" t="str">
        <f>IFERROR(F25/F5*100,"-")</f>
        <v>-</v>
      </c>
      <c r="G79" s="721"/>
      <c r="H79" s="720" t="str">
        <f>IFERROR(H25/H5*100,"-")</f>
        <v>-</v>
      </c>
    </row>
    <row r="80" spans="1:9" ht="15.75">
      <c r="A80" s="663" t="s">
        <v>67</v>
      </c>
      <c r="B80" s="720" t="str">
        <f>IFERROR(B26/B5*100,"-")</f>
        <v>-</v>
      </c>
      <c r="C80" s="721"/>
      <c r="D80" s="720" t="str">
        <f>IFERROR(D26/D5*100,"-")</f>
        <v>-</v>
      </c>
      <c r="E80" s="721"/>
      <c r="F80" s="720" t="str">
        <f>IFERROR(F26/F5*100,"-")</f>
        <v>-</v>
      </c>
      <c r="G80" s="721"/>
      <c r="H80" s="720" t="str">
        <f>IFERROR(H26/H5*100,"-")</f>
        <v>-</v>
      </c>
    </row>
    <row r="81" spans="1:9" ht="15.75">
      <c r="A81" s="663" t="s">
        <v>68</v>
      </c>
      <c r="B81" s="720" t="str">
        <f>IFERROR((B5-D5)/D5*100,"-")</f>
        <v>-</v>
      </c>
      <c r="C81" s="722"/>
      <c r="D81" s="720" t="str">
        <f>IFERROR((D5-F5)/F5*100,"-")</f>
        <v>-</v>
      </c>
      <c r="E81" s="722"/>
      <c r="F81" s="723" t="e">
        <f>#N/A</f>
        <v>#N/A</v>
      </c>
      <c r="G81" s="722"/>
      <c r="H81" s="720" t="e">
        <f>#N/A</f>
        <v>#N/A</v>
      </c>
    </row>
    <row r="82" spans="1:9" ht="15.75">
      <c r="A82" s="663" t="s">
        <v>69</v>
      </c>
      <c r="B82" s="720" t="str">
        <f>IFERROR((B25-D25)/D25*100,"-")</f>
        <v>-</v>
      </c>
      <c r="C82" s="722"/>
      <c r="D82" s="720" t="str">
        <f>IFERROR((D25-F25)/F25*100,"-")</f>
        <v>-</v>
      </c>
      <c r="E82" s="722"/>
      <c r="F82" s="723" t="e">
        <f>#N/A</f>
        <v>#N/A</v>
      </c>
      <c r="G82" s="722"/>
      <c r="H82" s="720" t="e">
        <f>#N/A</f>
        <v>#N/A</v>
      </c>
    </row>
    <row r="83" spans="1:9" ht="15.75">
      <c r="A83" s="663"/>
      <c r="B83" s="724"/>
      <c r="C83" s="721"/>
      <c r="D83" s="724"/>
      <c r="E83" s="721"/>
      <c r="F83" s="724"/>
      <c r="G83" s="721"/>
      <c r="H83" s="720"/>
    </row>
    <row r="84" spans="1:9" ht="15.75">
      <c r="A84" s="664" t="s">
        <v>70</v>
      </c>
      <c r="B84" s="724"/>
      <c r="C84" s="721"/>
      <c r="D84" s="724"/>
      <c r="E84" s="721"/>
      <c r="F84" s="724"/>
      <c r="G84" s="721"/>
      <c r="H84" s="720"/>
    </row>
    <row r="85" spans="1:9" ht="15.75">
      <c r="A85" s="664"/>
      <c r="B85" s="724"/>
      <c r="C85" s="721"/>
      <c r="D85" s="724"/>
      <c r="E85" s="721"/>
      <c r="F85" s="724"/>
      <c r="G85" s="721"/>
      <c r="H85" s="720"/>
    </row>
    <row r="86" spans="1:9" ht="15.75">
      <c r="A86" s="663" t="s">
        <v>71</v>
      </c>
      <c r="B86" s="724">
        <f>B25</f>
        <v>0</v>
      </c>
      <c r="C86" s="721"/>
      <c r="D86" s="724">
        <f>D25</f>
        <v>0</v>
      </c>
      <c r="E86" s="721"/>
      <c r="F86" s="724">
        <f>F25</f>
        <v>0</v>
      </c>
      <c r="G86" s="721"/>
      <c r="H86" s="720">
        <f>H25</f>
        <v>0</v>
      </c>
    </row>
    <row r="87" spans="1:9" ht="15.75">
      <c r="A87" s="663" t="s">
        <v>72</v>
      </c>
      <c r="B87" s="724"/>
      <c r="C87" s="721"/>
      <c r="D87" s="724"/>
      <c r="E87" s="721"/>
      <c r="F87" s="724"/>
      <c r="G87" s="721"/>
      <c r="H87" s="720"/>
    </row>
    <row r="88" spans="1:9" ht="15.75">
      <c r="A88" s="663" t="s">
        <v>73</v>
      </c>
      <c r="B88" s="724">
        <f>B17</f>
        <v>0</v>
      </c>
      <c r="C88" s="721"/>
      <c r="D88" s="724">
        <f>D17</f>
        <v>0</v>
      </c>
      <c r="E88" s="721"/>
      <c r="F88" s="724">
        <f>F17</f>
        <v>0</v>
      </c>
      <c r="G88" s="721"/>
      <c r="H88" s="720">
        <f>H17</f>
        <v>0</v>
      </c>
    </row>
    <row r="89" spans="1:9" ht="15.75">
      <c r="A89" s="663" t="s">
        <v>74</v>
      </c>
      <c r="B89" s="724">
        <f>B22</f>
        <v>0</v>
      </c>
      <c r="C89" s="721"/>
      <c r="D89" s="724">
        <f>D22</f>
        <v>0</v>
      </c>
      <c r="E89" s="721"/>
      <c r="F89" s="724">
        <f>F22</f>
        <v>0</v>
      </c>
      <c r="G89" s="721"/>
      <c r="H89" s="720">
        <f>H22</f>
        <v>0</v>
      </c>
    </row>
    <row r="90" spans="1:9" ht="15.75">
      <c r="A90" s="663" t="s">
        <v>75</v>
      </c>
      <c r="B90" s="724">
        <f>B27</f>
        <v>0</v>
      </c>
      <c r="C90" s="721"/>
      <c r="D90" s="724">
        <f>D27</f>
        <v>0</v>
      </c>
      <c r="E90" s="721"/>
      <c r="F90" s="724">
        <f>F27</f>
        <v>0</v>
      </c>
      <c r="G90" s="721"/>
      <c r="H90" s="720">
        <f>H27</f>
        <v>0</v>
      </c>
    </row>
    <row r="91" spans="1:9" ht="15.75">
      <c r="A91" s="663" t="s">
        <v>76</v>
      </c>
      <c r="B91" s="724">
        <f>B28</f>
        <v>0</v>
      </c>
      <c r="C91" s="721"/>
      <c r="D91" s="724">
        <f>D28</f>
        <v>0</v>
      </c>
      <c r="E91" s="721"/>
      <c r="F91" s="724">
        <f>F28</f>
        <v>0</v>
      </c>
      <c r="G91" s="721"/>
      <c r="H91" s="720">
        <f>H28</f>
        <v>0</v>
      </c>
    </row>
    <row r="92" spans="1:9" ht="15.75">
      <c r="A92" s="663" t="s">
        <v>77</v>
      </c>
      <c r="B92" s="724">
        <f>B24</f>
        <v>0</v>
      </c>
      <c r="C92" s="721"/>
      <c r="D92" s="724">
        <f>D24</f>
        <v>0</v>
      </c>
      <c r="E92" s="721"/>
      <c r="F92" s="724">
        <f>F24</f>
        <v>0</v>
      </c>
      <c r="G92" s="721"/>
      <c r="H92" s="720">
        <f>H24</f>
        <v>0</v>
      </c>
    </row>
    <row r="93" spans="1:9" ht="15.75">
      <c r="A93" s="663" t="s">
        <v>78</v>
      </c>
      <c r="B93" s="724">
        <f>B18+B19+B20+B21</f>
        <v>0</v>
      </c>
      <c r="C93" s="721"/>
      <c r="D93" s="724">
        <f>D18+D19+D20+D21</f>
        <v>0</v>
      </c>
      <c r="E93" s="721"/>
      <c r="F93" s="724">
        <f>F18+F19+F20+F21</f>
        <v>0</v>
      </c>
      <c r="G93" s="721"/>
      <c r="H93" s="720">
        <f>H18+H19+H20+H21</f>
        <v>0</v>
      </c>
    </row>
    <row r="94" spans="1:9" ht="31.5">
      <c r="A94" s="665" t="s">
        <v>79</v>
      </c>
      <c r="B94" s="725">
        <f>-B7</f>
        <v>0</v>
      </c>
      <c r="C94" s="726"/>
      <c r="D94" s="725">
        <f>-D7</f>
        <v>0</v>
      </c>
      <c r="E94" s="726"/>
      <c r="F94" s="725">
        <f>-F7</f>
        <v>0</v>
      </c>
      <c r="G94" s="726"/>
      <c r="H94" s="727">
        <f>-H7</f>
        <v>0</v>
      </c>
      <c r="I94" s="704"/>
    </row>
    <row r="95" spans="1:9" ht="15.75">
      <c r="A95" s="665"/>
      <c r="B95" s="725"/>
      <c r="C95" s="726"/>
      <c r="D95" s="725"/>
      <c r="E95" s="726"/>
      <c r="F95" s="725"/>
      <c r="G95" s="726"/>
      <c r="H95" s="727"/>
      <c r="I95" s="704"/>
    </row>
    <row r="96" spans="1:9" ht="15.75">
      <c r="A96" s="663" t="s">
        <v>80</v>
      </c>
      <c r="B96" s="724">
        <f>SUM(B86:B94)</f>
        <v>0</v>
      </c>
      <c r="C96" s="721"/>
      <c r="D96" s="724">
        <f>SUM(D86:D94)</f>
        <v>0</v>
      </c>
      <c r="E96" s="721"/>
      <c r="F96" s="724">
        <f>SUM(F86:F94)</f>
        <v>0</v>
      </c>
      <c r="G96" s="721"/>
      <c r="H96" s="720">
        <f>SUM(H86:H94)</f>
        <v>0</v>
      </c>
    </row>
    <row r="97" spans="1:9" ht="15.75">
      <c r="A97" s="663" t="s">
        <v>81</v>
      </c>
      <c r="B97" s="724">
        <f>D57-B57</f>
        <v>0</v>
      </c>
      <c r="C97" s="721"/>
      <c r="D97" s="724">
        <f>F57-D57</f>
        <v>0</v>
      </c>
      <c r="E97" s="721"/>
      <c r="F97" s="724">
        <f>J57-F57</f>
        <v>0</v>
      </c>
      <c r="G97" s="721"/>
      <c r="H97" s="720">
        <f>L57-H57</f>
        <v>0</v>
      </c>
    </row>
    <row r="98" spans="1:9" ht="15.75">
      <c r="A98" s="663" t="s">
        <v>82</v>
      </c>
      <c r="B98" s="724">
        <f>D56-B56</f>
        <v>0</v>
      </c>
      <c r="C98" s="721"/>
      <c r="D98" s="724">
        <f>F56-D56</f>
        <v>0</v>
      </c>
      <c r="E98" s="721"/>
      <c r="F98" s="724">
        <f>J56-F56</f>
        <v>0</v>
      </c>
      <c r="G98" s="721"/>
      <c r="H98" s="720">
        <f>L56-H56</f>
        <v>0</v>
      </c>
    </row>
    <row r="99" spans="1:9" ht="15.75">
      <c r="A99" s="663" t="s">
        <v>83</v>
      </c>
      <c r="B99" s="724">
        <f>D61-B61</f>
        <v>0</v>
      </c>
      <c r="C99" s="721"/>
      <c r="D99" s="724">
        <f>F61-D61</f>
        <v>0</v>
      </c>
      <c r="E99" s="721"/>
      <c r="F99" s="724">
        <f>J61-F61</f>
        <v>0</v>
      </c>
      <c r="G99" s="721"/>
      <c r="H99" s="720">
        <f>L61-H61</f>
        <v>0</v>
      </c>
    </row>
    <row r="100" spans="1:9" ht="15.75">
      <c r="A100" s="663" t="s">
        <v>84</v>
      </c>
      <c r="B100" s="724">
        <f>B44-D44</f>
        <v>0</v>
      </c>
      <c r="C100" s="721"/>
      <c r="D100" s="724">
        <f>D44-F44</f>
        <v>0</v>
      </c>
      <c r="E100" s="721"/>
      <c r="F100" s="724">
        <f>F44-J44</f>
        <v>0</v>
      </c>
      <c r="G100" s="721"/>
      <c r="H100" s="720">
        <f>H44-L44</f>
        <v>0</v>
      </c>
    </row>
    <row r="101" spans="1:9" ht="15.75">
      <c r="A101" s="663" t="s">
        <v>85</v>
      </c>
      <c r="B101" s="724">
        <f>SUM(B97:B100)</f>
        <v>0</v>
      </c>
      <c r="C101" s="721"/>
      <c r="D101" s="724">
        <f>SUM(D97:D100)</f>
        <v>0</v>
      </c>
      <c r="E101" s="721"/>
      <c r="F101" s="724">
        <f>SUM(F97:F100)</f>
        <v>0</v>
      </c>
      <c r="G101" s="721"/>
      <c r="H101" s="720">
        <f>SUM(H97:H100)</f>
        <v>0</v>
      </c>
    </row>
    <row r="102" spans="1:9" ht="15.75">
      <c r="A102" s="664" t="s">
        <v>86</v>
      </c>
      <c r="B102" s="725">
        <f>B96+B101</f>
        <v>0</v>
      </c>
      <c r="C102" s="726"/>
      <c r="D102" s="725">
        <f>D96+D101</f>
        <v>0</v>
      </c>
      <c r="E102" s="726"/>
      <c r="F102" s="725">
        <f>F96+F101</f>
        <v>0</v>
      </c>
      <c r="G102" s="726"/>
      <c r="H102" s="727">
        <f>H96+H101</f>
        <v>0</v>
      </c>
      <c r="I102" s="704"/>
    </row>
    <row r="103" spans="1:9" ht="15.75">
      <c r="A103" s="664"/>
      <c r="B103" s="725"/>
      <c r="C103" s="726"/>
      <c r="D103" s="725"/>
      <c r="E103" s="726"/>
      <c r="F103" s="725"/>
      <c r="G103" s="726"/>
      <c r="H103" s="727"/>
      <c r="I103" s="704"/>
    </row>
    <row r="104" spans="1:9" ht="15.75">
      <c r="A104" s="663" t="s">
        <v>87</v>
      </c>
      <c r="B104" s="724">
        <f>B24</f>
        <v>0</v>
      </c>
      <c r="C104" s="721"/>
      <c r="D104" s="724">
        <f>D24</f>
        <v>0</v>
      </c>
      <c r="E104" s="721"/>
      <c r="F104" s="724">
        <f>F24</f>
        <v>0</v>
      </c>
      <c r="G104" s="721"/>
      <c r="H104" s="720">
        <f>H24</f>
        <v>0</v>
      </c>
    </row>
    <row r="105" spans="1:9" ht="15.75">
      <c r="A105" s="663"/>
      <c r="B105" s="724"/>
      <c r="C105" s="721"/>
      <c r="D105" s="724"/>
      <c r="E105" s="721"/>
      <c r="F105" s="724"/>
      <c r="G105" s="721"/>
      <c r="H105" s="720"/>
    </row>
    <row r="106" spans="1:9" ht="15.75">
      <c r="A106" s="664" t="s">
        <v>88</v>
      </c>
      <c r="B106" s="724">
        <f>B102-B104</f>
        <v>0</v>
      </c>
      <c r="C106" s="721"/>
      <c r="D106" s="724">
        <f>D102-D104</f>
        <v>0</v>
      </c>
      <c r="E106" s="721"/>
      <c r="F106" s="724">
        <f>F102-F104</f>
        <v>0</v>
      </c>
      <c r="G106" s="721"/>
      <c r="H106" s="720">
        <f>H102-H104</f>
        <v>0</v>
      </c>
    </row>
    <row r="107" spans="1:9" ht="15.75"/>
  </sheetData>
  <sheetProtection formatCells="0" formatColumns="0" formatRows="0"/>
  <mergeCells count="8">
    <mergeCell ref="B1:E1"/>
    <mergeCell ref="A67:H68"/>
    <mergeCell ref="A3:A4"/>
    <mergeCell ref="A32:A33"/>
    <mergeCell ref="B32:B33"/>
    <mergeCell ref="D32:D33"/>
    <mergeCell ref="F32:F33"/>
    <mergeCell ref="H32:H33"/>
  </mergeCells>
  <conditionalFormatting sqref="B65 B48">
    <cfRule type="expression" dxfId="360" priority="4">
      <formula>$B$48&lt;&gt;$B$65</formula>
    </cfRule>
  </conditionalFormatting>
  <conditionalFormatting sqref="D65 D48">
    <cfRule type="expression" dxfId="359" priority="3">
      <formula>$B$48&lt;&gt;$B$65</formula>
    </cfRule>
  </conditionalFormatting>
  <conditionalFormatting sqref="F65 F48">
    <cfRule type="expression" dxfId="358" priority="2">
      <formula>$B$48&lt;&gt;$B$65</formula>
    </cfRule>
  </conditionalFormatting>
  <conditionalFormatting sqref="H65 H48">
    <cfRule type="expression" dxfId="357" priority="1">
      <formula>$B$48&lt;&gt;$B$65</formula>
    </cfRule>
  </conditionalFormatting>
  <dataValidations disablePrompts="1" count="1">
    <dataValidation type="list" allowBlank="1" showInputMessage="1" showErrorMessage="1" sqref="I1" xr:uid="{B9ACC6A6-02E4-4340-9C0C-F6BE43D7D56E}">
      <formula1>"Actuals, Thousands, Lakhs, Millions, Crores"</formula1>
    </dataValidation>
  </dataValidations>
  <pageMargins left="0.78749999999999998" right="0.78749999999999998" top="1.0249999999999999" bottom="1.0249999999999999" header="0.78749999999999998" footer="0.78749999999999998"/>
  <pageSetup scale="58" firstPageNumber="0" orientation="portrait" horizontalDpi="300" verticalDpi="300" r:id="rId1"/>
  <headerFooter alignWithMargins="0">
    <oddHeader>&amp;C&amp;"Arial,Regular"&amp;10&amp;A</oddHeader>
    <oddFooter>&amp;C&amp;"Arial,Regular"&amp;10Page &amp;P</oddFooter>
  </headerFooter>
  <rowBreaks count="2" manualBreakCount="2">
    <brk id="30" max="16383" man="1"/>
    <brk id="66" max="16383"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C00000"/>
  </sheetPr>
  <dimension ref="A1:L107"/>
  <sheetViews>
    <sheetView view="pageBreakPreview" zoomScaleSheetLayoutView="100" workbookViewId="0">
      <selection activeCell="H5" sqref="H5:H65"/>
    </sheetView>
  </sheetViews>
  <sheetFormatPr defaultColWidth="11.875" defaultRowHeight="32.1" customHeight="1"/>
  <cols>
    <col min="1" max="1" width="32.625" style="666" customWidth="1"/>
    <col min="2" max="2" width="14.625" style="669" customWidth="1"/>
    <col min="3" max="3" width="8.625" style="669" customWidth="1"/>
    <col min="4" max="4" width="14.625" style="669" customWidth="1"/>
    <col min="5" max="5" width="8.625" style="669" customWidth="1"/>
    <col min="6" max="6" width="14.625" style="669" customWidth="1"/>
    <col min="7" max="7" width="8.625" style="669" customWidth="1"/>
    <col min="8" max="8" width="14.25" style="669" customWidth="1"/>
    <col min="9" max="9" width="15.25" style="669" bestFit="1" customWidth="1"/>
    <col min="10" max="10" width="19.25" style="669" customWidth="1"/>
    <col min="11" max="11" width="10.5" style="669" customWidth="1"/>
    <col min="12" max="16384" width="11.875" style="669"/>
  </cols>
  <sheetData>
    <row r="1" spans="1:9" ht="15.75">
      <c r="A1" s="632" t="s">
        <v>607</v>
      </c>
      <c r="B1" s="1160" t="str">
        <f>IF('Financial Statement3'!F3="","",'Financial Statement3'!F3)</f>
        <v/>
      </c>
      <c r="C1" s="1160"/>
      <c r="D1" s="1160"/>
      <c r="E1" s="1160"/>
      <c r="F1" s="667"/>
      <c r="G1" s="667"/>
      <c r="H1" s="668" t="s">
        <v>608</v>
      </c>
      <c r="I1" s="668" t="s">
        <v>809</v>
      </c>
    </row>
    <row r="2" spans="1:9" ht="15.75">
      <c r="A2" s="633"/>
      <c r="B2" s="670"/>
      <c r="C2" s="670"/>
      <c r="D2" s="670"/>
      <c r="E2" s="670"/>
      <c r="F2" s="670"/>
      <c r="G2" s="670"/>
      <c r="H2" s="671"/>
      <c r="I2" s="672"/>
    </row>
    <row r="3" spans="1:9" ht="12.75">
      <c r="A3" s="1162" t="s">
        <v>0</v>
      </c>
      <c r="B3" s="673" t="str">
        <f>'Financial Statement3'!J5</f>
        <v>-</v>
      </c>
      <c r="C3" s="674" t="s">
        <v>1</v>
      </c>
      <c r="D3" s="673" t="str">
        <f>'Financial Statement3'!I5</f>
        <v>-</v>
      </c>
      <c r="E3" s="674" t="s">
        <v>1</v>
      </c>
      <c r="F3" s="673" t="str">
        <f>'Financial Statement3'!H5</f>
        <v>-</v>
      </c>
      <c r="G3" s="674" t="s">
        <v>1</v>
      </c>
      <c r="H3" s="673" t="str">
        <f>'Financial Statement3'!G5</f>
        <v>-</v>
      </c>
      <c r="I3" s="675"/>
    </row>
    <row r="4" spans="1:9" ht="12.75">
      <c r="A4" s="1163"/>
      <c r="B4" s="676" t="str">
        <f>CONCATENATE("Rs. ",$I$1)</f>
        <v>Rs. Lakhs</v>
      </c>
      <c r="C4" s="677" t="str">
        <f>B3</f>
        <v>-</v>
      </c>
      <c r="D4" s="676" t="str">
        <f>CONCATENATE("Rs. ",$I$1)</f>
        <v>Rs. Lakhs</v>
      </c>
      <c r="E4" s="677" t="str">
        <f>D3</f>
        <v>-</v>
      </c>
      <c r="F4" s="676" t="str">
        <f>CONCATENATE("Rs. ",$I$1)</f>
        <v>Rs. Lakhs</v>
      </c>
      <c r="G4" s="677" t="str">
        <f>F3</f>
        <v>-</v>
      </c>
      <c r="H4" s="676" t="str">
        <f>CONCATENATE("Rs. ",$I$1)</f>
        <v>Rs. Lakhs</v>
      </c>
      <c r="I4" s="678"/>
    </row>
    <row r="5" spans="1:9" ht="15.75">
      <c r="A5" s="634" t="s">
        <v>2</v>
      </c>
      <c r="B5" s="761">
        <f>('Financial Statement3'!J11+'Financial Statement3'!J15+'Financial Statement3'!J19-'Financial Statement3'!J21)*$I$5/$I$6</f>
        <v>0</v>
      </c>
      <c r="C5" s="679" t="str">
        <f>IFERROR((B5-D5)/D5*100,"")</f>
        <v/>
      </c>
      <c r="D5" s="761">
        <f>('Financial Statement3'!I11+'Financial Statement3'!I15+'Financial Statement3'!I19-'Financial Statement3'!I21)*$I$5/$I$6</f>
        <v>0</v>
      </c>
      <c r="E5" s="679" t="str">
        <f>IFERROR((D5-F5)/F5*100,"")</f>
        <v/>
      </c>
      <c r="F5" s="761">
        <f>('Financial Statement3'!H11+'Financial Statement3'!H15+'Financial Statement3'!H19-'Financial Statement3'!H21)*$I$5/$I$6</f>
        <v>0</v>
      </c>
      <c r="G5" s="679" t="str">
        <f>IFERROR((F5-H5)/H5*100,"")</f>
        <v/>
      </c>
      <c r="H5" s="761">
        <f>('Financial Statement3'!G11+'Financial Statement3'!G15+'Financial Statement3'!G19-'Financial Statement3'!G21)*$I$5/$I$6</f>
        <v>0</v>
      </c>
      <c r="I5" s="680">
        <f>IF('Financial Statement3'!$K$3="Actuals",1, IF('Financial Statement3'!$K$3="Thousands",1000, IF('Financial Statement3'!$K$3="Lakhs",100000, IF('Financial Statement3'!$K$3="Millions",1000000, IF('Financial Statement3'!$K$3="Crores",10000000,"")))))</f>
        <v>1</v>
      </c>
    </row>
    <row r="6" spans="1:9" ht="31.5">
      <c r="A6" s="635" t="s">
        <v>3</v>
      </c>
      <c r="B6" s="761">
        <f>'Financial Statement3'!J20*$I$5/$I$6</f>
        <v>0</v>
      </c>
      <c r="C6" s="681" t="str">
        <f>IFERROR((B6-D6)/D6*100,"")</f>
        <v/>
      </c>
      <c r="D6" s="761">
        <f>'Financial Statement3'!I20*$I$5/$I$6</f>
        <v>0</v>
      </c>
      <c r="E6" s="681" t="str">
        <f>IFERROR((D6-F6)/F6*100,"")</f>
        <v/>
      </c>
      <c r="F6" s="761">
        <f>'Financial Statement3'!H20*$I$5/$I$6</f>
        <v>0</v>
      </c>
      <c r="G6" s="681" t="str">
        <f>IFERROR((F6-H6)/H6*100,"")</f>
        <v/>
      </c>
      <c r="H6" s="761">
        <f>'Financial Statement3'!G20*$I$5/$I$6</f>
        <v>0</v>
      </c>
      <c r="I6" s="680">
        <f>IF(I1="Actuals",1, IF(I1="Thousands",1000, IF(I1="Lakhs",100000, IF(I1="Millions",1000000, IF(I1="Crores",10000000,"")))))</f>
        <v>100000</v>
      </c>
    </row>
    <row r="7" spans="1:9" ht="15.75">
      <c r="A7" s="635" t="s">
        <v>4</v>
      </c>
      <c r="B7" s="761">
        <f>'Financial Statement3'!J72*$I$5/$I$6</f>
        <v>0</v>
      </c>
      <c r="C7" s="681" t="str">
        <f>IFERROR((B7-D7)/D7*100,"")</f>
        <v/>
      </c>
      <c r="D7" s="761">
        <f>'Financial Statement3'!I72*$I$5/$I$6</f>
        <v>0</v>
      </c>
      <c r="E7" s="681" t="str">
        <f>IFERROR((D7-F7)/F7*100,"")</f>
        <v/>
      </c>
      <c r="F7" s="761">
        <f>'Financial Statement3'!H72*$I$5/$I$6</f>
        <v>0</v>
      </c>
      <c r="G7" s="681" t="str">
        <f>IFERROR((F7-H7)/H7*100,"")</f>
        <v/>
      </c>
      <c r="H7" s="761">
        <f>'Financial Statement3'!G72*$I$5/$I$6</f>
        <v>0</v>
      </c>
      <c r="I7" s="682"/>
    </row>
    <row r="8" spans="1:9" ht="15.75">
      <c r="A8" s="636" t="s">
        <v>5</v>
      </c>
      <c r="B8" s="683">
        <f>B5+B6+B7</f>
        <v>0</v>
      </c>
      <c r="C8" s="684" t="str">
        <f>IFERROR((B8-D8)/D8*100,"")</f>
        <v/>
      </c>
      <c r="D8" s="683">
        <f>D5+D6+D7</f>
        <v>0</v>
      </c>
      <c r="E8" s="684" t="str">
        <f>IFERROR((D8-F8)/F8*100,"")</f>
        <v/>
      </c>
      <c r="F8" s="683">
        <f>F5+F6+F7</f>
        <v>0</v>
      </c>
      <c r="G8" s="684" t="str">
        <f>IFERROR((F8-H8)/H8*100,"")</f>
        <v/>
      </c>
      <c r="H8" s="683">
        <f>H5+H6+H7</f>
        <v>0</v>
      </c>
      <c r="I8" s="685"/>
    </row>
    <row r="9" spans="1:9" ht="15.75">
      <c r="A9" s="637"/>
      <c r="B9" s="686"/>
      <c r="C9" s="687" t="e">
        <f>CONCATENATE("Cost % of sales of ",YEAR(B3))</f>
        <v>#VALUE!</v>
      </c>
      <c r="D9" s="686"/>
      <c r="E9" s="687" t="e">
        <f>CONCATENATE("Cost % of sales of ",YEAR(D3))</f>
        <v>#VALUE!</v>
      </c>
      <c r="F9" s="686"/>
      <c r="G9" s="687" t="e">
        <f>CONCATENATE("Cost % of sales of ",YEAR(F3))</f>
        <v>#VALUE!</v>
      </c>
      <c r="H9" s="686"/>
      <c r="I9" s="687" t="e">
        <f>CONCATENATE("Cost % of sales of ",YEAR(H3))</f>
        <v>#VALUE!</v>
      </c>
    </row>
    <row r="10" spans="1:9" ht="15.75">
      <c r="A10" s="638" t="s">
        <v>6</v>
      </c>
      <c r="B10" s="761">
        <f>'Financial Statement3'!J25*$I$5/$I$6</f>
        <v>0</v>
      </c>
      <c r="C10" s="688" t="str">
        <f>IFERROR(B10/$B$5*100,"")</f>
        <v/>
      </c>
      <c r="D10" s="761">
        <f>'Financial Statement3'!I25*$I$5/$I$6</f>
        <v>0</v>
      </c>
      <c r="E10" s="688" t="str">
        <f>IFERROR(D10/$D$5*100,"")</f>
        <v/>
      </c>
      <c r="F10" s="761">
        <f>'Financial Statement3'!H25*$I$5/$I$6</f>
        <v>0</v>
      </c>
      <c r="G10" s="688" t="str">
        <f>IFERROR(F10/$F$5*100,"")</f>
        <v/>
      </c>
      <c r="H10" s="761">
        <f>'Financial Statement3'!G25*$I$5/$I$6</f>
        <v>0</v>
      </c>
      <c r="I10" s="688" t="str">
        <f>IFERROR(H10/$H$5*100,"")</f>
        <v/>
      </c>
    </row>
    <row r="11" spans="1:9" ht="15.75">
      <c r="A11" s="638" t="s">
        <v>7</v>
      </c>
      <c r="B11" s="761">
        <f>('Financial Statement3'!J39+'Financial Statement3'!J40+'Financial Statement3'!J41)*$I$5/$I$6</f>
        <v>0</v>
      </c>
      <c r="C11" s="688" t="str">
        <f t="shared" ref="C11:C29" si="0">IFERROR(B11/$B$5*100,"")</f>
        <v/>
      </c>
      <c r="D11" s="761">
        <f>('Financial Statement3'!I39+'Financial Statement3'!I40+'Financial Statement3'!I41)*$I$5/$I$6</f>
        <v>0</v>
      </c>
      <c r="E11" s="688" t="str">
        <f t="shared" ref="E11:E30" si="1">IFERROR(D11/$D$5*100,"")</f>
        <v/>
      </c>
      <c r="F11" s="761">
        <f>('Financial Statement3'!H39+'Financial Statement3'!H40+'Financial Statement3'!H41)*$I$5/$I$6</f>
        <v>0</v>
      </c>
      <c r="G11" s="688" t="str">
        <f t="shared" ref="G11:G29" si="2">IFERROR(F11/$F$5*100,"")</f>
        <v/>
      </c>
      <c r="H11" s="761">
        <f>('Financial Statement3'!G39+'Financial Statement3'!G40+'Financial Statement3'!G41)*$I$5/$I$6</f>
        <v>0</v>
      </c>
      <c r="I11" s="688" t="str">
        <f t="shared" ref="I11:I29" si="3">IFERROR(H11/$H$5*100,"")</f>
        <v/>
      </c>
    </row>
    <row r="12" spans="1:9" ht="15.75">
      <c r="A12" s="638" t="s">
        <v>8</v>
      </c>
      <c r="B12" s="761">
        <f>('Financial Statement3'!J38+'Financial Statement3'!J45+'Financial Statement3'!J49)*$I$5/$I$6</f>
        <v>0</v>
      </c>
      <c r="C12" s="688" t="str">
        <f t="shared" si="0"/>
        <v/>
      </c>
      <c r="D12" s="761">
        <f>('Financial Statement3'!I38+'Financial Statement3'!I45+'Financial Statement3'!I49)*$I$5/$I$6</f>
        <v>0</v>
      </c>
      <c r="E12" s="688" t="str">
        <f t="shared" si="1"/>
        <v/>
      </c>
      <c r="F12" s="761">
        <f>('Financial Statement3'!H38+'Financial Statement3'!H45+'Financial Statement3'!H49)*$I$5/$I$6</f>
        <v>0</v>
      </c>
      <c r="G12" s="688" t="str">
        <f t="shared" si="2"/>
        <v/>
      </c>
      <c r="H12" s="761">
        <f>('Financial Statement3'!G38+'Financial Statement3'!G45+'Financial Statement3'!G49)*$I$5/$I$6</f>
        <v>0</v>
      </c>
      <c r="I12" s="688" t="str">
        <f t="shared" si="3"/>
        <v/>
      </c>
    </row>
    <row r="13" spans="1:9" ht="15.75">
      <c r="A13" s="639" t="s">
        <v>9</v>
      </c>
      <c r="B13" s="689">
        <f>B8-B10-B11-B12</f>
        <v>0</v>
      </c>
      <c r="C13" s="688" t="str">
        <f t="shared" si="0"/>
        <v/>
      </c>
      <c r="D13" s="689">
        <f>D8-D10-D11-D12</f>
        <v>0</v>
      </c>
      <c r="E13" s="688" t="str">
        <f t="shared" si="1"/>
        <v/>
      </c>
      <c r="F13" s="689">
        <f>F8-F10-F11-F12</f>
        <v>0</v>
      </c>
      <c r="G13" s="688" t="str">
        <f t="shared" si="2"/>
        <v/>
      </c>
      <c r="H13" s="689">
        <f>H8-H10-H11-H12</f>
        <v>0</v>
      </c>
      <c r="I13" s="688" t="str">
        <f t="shared" si="3"/>
        <v/>
      </c>
    </row>
    <row r="14" spans="1:9" ht="15.75">
      <c r="A14" s="640" t="s">
        <v>10</v>
      </c>
      <c r="B14" s="761">
        <f>('Financial Statement3'!J47+'Financial Statement3'!J50+'Financial Statement3'!J51+'Financial Statement3'!J58+'Financial Statement3'!J61+'Financial Statement3'!J63+'Financial Statement3'!J71)*$I$5/$I$6</f>
        <v>0</v>
      </c>
      <c r="C14" s="688" t="str">
        <f t="shared" si="0"/>
        <v/>
      </c>
      <c r="D14" s="761">
        <f>('Financial Statement3'!I47+'Financial Statement3'!I50+'Financial Statement3'!I51+'Financial Statement3'!I58+'Financial Statement3'!I61+'Financial Statement3'!I63+'Financial Statement3'!I71)*$I$5/$I$6</f>
        <v>0</v>
      </c>
      <c r="E14" s="688" t="str">
        <f t="shared" si="1"/>
        <v/>
      </c>
      <c r="F14" s="761">
        <f>('Financial Statement3'!H47+'Financial Statement3'!H50+'Financial Statement3'!H51+'Financial Statement3'!H58+'Financial Statement3'!H61+'Financial Statement3'!H63+'Financial Statement3'!H71)*$I$5/$I$6</f>
        <v>0</v>
      </c>
      <c r="G14" s="688" t="str">
        <f t="shared" si="2"/>
        <v/>
      </c>
      <c r="H14" s="761">
        <f>('Financial Statement3'!G47+'Financial Statement3'!G50+'Financial Statement3'!G51+'Financial Statement3'!G58+'Financial Statement3'!G61+'Financial Statement3'!G63+'Financial Statement3'!G71)*$I$5/$I$6</f>
        <v>0</v>
      </c>
      <c r="I14" s="688" t="str">
        <f t="shared" si="3"/>
        <v/>
      </c>
    </row>
    <row r="15" spans="1:9" ht="15.75">
      <c r="A15" s="640" t="s">
        <v>11</v>
      </c>
      <c r="B15" s="761">
        <f>'Financial Statement3'!J46*$I$5/$I$6</f>
        <v>0</v>
      </c>
      <c r="C15" s="688" t="str">
        <f t="shared" si="0"/>
        <v/>
      </c>
      <c r="D15" s="761">
        <f>'Financial Statement3'!I46*$I$5/$I$6</f>
        <v>0</v>
      </c>
      <c r="E15" s="688" t="str">
        <f t="shared" si="1"/>
        <v/>
      </c>
      <c r="F15" s="761">
        <f>'Financial Statement3'!H46*$I$5/$I$6</f>
        <v>0</v>
      </c>
      <c r="G15" s="688" t="str">
        <f t="shared" si="2"/>
        <v/>
      </c>
      <c r="H15" s="761">
        <f>'Financial Statement3'!G46*$I$5/$I$6</f>
        <v>0</v>
      </c>
      <c r="I15" s="688" t="str">
        <f t="shared" si="3"/>
        <v/>
      </c>
    </row>
    <row r="16" spans="1:9" ht="15.75">
      <c r="A16" s="639" t="s">
        <v>12</v>
      </c>
      <c r="B16" s="689">
        <f>B13-B14-B15</f>
        <v>0</v>
      </c>
      <c r="C16" s="688" t="str">
        <f t="shared" si="0"/>
        <v/>
      </c>
      <c r="D16" s="689">
        <f>D13-D14-D15</f>
        <v>0</v>
      </c>
      <c r="E16" s="688" t="str">
        <f t="shared" si="1"/>
        <v/>
      </c>
      <c r="F16" s="689">
        <f>F13-F14-F15</f>
        <v>0</v>
      </c>
      <c r="G16" s="688" t="str">
        <f t="shared" si="2"/>
        <v/>
      </c>
      <c r="H16" s="689">
        <f>H13-H14-H15</f>
        <v>0</v>
      </c>
      <c r="I16" s="688" t="str">
        <f t="shared" si="3"/>
        <v/>
      </c>
    </row>
    <row r="17" spans="1:12" ht="15.75">
      <c r="A17" s="641" t="s">
        <v>13</v>
      </c>
      <c r="B17" s="761">
        <f>'Financial Statement3'!J56*$I$5/$I$6</f>
        <v>0</v>
      </c>
      <c r="C17" s="688" t="str">
        <f t="shared" si="0"/>
        <v/>
      </c>
      <c r="D17" s="761">
        <f>'Financial Statement3'!I56*$I$5/$I$6</f>
        <v>0</v>
      </c>
      <c r="E17" s="688" t="str">
        <f t="shared" si="1"/>
        <v/>
      </c>
      <c r="F17" s="761">
        <f>'Financial Statement3'!H56*$I$5/$I$6</f>
        <v>0</v>
      </c>
      <c r="G17" s="688" t="str">
        <f t="shared" si="2"/>
        <v/>
      </c>
      <c r="H17" s="761">
        <f>'Financial Statement3'!G56*$I$5/$I$6</f>
        <v>0</v>
      </c>
      <c r="I17" s="688" t="str">
        <f t="shared" si="3"/>
        <v/>
      </c>
      <c r="L17" s="690"/>
    </row>
    <row r="18" spans="1:12" s="690" customFormat="1" ht="15.75">
      <c r="A18" s="638" t="s">
        <v>153</v>
      </c>
      <c r="B18" s="761">
        <f>'Financial Statement3'!J67*$I$5/$I$6</f>
        <v>0</v>
      </c>
      <c r="C18" s="688" t="str">
        <f t="shared" si="0"/>
        <v/>
      </c>
      <c r="D18" s="761">
        <f>'Financial Statement3'!I67*$I$5/$I$6</f>
        <v>0</v>
      </c>
      <c r="E18" s="688" t="str">
        <f t="shared" si="1"/>
        <v/>
      </c>
      <c r="F18" s="761">
        <f>'Financial Statement3'!H67*$I$5/$I$6</f>
        <v>0</v>
      </c>
      <c r="G18" s="688" t="str">
        <f t="shared" si="2"/>
        <v/>
      </c>
      <c r="H18" s="761">
        <f>'Financial Statement3'!G67*$I$5/$I$6</f>
        <v>0</v>
      </c>
      <c r="I18" s="688" t="str">
        <f t="shared" si="3"/>
        <v/>
      </c>
      <c r="L18" s="669"/>
    </row>
    <row r="19" spans="1:12" s="690" customFormat="1" ht="15.75">
      <c r="A19" s="638" t="s">
        <v>154</v>
      </c>
      <c r="B19" s="761">
        <f>+'Financial Statement3'!J68*$I$5/$I$6</f>
        <v>0</v>
      </c>
      <c r="C19" s="688" t="str">
        <f t="shared" si="0"/>
        <v/>
      </c>
      <c r="D19" s="761">
        <f>+'Financial Statement3'!I68*$I$5/$I$6</f>
        <v>0</v>
      </c>
      <c r="E19" s="688" t="str">
        <f t="shared" si="1"/>
        <v/>
      </c>
      <c r="F19" s="761">
        <f>+'Financial Statement3'!H68*$I$5/$I$6</f>
        <v>0</v>
      </c>
      <c r="G19" s="688" t="str">
        <f t="shared" si="2"/>
        <v/>
      </c>
      <c r="H19" s="761">
        <f>+'Financial Statement3'!G68*$I$5/$I$6</f>
        <v>0</v>
      </c>
      <c r="I19" s="688" t="str">
        <f t="shared" si="3"/>
        <v/>
      </c>
      <c r="L19" s="669"/>
    </row>
    <row r="20" spans="1:12" s="690" customFormat="1" ht="31.5">
      <c r="A20" s="638" t="s">
        <v>366</v>
      </c>
      <c r="B20" s="761">
        <f>+'Financial Statement3'!J69*$I$5/$I$6</f>
        <v>0</v>
      </c>
      <c r="C20" s="688" t="str">
        <f t="shared" si="0"/>
        <v/>
      </c>
      <c r="D20" s="761">
        <f>+'Financial Statement3'!I69*$I$5/$I$6</f>
        <v>0</v>
      </c>
      <c r="E20" s="688" t="str">
        <f t="shared" si="1"/>
        <v/>
      </c>
      <c r="F20" s="761">
        <f>+'Financial Statement3'!H69*$I$5/$I$6</f>
        <v>0</v>
      </c>
      <c r="G20" s="688" t="str">
        <f t="shared" si="2"/>
        <v/>
      </c>
      <c r="H20" s="761">
        <f>+'Financial Statement3'!G69*$I$5/$I$6</f>
        <v>0</v>
      </c>
      <c r="I20" s="688" t="str">
        <f t="shared" si="3"/>
        <v/>
      </c>
      <c r="L20" s="669"/>
    </row>
    <row r="21" spans="1:12" s="690" customFormat="1" ht="15.75">
      <c r="A21" s="638" t="s">
        <v>123</v>
      </c>
      <c r="B21" s="761">
        <f>'Financial Statement3'!J70*$I$5/$I$6</f>
        <v>0</v>
      </c>
      <c r="C21" s="688" t="str">
        <f t="shared" si="0"/>
        <v/>
      </c>
      <c r="D21" s="761">
        <f>'Financial Statement3'!I70*$I$5/$I$6</f>
        <v>0</v>
      </c>
      <c r="E21" s="688" t="str">
        <f t="shared" si="1"/>
        <v/>
      </c>
      <c r="F21" s="761">
        <f>'Financial Statement3'!H70*$I$5/$I$6</f>
        <v>0</v>
      </c>
      <c r="G21" s="688" t="str">
        <f t="shared" si="2"/>
        <v/>
      </c>
      <c r="H21" s="761">
        <f>'Financial Statement3'!G70*$I$5/$I$6</f>
        <v>0</v>
      </c>
      <c r="I21" s="688" t="str">
        <f t="shared" si="3"/>
        <v/>
      </c>
      <c r="L21" s="669"/>
    </row>
    <row r="22" spans="1:12" ht="15.75">
      <c r="A22" s="641" t="s">
        <v>14</v>
      </c>
      <c r="B22" s="761">
        <f>('Financial Statement3'!J62+'Financial Statement3'!J59)*$I$5/$I$6</f>
        <v>0</v>
      </c>
      <c r="C22" s="688" t="str">
        <f t="shared" si="0"/>
        <v/>
      </c>
      <c r="D22" s="761">
        <f>('Financial Statement3'!I62+'Financial Statement3'!I59)*$I$5/$I$6</f>
        <v>0</v>
      </c>
      <c r="E22" s="688" t="str">
        <f t="shared" si="1"/>
        <v/>
      </c>
      <c r="F22" s="761">
        <f>('Financial Statement3'!H62+'Financial Statement3'!H59)*$I$5/$I$6</f>
        <v>0</v>
      </c>
      <c r="G22" s="688" t="str">
        <f t="shared" si="2"/>
        <v/>
      </c>
      <c r="H22" s="761">
        <f>('Financial Statement3'!G62+'Financial Statement3'!G59)*$I$5/$I$6</f>
        <v>0</v>
      </c>
      <c r="I22" s="688" t="str">
        <f t="shared" si="3"/>
        <v/>
      </c>
    </row>
    <row r="23" spans="1:12" ht="15.75">
      <c r="A23" s="642" t="s">
        <v>15</v>
      </c>
      <c r="B23" s="691">
        <f>B16-B17-B18-B22-B21-B19-B20</f>
        <v>0</v>
      </c>
      <c r="C23" s="688" t="str">
        <f t="shared" si="0"/>
        <v/>
      </c>
      <c r="D23" s="691">
        <f>D16-D17-D18-D22-D21-D19-D20</f>
        <v>0</v>
      </c>
      <c r="E23" s="688" t="str">
        <f t="shared" si="1"/>
        <v/>
      </c>
      <c r="F23" s="691">
        <f>F16-F17-F18-F22-F21-F19-F20</f>
        <v>0</v>
      </c>
      <c r="G23" s="688" t="str">
        <f t="shared" si="2"/>
        <v/>
      </c>
      <c r="H23" s="691">
        <f>H16-H17-H18-H22-H21-H19-H20</f>
        <v>0</v>
      </c>
      <c r="I23" s="688" t="str">
        <f t="shared" si="3"/>
        <v/>
      </c>
    </row>
    <row r="24" spans="1:12" ht="15.75">
      <c r="A24" s="643" t="s">
        <v>16</v>
      </c>
      <c r="B24" s="761">
        <f>'Financial Statement3'!J86*$I$5/$I$6</f>
        <v>0</v>
      </c>
      <c r="C24" s="688" t="str">
        <f t="shared" si="0"/>
        <v/>
      </c>
      <c r="D24" s="761">
        <f>'Financial Statement3'!I86*$I$5/$I$6</f>
        <v>0</v>
      </c>
      <c r="E24" s="688" t="str">
        <f t="shared" si="1"/>
        <v/>
      </c>
      <c r="F24" s="761">
        <f>'Financial Statement3'!H86*$I$5/$I$6</f>
        <v>0</v>
      </c>
      <c r="G24" s="688" t="str">
        <f t="shared" si="2"/>
        <v/>
      </c>
      <c r="H24" s="761">
        <f>'Financial Statement3'!G86*$I$5/$I$6</f>
        <v>0</v>
      </c>
      <c r="I24" s="688" t="str">
        <f t="shared" si="3"/>
        <v/>
      </c>
      <c r="K24" s="692"/>
    </row>
    <row r="25" spans="1:12" ht="15.75">
      <c r="A25" s="644" t="s">
        <v>17</v>
      </c>
      <c r="B25" s="693">
        <f>B23-B24</f>
        <v>0</v>
      </c>
      <c r="C25" s="688" t="str">
        <f t="shared" si="0"/>
        <v/>
      </c>
      <c r="D25" s="693">
        <f>D23-D24</f>
        <v>0</v>
      </c>
      <c r="E25" s="688" t="str">
        <f t="shared" si="1"/>
        <v/>
      </c>
      <c r="F25" s="693">
        <f>F23-F24</f>
        <v>0</v>
      </c>
      <c r="G25" s="688" t="str">
        <f t="shared" si="2"/>
        <v/>
      </c>
      <c r="H25" s="693">
        <f>H23-H24</f>
        <v>0</v>
      </c>
      <c r="I25" s="688" t="str">
        <f t="shared" si="3"/>
        <v/>
      </c>
      <c r="J25" s="694"/>
    </row>
    <row r="26" spans="1:12" s="696" customFormat="1" ht="15.75">
      <c r="A26" s="642" t="s">
        <v>18</v>
      </c>
      <c r="B26" s="691">
        <f>B25+B17+B22</f>
        <v>0</v>
      </c>
      <c r="C26" s="695" t="str">
        <f t="shared" si="0"/>
        <v/>
      </c>
      <c r="D26" s="691">
        <f>D25+D17+D22</f>
        <v>0</v>
      </c>
      <c r="E26" s="695" t="str">
        <f t="shared" si="1"/>
        <v/>
      </c>
      <c r="F26" s="691">
        <f>F25+F17+F22</f>
        <v>0</v>
      </c>
      <c r="G26" s="688" t="str">
        <f t="shared" si="2"/>
        <v/>
      </c>
      <c r="H26" s="691">
        <f>H25+H17+H22</f>
        <v>0</v>
      </c>
      <c r="I26" s="688" t="str">
        <f t="shared" si="3"/>
        <v/>
      </c>
      <c r="J26" s="694"/>
      <c r="K26" s="694"/>
      <c r="L26" s="694"/>
    </row>
    <row r="27" spans="1:12" ht="15.75">
      <c r="A27" s="645" t="s">
        <v>19</v>
      </c>
      <c r="B27" s="761">
        <f>'Financial Statement3'!J49*$I$5/$I$6</f>
        <v>0</v>
      </c>
      <c r="C27" s="688" t="str">
        <f t="shared" si="0"/>
        <v/>
      </c>
      <c r="D27" s="761">
        <f>'Financial Statement3'!I49*$I$5/$I$6</f>
        <v>0</v>
      </c>
      <c r="E27" s="688" t="str">
        <f t="shared" si="1"/>
        <v/>
      </c>
      <c r="F27" s="761">
        <f>'Financial Statement3'!H49*$I$5/$I$6</f>
        <v>0</v>
      </c>
      <c r="G27" s="688" t="str">
        <f t="shared" si="2"/>
        <v/>
      </c>
      <c r="H27" s="761">
        <f>'Financial Statement3'!G49*$I$5/$I$6</f>
        <v>0</v>
      </c>
      <c r="I27" s="688" t="str">
        <f t="shared" si="3"/>
        <v/>
      </c>
    </row>
    <row r="28" spans="1:12" ht="31.5">
      <c r="A28" s="645" t="s">
        <v>20</v>
      </c>
      <c r="B28" s="761">
        <f>'Financial Statement3'!J50*$I$5/$I$6</f>
        <v>0</v>
      </c>
      <c r="C28" s="688" t="str">
        <f t="shared" si="0"/>
        <v/>
      </c>
      <c r="D28" s="761">
        <f>'Financial Statement3'!I50*$I$5/$I$6</f>
        <v>0</v>
      </c>
      <c r="E28" s="688" t="str">
        <f t="shared" si="1"/>
        <v/>
      </c>
      <c r="F28" s="761">
        <f>'Financial Statement3'!H50*$I$5/$I$6</f>
        <v>0</v>
      </c>
      <c r="G28" s="688" t="str">
        <f t="shared" si="2"/>
        <v/>
      </c>
      <c r="H28" s="761">
        <f>'Financial Statement3'!G50*$I$5/$I$6</f>
        <v>0</v>
      </c>
      <c r="I28" s="688" t="str">
        <f t="shared" si="3"/>
        <v/>
      </c>
    </row>
    <row r="29" spans="1:12" ht="15.75">
      <c r="A29" s="646" t="s">
        <v>21</v>
      </c>
      <c r="B29" s="697">
        <f>B26+B27+B28</f>
        <v>0</v>
      </c>
      <c r="C29" s="688" t="str">
        <f t="shared" si="0"/>
        <v/>
      </c>
      <c r="D29" s="697">
        <f>D26+D27+D28</f>
        <v>0</v>
      </c>
      <c r="E29" s="688" t="str">
        <f t="shared" si="1"/>
        <v/>
      </c>
      <c r="F29" s="697">
        <f>F26+F27+F28</f>
        <v>0</v>
      </c>
      <c r="G29" s="688" t="str">
        <f t="shared" si="2"/>
        <v/>
      </c>
      <c r="H29" s="697">
        <f>H26+H27+H28</f>
        <v>0</v>
      </c>
      <c r="I29" s="688" t="str">
        <f t="shared" si="3"/>
        <v/>
      </c>
    </row>
    <row r="30" spans="1:12" ht="15.75">
      <c r="A30" s="646"/>
      <c r="B30" s="697"/>
      <c r="C30" s="698"/>
      <c r="D30" s="697"/>
      <c r="E30" s="688" t="str">
        <f t="shared" si="1"/>
        <v/>
      </c>
      <c r="F30" s="697"/>
      <c r="G30" s="698"/>
      <c r="H30" s="697"/>
      <c r="I30" s="698"/>
      <c r="J30" s="699"/>
    </row>
    <row r="31" spans="1:12" ht="15.75">
      <c r="A31" s="647"/>
      <c r="B31" s="700"/>
      <c r="C31" s="701"/>
      <c r="D31" s="700"/>
      <c r="E31" s="701"/>
      <c r="F31" s="700"/>
      <c r="G31" s="701"/>
      <c r="H31" s="700"/>
      <c r="I31" s="702" t="s">
        <v>22</v>
      </c>
    </row>
    <row r="32" spans="1:12" ht="12.75">
      <c r="A32" s="1164" t="s">
        <v>23</v>
      </c>
      <c r="B32" s="1165" t="str">
        <f>B3</f>
        <v>-</v>
      </c>
      <c r="C32" s="703" t="s">
        <v>1</v>
      </c>
      <c r="D32" s="1165" t="str">
        <f>D3</f>
        <v>-</v>
      </c>
      <c r="E32" s="703" t="s">
        <v>1</v>
      </c>
      <c r="F32" s="1165" t="str">
        <f>F3</f>
        <v>-</v>
      </c>
      <c r="G32" s="703" t="s">
        <v>1</v>
      </c>
      <c r="H32" s="1165" t="str">
        <f>H3</f>
        <v>-</v>
      </c>
      <c r="I32" s="704"/>
    </row>
    <row r="33" spans="1:10" ht="12.75">
      <c r="A33" s="1164"/>
      <c r="B33" s="1166"/>
      <c r="C33" s="705" t="str">
        <f>C4</f>
        <v>-</v>
      </c>
      <c r="D33" s="1166"/>
      <c r="E33" s="705" t="str">
        <f>E4</f>
        <v>-</v>
      </c>
      <c r="F33" s="1166"/>
      <c r="G33" s="705" t="str">
        <f>G4</f>
        <v>-</v>
      </c>
      <c r="H33" s="1166"/>
      <c r="I33" s="704"/>
    </row>
    <row r="34" spans="1:10" ht="15.75">
      <c r="A34" s="648" t="s">
        <v>24</v>
      </c>
      <c r="B34" s="761">
        <f>'Financial Statement3'!J106*$I$5/$I$6</f>
        <v>0</v>
      </c>
      <c r="C34" s="681" t="str">
        <f>IFERROR((B34-D34)/D34*100,"")</f>
        <v/>
      </c>
      <c r="D34" s="761">
        <f>'Financial Statement3'!I106*$I$5/$I$6</f>
        <v>0</v>
      </c>
      <c r="E34" s="681" t="str">
        <f>IFERROR((D34-F34)/F34*100,"")</f>
        <v/>
      </c>
      <c r="F34" s="761">
        <f>'Financial Statement3'!H106*$I$5/$I$6</f>
        <v>0</v>
      </c>
      <c r="G34" s="681" t="str">
        <f>IFERROR((F34-H34)/H34*100,"")</f>
        <v/>
      </c>
      <c r="H34" s="761">
        <f>'Financial Statement3'!G106*$I$5/$I$6</f>
        <v>0</v>
      </c>
    </row>
    <row r="35" spans="1:10" ht="31.5">
      <c r="A35" s="648" t="s">
        <v>25</v>
      </c>
      <c r="B35" s="761">
        <f>('Financial Statement3'!J112-'Financial Statement3'!J115)*$I$5/$I$6</f>
        <v>0</v>
      </c>
      <c r="C35" s="681" t="str">
        <f t="shared" ref="C35:C65" si="4">IFERROR((B35-D35)/D35*100,"")</f>
        <v/>
      </c>
      <c r="D35" s="761">
        <f>('Financial Statement3'!I112-'Financial Statement3'!I115)*$I$5/$I$6</f>
        <v>0</v>
      </c>
      <c r="E35" s="681" t="str">
        <f t="shared" ref="E35:E65" si="5">IFERROR((D35-F35)/F35*100,"")</f>
        <v/>
      </c>
      <c r="F35" s="761">
        <f>('Financial Statement3'!H112-'Financial Statement3'!H115)*$I$5/$I$6</f>
        <v>0</v>
      </c>
      <c r="G35" s="681" t="str">
        <f t="shared" ref="G35:G65" si="6">IFERROR((F35-H35)/H35*100,"")</f>
        <v/>
      </c>
      <c r="H35" s="761">
        <f>('Financial Statement3'!G112-'Financial Statement3'!G115)*$I$5/$I$6</f>
        <v>0</v>
      </c>
    </row>
    <row r="36" spans="1:10" ht="15.75">
      <c r="A36" s="649" t="s">
        <v>26</v>
      </c>
      <c r="B36" s="706">
        <f>SUM(B34:B35)</f>
        <v>0</v>
      </c>
      <c r="C36" s="707" t="str">
        <f t="shared" si="4"/>
        <v/>
      </c>
      <c r="D36" s="706">
        <f>SUM(D34:D35)</f>
        <v>0</v>
      </c>
      <c r="E36" s="707" t="str">
        <f t="shared" si="5"/>
        <v/>
      </c>
      <c r="F36" s="706">
        <f>SUM(F34:F35)</f>
        <v>0</v>
      </c>
      <c r="G36" s="707" t="str">
        <f t="shared" si="6"/>
        <v/>
      </c>
      <c r="H36" s="706">
        <f>SUM(H34:H35)</f>
        <v>0</v>
      </c>
    </row>
    <row r="37" spans="1:10" ht="15.75">
      <c r="A37" s="648" t="s">
        <v>27</v>
      </c>
      <c r="B37" s="761">
        <f>'Financial Statement3'!J115*$I$5/$I$6</f>
        <v>0</v>
      </c>
      <c r="C37" s="681" t="str">
        <f t="shared" si="4"/>
        <v/>
      </c>
      <c r="D37" s="761">
        <f>'Financial Statement3'!I115*$I$5/$I$6</f>
        <v>0</v>
      </c>
      <c r="E37" s="681" t="str">
        <f t="shared" si="5"/>
        <v/>
      </c>
      <c r="F37" s="761">
        <f>'Financial Statement3'!H115*$I$5/$I$6</f>
        <v>0</v>
      </c>
      <c r="G37" s="681" t="str">
        <f t="shared" si="6"/>
        <v/>
      </c>
      <c r="H37" s="761">
        <f>'Financial Statement3'!G115*$I$5/$I$6</f>
        <v>0</v>
      </c>
    </row>
    <row r="38" spans="1:10" ht="15.75">
      <c r="A38" s="649" t="s">
        <v>28</v>
      </c>
      <c r="B38" s="706">
        <f>B34+B35+B43-B62-B64-B52</f>
        <v>0</v>
      </c>
      <c r="C38" s="707" t="str">
        <f t="shared" si="4"/>
        <v/>
      </c>
      <c r="D38" s="706">
        <f>D34+D35+D43-D62-D64-D52</f>
        <v>0</v>
      </c>
      <c r="E38" s="707" t="str">
        <f t="shared" si="5"/>
        <v/>
      </c>
      <c r="F38" s="706">
        <f>F34+F35+F43-F62-F64-F52</f>
        <v>0</v>
      </c>
      <c r="G38" s="707" t="str">
        <f t="shared" si="6"/>
        <v/>
      </c>
      <c r="H38" s="706">
        <f>H34+H35+H43-H62-H64-H52</f>
        <v>0</v>
      </c>
    </row>
    <row r="39" spans="1:10" ht="15.75">
      <c r="A39" s="648" t="s">
        <v>29</v>
      </c>
      <c r="B39" s="761">
        <f>('Financial Statement3'!J125+'Financial Statement3'!J126)*$I$5/$I$6</f>
        <v>0</v>
      </c>
      <c r="C39" s="681" t="str">
        <f t="shared" si="4"/>
        <v/>
      </c>
      <c r="D39" s="761">
        <f>('Financial Statement3'!I125+'Financial Statement3'!I126)*$I$5/$I$6</f>
        <v>0</v>
      </c>
      <c r="E39" s="681" t="str">
        <f t="shared" si="5"/>
        <v/>
      </c>
      <c r="F39" s="761">
        <f>('Financial Statement3'!H125+'Financial Statement3'!H126)*$I$5/$I$6</f>
        <v>0</v>
      </c>
      <c r="G39" s="681" t="str">
        <f t="shared" si="6"/>
        <v/>
      </c>
      <c r="H39" s="761">
        <f>('Financial Statement3'!G125+'Financial Statement3'!G126)*$I$5/$I$6</f>
        <v>0</v>
      </c>
    </row>
    <row r="40" spans="1:10" ht="31.5">
      <c r="A40" s="648" t="s">
        <v>30</v>
      </c>
      <c r="B40" s="761">
        <f>('Financial Statement3'!J144+'Financial Statement3'!J145)*$I$5/$I$6</f>
        <v>0</v>
      </c>
      <c r="C40" s="681" t="str">
        <f t="shared" si="4"/>
        <v/>
      </c>
      <c r="D40" s="761">
        <f>('Financial Statement3'!I144+'Financial Statement3'!I145)*$I$5/$I$6</f>
        <v>0</v>
      </c>
      <c r="E40" s="681" t="str">
        <f t="shared" si="5"/>
        <v/>
      </c>
      <c r="F40" s="761">
        <f>('Financial Statement3'!H144+'Financial Statement3'!H145)*$I$5/$I$6</f>
        <v>0</v>
      </c>
      <c r="G40" s="681" t="str">
        <f t="shared" si="6"/>
        <v/>
      </c>
      <c r="H40" s="761">
        <f>('Financial Statement3'!G144+'Financial Statement3'!G145)*$I$5/$I$6</f>
        <v>0</v>
      </c>
      <c r="J40" s="708"/>
    </row>
    <row r="41" spans="1:10" ht="31.5">
      <c r="A41" s="650" t="s">
        <v>31</v>
      </c>
      <c r="B41" s="709">
        <f>B39+B40</f>
        <v>0</v>
      </c>
      <c r="C41" s="710" t="str">
        <f t="shared" si="4"/>
        <v/>
      </c>
      <c r="D41" s="709">
        <f>D39+D40</f>
        <v>0</v>
      </c>
      <c r="E41" s="710" t="str">
        <f t="shared" si="5"/>
        <v/>
      </c>
      <c r="F41" s="709">
        <f>F39+F40</f>
        <v>0</v>
      </c>
      <c r="G41" s="710" t="str">
        <f t="shared" si="6"/>
        <v/>
      </c>
      <c r="H41" s="709">
        <f>H39+H40</f>
        <v>0</v>
      </c>
      <c r="J41" s="708"/>
    </row>
    <row r="42" spans="1:10" ht="15.75">
      <c r="A42" s="648" t="s">
        <v>32</v>
      </c>
      <c r="B42" s="761">
        <f>('Financial Statement3'!J129+'Financial Statement3'!J130+'Financial Statement3'!J131+'Financial Statement3'!J146+'Financial Statement3'!J149+'Financial Statement3'!J150)*$I$5/$I$6</f>
        <v>0</v>
      </c>
      <c r="C42" s="681" t="str">
        <f t="shared" si="4"/>
        <v/>
      </c>
      <c r="D42" s="761">
        <f>('Financial Statement3'!I129+'Financial Statement3'!I130+'Financial Statement3'!I131+'Financial Statement3'!I146+'Financial Statement3'!I149+'Financial Statement3'!I150)*$I$5/$I$6</f>
        <v>0</v>
      </c>
      <c r="E42" s="681" t="str">
        <f t="shared" si="5"/>
        <v/>
      </c>
      <c r="F42" s="761">
        <f>('Financial Statement3'!H129+'Financial Statement3'!H130+'Financial Statement3'!H131+'Financial Statement3'!H146+'Financial Statement3'!H149+'Financial Statement3'!H150)*$I$5/$I$6</f>
        <v>0</v>
      </c>
      <c r="G42" s="681" t="str">
        <f t="shared" si="6"/>
        <v/>
      </c>
      <c r="H42" s="761">
        <f>('Financial Statement3'!G129+'Financial Statement3'!G130+'Financial Statement3'!G131+'Financial Statement3'!G146+'Financial Statement3'!G149+'Financial Statement3'!G150)*$I$5/$I$6</f>
        <v>0</v>
      </c>
    </row>
    <row r="43" spans="1:10" ht="31.5">
      <c r="A43" s="651" t="s">
        <v>33</v>
      </c>
      <c r="B43" s="761">
        <f>('Financial Statement3'!J127+'Financial Statement3'!J128+'Financial Statement3'!J147+'Financial Statement3'!J148)*$I$5/$I$6</f>
        <v>0</v>
      </c>
      <c r="C43" s="681" t="str">
        <f t="shared" si="4"/>
        <v/>
      </c>
      <c r="D43" s="761">
        <f>('Financial Statement3'!I127+'Financial Statement3'!I128+'Financial Statement3'!I147+'Financial Statement3'!I148)*$I$5/$I$6</f>
        <v>0</v>
      </c>
      <c r="E43" s="681" t="str">
        <f t="shared" si="5"/>
        <v/>
      </c>
      <c r="F43" s="761">
        <f>('Financial Statement3'!H127+'Financial Statement3'!H128+'Financial Statement3'!H147+'Financial Statement3'!H148)*$I$5/$I$6</f>
        <v>0</v>
      </c>
      <c r="G43" s="681" t="str">
        <f t="shared" si="6"/>
        <v/>
      </c>
      <c r="H43" s="761">
        <f>('Financial Statement3'!G127+'Financial Statement3'!G128+'Financial Statement3'!G147+'Financial Statement3'!G148)*$I$5/$I$6</f>
        <v>0</v>
      </c>
    </row>
    <row r="44" spans="1:10" ht="15.75">
      <c r="A44" s="652" t="s">
        <v>34</v>
      </c>
      <c r="B44" s="711">
        <f>B45+B46</f>
        <v>0</v>
      </c>
      <c r="C44" s="712" t="str">
        <f t="shared" si="4"/>
        <v/>
      </c>
      <c r="D44" s="711">
        <f>D45+D46</f>
        <v>0</v>
      </c>
      <c r="E44" s="712" t="str">
        <f t="shared" si="5"/>
        <v/>
      </c>
      <c r="F44" s="711">
        <f>F45+F46</f>
        <v>0</v>
      </c>
      <c r="G44" s="712" t="str">
        <f t="shared" si="6"/>
        <v/>
      </c>
      <c r="H44" s="711">
        <f>H45+H46</f>
        <v>0</v>
      </c>
    </row>
    <row r="45" spans="1:10" ht="15.75">
      <c r="A45" s="653" t="s">
        <v>35</v>
      </c>
      <c r="B45" s="761">
        <f>'Financial Statement3'!J158*$I$5/$I$6</f>
        <v>0</v>
      </c>
      <c r="C45" s="681" t="str">
        <f t="shared" si="4"/>
        <v/>
      </c>
      <c r="D45" s="761">
        <f>'Financial Statement3'!I158*$I$5/$I$6</f>
        <v>0</v>
      </c>
      <c r="E45" s="681" t="str">
        <f t="shared" si="5"/>
        <v/>
      </c>
      <c r="F45" s="761">
        <f>'Financial Statement3'!H158*$I$5/$I$6</f>
        <v>0</v>
      </c>
      <c r="G45" s="681" t="str">
        <f t="shared" si="6"/>
        <v/>
      </c>
      <c r="H45" s="761">
        <f>'Financial Statement3'!G158*$I$5/$I$6</f>
        <v>0</v>
      </c>
    </row>
    <row r="46" spans="1:10" ht="15.75">
      <c r="A46" s="648" t="s">
        <v>36</v>
      </c>
      <c r="B46" s="761">
        <f>('Financial Statement3'!J132+'Financial Statement3'!J133+'Financial Statement3'!J136+'Financial Statement3'!J139+'Financial Statement3'!J151+'Financial Statement3'!J156+'Financial Statement3'!J159+'Financial Statement3'!J160)*$I$5/$I$6</f>
        <v>0</v>
      </c>
      <c r="C46" s="681" t="str">
        <f t="shared" si="4"/>
        <v/>
      </c>
      <c r="D46" s="761">
        <f>('Financial Statement3'!I132+'Financial Statement3'!I133+'Financial Statement3'!I136+'Financial Statement3'!I139+'Financial Statement3'!I151+'Financial Statement3'!I156+'Financial Statement3'!I159+'Financial Statement3'!I160)*$I$5/$I$6</f>
        <v>0</v>
      </c>
      <c r="E46" s="681" t="str">
        <f t="shared" si="5"/>
        <v/>
      </c>
      <c r="F46" s="761">
        <f>('Financial Statement3'!H132+'Financial Statement3'!H133+'Financial Statement3'!H136+'Financial Statement3'!H139+'Financial Statement3'!H151+'Financial Statement3'!H156+'Financial Statement3'!H159+'Financial Statement3'!H160)*$I$5/$I$6</f>
        <v>0</v>
      </c>
      <c r="G46" s="681" t="str">
        <f t="shared" si="6"/>
        <v/>
      </c>
      <c r="H46" s="761">
        <f>('Financial Statement3'!G132+'Financial Statement3'!G133+'Financial Statement3'!G136+'Financial Statement3'!G139+'Financial Statement3'!G151+'Financial Statement3'!G156+'Financial Statement3'!G159+'Financial Statement3'!G160)*$I$5/$I$6</f>
        <v>0</v>
      </c>
    </row>
    <row r="47" spans="1:10" ht="15.75">
      <c r="A47" s="654" t="s">
        <v>37</v>
      </c>
      <c r="B47" s="713">
        <f>B41+B42+B44</f>
        <v>0</v>
      </c>
      <c r="C47" s="710" t="str">
        <f t="shared" si="4"/>
        <v/>
      </c>
      <c r="D47" s="713">
        <f>D41+D42+D44</f>
        <v>0</v>
      </c>
      <c r="E47" s="710" t="str">
        <f t="shared" si="5"/>
        <v/>
      </c>
      <c r="F47" s="713">
        <f>F41+F42+F44</f>
        <v>0</v>
      </c>
      <c r="G47" s="710" t="str">
        <f t="shared" si="6"/>
        <v/>
      </c>
      <c r="H47" s="713">
        <f>H41+H42+H44</f>
        <v>0</v>
      </c>
    </row>
    <row r="48" spans="1:10" ht="15.75">
      <c r="A48" s="655" t="s">
        <v>38</v>
      </c>
      <c r="B48" s="714">
        <f>B36+B37+B41+B42+B43+B44</f>
        <v>0</v>
      </c>
      <c r="C48" s="715" t="str">
        <f t="shared" si="4"/>
        <v/>
      </c>
      <c r="D48" s="714">
        <f>D36+D37+D41+D42+D43+D44</f>
        <v>0</v>
      </c>
      <c r="E48" s="715" t="str">
        <f t="shared" si="5"/>
        <v/>
      </c>
      <c r="F48" s="714">
        <f>F36+F37+F41+F42+F43+F44</f>
        <v>0</v>
      </c>
      <c r="G48" s="715" t="str">
        <f t="shared" si="6"/>
        <v/>
      </c>
      <c r="H48" s="714">
        <f>H36+H37+H41+H42+H43+H44</f>
        <v>0</v>
      </c>
    </row>
    <row r="49" spans="1:8" ht="15.75">
      <c r="A49" s="651" t="s">
        <v>39</v>
      </c>
      <c r="B49" s="761">
        <f>'Financial Statement3'!J166*$I$5/$I$6</f>
        <v>0</v>
      </c>
      <c r="C49" s="681" t="str">
        <f t="shared" si="4"/>
        <v/>
      </c>
      <c r="D49" s="761">
        <f>'Financial Statement3'!I166*$I$5/$I$6</f>
        <v>0</v>
      </c>
      <c r="E49" s="681" t="str">
        <f t="shared" si="5"/>
        <v/>
      </c>
      <c r="F49" s="761">
        <f>'Financial Statement3'!H166*$I$5/$I$6</f>
        <v>0</v>
      </c>
      <c r="G49" s="681" t="str">
        <f t="shared" si="6"/>
        <v/>
      </c>
      <c r="H49" s="761">
        <f>'Financial Statement3'!G166*$I$5/$I$6</f>
        <v>0</v>
      </c>
    </row>
    <row r="50" spans="1:8" ht="15.75">
      <c r="A50" s="656" t="s">
        <v>40</v>
      </c>
      <c r="B50" s="713">
        <f>B51+B53+B52</f>
        <v>0</v>
      </c>
      <c r="C50" s="710" t="str">
        <f t="shared" si="4"/>
        <v/>
      </c>
      <c r="D50" s="713">
        <f>D51+D53+D52</f>
        <v>0</v>
      </c>
      <c r="E50" s="710" t="str">
        <f t="shared" si="5"/>
        <v/>
      </c>
      <c r="F50" s="713">
        <f>F51+F53+F52</f>
        <v>0</v>
      </c>
      <c r="G50" s="710" t="str">
        <f t="shared" si="6"/>
        <v/>
      </c>
      <c r="H50" s="713">
        <f>H51+H53+H52</f>
        <v>0</v>
      </c>
    </row>
    <row r="51" spans="1:8" ht="15.75">
      <c r="A51" s="657" t="s">
        <v>41</v>
      </c>
      <c r="B51" s="761">
        <f>('Financial Statement3'!J177+'Financial Statement3'!J178+'Financial Statement3'!J196+'Financial Statement3'!J199)*$I$5/$I$6</f>
        <v>0</v>
      </c>
      <c r="C51" s="681" t="str">
        <f t="shared" si="4"/>
        <v/>
      </c>
      <c r="D51" s="761">
        <f>('Financial Statement3'!I177+'Financial Statement3'!I178+'Financial Statement3'!I196+'Financial Statement3'!I199)*$I$5/$I$6</f>
        <v>0</v>
      </c>
      <c r="E51" s="681" t="str">
        <f t="shared" si="5"/>
        <v/>
      </c>
      <c r="F51" s="761">
        <f>('Financial Statement3'!H177+'Financial Statement3'!H178+'Financial Statement3'!H196+'Financial Statement3'!H199)*$I$5/$I$6</f>
        <v>0</v>
      </c>
      <c r="G51" s="681" t="str">
        <f t="shared" si="6"/>
        <v/>
      </c>
      <c r="H51" s="761">
        <f>('Financial Statement3'!G177+'Financial Statement3'!G178+'Financial Statement3'!G196+'Financial Statement3'!G199)*$I$5/$I$6</f>
        <v>0</v>
      </c>
    </row>
    <row r="52" spans="1:8" ht="15.75">
      <c r="A52" s="657" t="s">
        <v>42</v>
      </c>
      <c r="B52" s="761">
        <f>('Financial Statement3'!J179+'Financial Statement3'!J200)*$I$5/$I$6</f>
        <v>0</v>
      </c>
      <c r="C52" s="681" t="str">
        <f t="shared" si="4"/>
        <v/>
      </c>
      <c r="D52" s="761">
        <f>('Financial Statement3'!I179+'Financial Statement3'!I200)*$I$5/$I$6</f>
        <v>0</v>
      </c>
      <c r="E52" s="681" t="str">
        <f t="shared" si="5"/>
        <v/>
      </c>
      <c r="F52" s="761">
        <f>('Financial Statement3'!H179+'Financial Statement3'!H200)*$I$5/$I$6</f>
        <v>0</v>
      </c>
      <c r="G52" s="681" t="str">
        <f t="shared" si="6"/>
        <v/>
      </c>
      <c r="H52" s="761">
        <f>('Financial Statement3'!G179+'Financial Statement3'!G200)*$I$5/$I$6</f>
        <v>0</v>
      </c>
    </row>
    <row r="53" spans="1:8" ht="15.75">
      <c r="A53" s="657" t="s">
        <v>43</v>
      </c>
      <c r="B53" s="761">
        <f>('Financial Statement3'!J201+'Financial Statement3'!J180)*$I$5/$I$6</f>
        <v>0</v>
      </c>
      <c r="C53" s="681" t="str">
        <f t="shared" si="4"/>
        <v/>
      </c>
      <c r="D53" s="761">
        <f>('Financial Statement3'!I201+'Financial Statement3'!I180)*$I$5/$I$6</f>
        <v>0</v>
      </c>
      <c r="E53" s="681" t="str">
        <f t="shared" si="5"/>
        <v/>
      </c>
      <c r="F53" s="761">
        <f>('Financial Statement3'!H201+'Financial Statement3'!H180)*$I$5/$I$6</f>
        <v>0</v>
      </c>
      <c r="G53" s="681" t="str">
        <f t="shared" si="6"/>
        <v/>
      </c>
      <c r="H53" s="761">
        <f>('Financial Statement3'!G201+'Financial Statement3'!G180)*$I$5/$I$6</f>
        <v>0</v>
      </c>
    </row>
    <row r="54" spans="1:8" ht="15.75">
      <c r="A54" s="658" t="s">
        <v>44</v>
      </c>
      <c r="B54" s="711">
        <f>B56+B57+B60+B61+B55</f>
        <v>0</v>
      </c>
      <c r="C54" s="712" t="str">
        <f t="shared" si="4"/>
        <v/>
      </c>
      <c r="D54" s="711">
        <f>D56+D57+D60+D61+D55</f>
        <v>0</v>
      </c>
      <c r="E54" s="712" t="str">
        <f t="shared" si="5"/>
        <v/>
      </c>
      <c r="F54" s="711">
        <f>F56+F57+F60+F61+F55</f>
        <v>0</v>
      </c>
      <c r="G54" s="712" t="str">
        <f t="shared" si="6"/>
        <v/>
      </c>
      <c r="H54" s="711">
        <f>H56+H57+H60+H61+H55</f>
        <v>0</v>
      </c>
    </row>
    <row r="55" spans="1:8" ht="15.75">
      <c r="A55" s="659" t="s">
        <v>45</v>
      </c>
      <c r="B55" s="761">
        <f>'Financial Statement3'!J187*$I$5/$I$6</f>
        <v>0</v>
      </c>
      <c r="C55" s="681" t="str">
        <f t="shared" si="4"/>
        <v/>
      </c>
      <c r="D55" s="761">
        <f>'Financial Statement3'!I187*$I$5/$I$6</f>
        <v>0</v>
      </c>
      <c r="E55" s="681" t="str">
        <f t="shared" si="5"/>
        <v/>
      </c>
      <c r="F55" s="761">
        <f>'Financial Statement3'!H187*$I$5/$I$6</f>
        <v>0</v>
      </c>
      <c r="G55" s="681" t="str">
        <f t="shared" si="6"/>
        <v/>
      </c>
      <c r="H55" s="761">
        <f>'Financial Statement3'!G187*$I$5/$I$6</f>
        <v>0</v>
      </c>
    </row>
    <row r="56" spans="1:8" ht="15.75">
      <c r="A56" s="651" t="s">
        <v>46</v>
      </c>
      <c r="B56" s="761">
        <f>'Financial Statement3'!J202*$I$5/$I$6</f>
        <v>0</v>
      </c>
      <c r="C56" s="681" t="str">
        <f t="shared" si="4"/>
        <v/>
      </c>
      <c r="D56" s="761">
        <f>'Financial Statement3'!I202*$I$5/$I$6</f>
        <v>0</v>
      </c>
      <c r="E56" s="681" t="str">
        <f t="shared" si="5"/>
        <v/>
      </c>
      <c r="F56" s="761">
        <f>'Financial Statement3'!H202*$I$5/$I$6</f>
        <v>0</v>
      </c>
      <c r="G56" s="681" t="str">
        <f t="shared" si="6"/>
        <v/>
      </c>
      <c r="H56" s="761">
        <f>'Financial Statement3'!G202*$I$5/$I$6</f>
        <v>0</v>
      </c>
    </row>
    <row r="57" spans="1:8" ht="15.75">
      <c r="A57" s="660" t="s">
        <v>47</v>
      </c>
      <c r="B57" s="716">
        <f>B58+B59</f>
        <v>0</v>
      </c>
      <c r="C57" s="710" t="str">
        <f t="shared" si="4"/>
        <v/>
      </c>
      <c r="D57" s="716">
        <f>D58+D59</f>
        <v>0</v>
      </c>
      <c r="E57" s="710" t="str">
        <f t="shared" si="5"/>
        <v/>
      </c>
      <c r="F57" s="716">
        <f>F58+F59</f>
        <v>0</v>
      </c>
      <c r="G57" s="710" t="str">
        <f t="shared" si="6"/>
        <v/>
      </c>
      <c r="H57" s="716">
        <f>H58+H59</f>
        <v>0</v>
      </c>
    </row>
    <row r="58" spans="1:8" ht="15.75">
      <c r="A58" s="651" t="s">
        <v>48</v>
      </c>
      <c r="B58" s="761">
        <f>'Financial Statement3'!J209*$I$5/$I$6</f>
        <v>0</v>
      </c>
      <c r="C58" s="681" t="str">
        <f t="shared" si="4"/>
        <v/>
      </c>
      <c r="D58" s="761">
        <f>'Financial Statement3'!I209*$I$5/$I$6</f>
        <v>0</v>
      </c>
      <c r="E58" s="681" t="str">
        <f t="shared" si="5"/>
        <v/>
      </c>
      <c r="F58" s="761">
        <f>'Financial Statement3'!H209*$I$5/$I$6</f>
        <v>0</v>
      </c>
      <c r="G58" s="681" t="str">
        <f t="shared" si="6"/>
        <v/>
      </c>
      <c r="H58" s="761">
        <f>'Financial Statement3'!G209*$I$5/$I$6</f>
        <v>0</v>
      </c>
    </row>
    <row r="59" spans="1:8" ht="15.75">
      <c r="A59" s="651" t="s">
        <v>49</v>
      </c>
      <c r="B59" s="761">
        <f>'Financial Statement3'!J208*$I$5/$I$6</f>
        <v>0</v>
      </c>
      <c r="C59" s="681" t="str">
        <f t="shared" si="4"/>
        <v/>
      </c>
      <c r="D59" s="761">
        <f>'Financial Statement3'!I208*$I$5/$I$6</f>
        <v>0</v>
      </c>
      <c r="E59" s="681" t="str">
        <f t="shared" si="5"/>
        <v/>
      </c>
      <c r="F59" s="761">
        <f>'Financial Statement3'!H208*$I$5/$I$6</f>
        <v>0</v>
      </c>
      <c r="G59" s="681" t="str">
        <f t="shared" si="6"/>
        <v/>
      </c>
      <c r="H59" s="761">
        <f>'Financial Statement3'!G208*$I$5/$I$6</f>
        <v>0</v>
      </c>
    </row>
    <row r="60" spans="1:8" ht="15.75">
      <c r="A60" s="651" t="s">
        <v>50</v>
      </c>
      <c r="B60" s="761">
        <f>'Financial Statement3'!J212*$I$5/$I$6</f>
        <v>0</v>
      </c>
      <c r="C60" s="681" t="str">
        <f t="shared" si="4"/>
        <v/>
      </c>
      <c r="D60" s="761">
        <f>'Financial Statement3'!I212*$I$5/$I$6</f>
        <v>0</v>
      </c>
      <c r="E60" s="681" t="str">
        <f t="shared" si="5"/>
        <v/>
      </c>
      <c r="F60" s="761">
        <f>'Financial Statement3'!H212*$I$5/$I$6</f>
        <v>0</v>
      </c>
      <c r="G60" s="681" t="str">
        <f t="shared" si="6"/>
        <v/>
      </c>
      <c r="H60" s="761">
        <f>'Financial Statement3'!G212*$I$5/$I$6</f>
        <v>0</v>
      </c>
    </row>
    <row r="61" spans="1:8" ht="15.75">
      <c r="A61" s="661" t="s">
        <v>51</v>
      </c>
      <c r="B61" s="717">
        <f>B62+B63</f>
        <v>0</v>
      </c>
      <c r="C61" s="710" t="str">
        <f t="shared" si="4"/>
        <v/>
      </c>
      <c r="D61" s="717">
        <f>D62+D63</f>
        <v>0</v>
      </c>
      <c r="E61" s="710" t="str">
        <f t="shared" si="5"/>
        <v/>
      </c>
      <c r="F61" s="717">
        <f>F62+F63</f>
        <v>0</v>
      </c>
      <c r="G61" s="710" t="str">
        <f t="shared" si="6"/>
        <v/>
      </c>
      <c r="H61" s="717">
        <f>H62+H63</f>
        <v>0</v>
      </c>
    </row>
    <row r="62" spans="1:8" ht="31.5">
      <c r="A62" s="648" t="s">
        <v>52</v>
      </c>
      <c r="B62" s="761">
        <f>('Financial Statement3'!J182+'Financial Statement3'!J214)*$I$5/$I$6</f>
        <v>0</v>
      </c>
      <c r="C62" s="681" t="str">
        <f t="shared" si="4"/>
        <v/>
      </c>
      <c r="D62" s="761">
        <f>('Financial Statement3'!I182+'Financial Statement3'!I214)*$I$5/$I$6</f>
        <v>0</v>
      </c>
      <c r="E62" s="681" t="str">
        <f t="shared" si="5"/>
        <v/>
      </c>
      <c r="F62" s="761">
        <f>('Financial Statement3'!H182+'Financial Statement3'!H214)*$I$5/$I$6</f>
        <v>0</v>
      </c>
      <c r="G62" s="681" t="str">
        <f t="shared" si="6"/>
        <v/>
      </c>
      <c r="H62" s="761">
        <f>('Financial Statement3'!G182+'Financial Statement3'!G214)*$I$5/$I$6</f>
        <v>0</v>
      </c>
    </row>
    <row r="63" spans="1:8" ht="15.75">
      <c r="A63" s="648" t="s">
        <v>53</v>
      </c>
      <c r="B63" s="761">
        <f>('Financial Statement3'!J186+'Financial Statement3'!J218)*$I$5/$I$6</f>
        <v>0</v>
      </c>
      <c r="C63" s="681" t="str">
        <f t="shared" si="4"/>
        <v/>
      </c>
      <c r="D63" s="761">
        <f>('Financial Statement3'!I186+'Financial Statement3'!I218)*$I$5/$I$6</f>
        <v>0</v>
      </c>
      <c r="E63" s="681" t="str">
        <f t="shared" si="5"/>
        <v/>
      </c>
      <c r="F63" s="761">
        <f>('Financial Statement3'!H186+'Financial Statement3'!H218)*$I$5/$I$6</f>
        <v>0</v>
      </c>
      <c r="G63" s="681" t="str">
        <f t="shared" si="6"/>
        <v/>
      </c>
      <c r="H63" s="761">
        <f>('Financial Statement3'!G186+'Financial Statement3'!G218)*$I$5/$I$6</f>
        <v>0</v>
      </c>
    </row>
    <row r="64" spans="1:8" ht="31.5">
      <c r="A64" s="648" t="s">
        <v>54</v>
      </c>
      <c r="B64" s="761">
        <f>('Financial Statement3'!J188+'Financial Statement3'!J219)*$I$5/$I$6</f>
        <v>0</v>
      </c>
      <c r="C64" s="681" t="str">
        <f t="shared" si="4"/>
        <v/>
      </c>
      <c r="D64" s="761">
        <f>('Financial Statement3'!I188+'Financial Statement3'!I219)*$I$5/$I$6</f>
        <v>0</v>
      </c>
      <c r="E64" s="681" t="str">
        <f t="shared" si="5"/>
        <v/>
      </c>
      <c r="F64" s="761">
        <f>('Financial Statement3'!H188+'Financial Statement3'!H219)*$I$5/$I$6</f>
        <v>0</v>
      </c>
      <c r="G64" s="681" t="str">
        <f t="shared" si="6"/>
        <v/>
      </c>
      <c r="H64" s="761">
        <f>('Financial Statement3'!G188+'Financial Statement3'!G219)*$I$5/$I$6</f>
        <v>0</v>
      </c>
    </row>
    <row r="65" spans="1:9" ht="15.75">
      <c r="A65" s="655" t="s">
        <v>38</v>
      </c>
      <c r="B65" s="718">
        <f>B49+B50+B54+B64</f>
        <v>0</v>
      </c>
      <c r="C65" s="715" t="str">
        <f t="shared" si="4"/>
        <v/>
      </c>
      <c r="D65" s="718">
        <f>D49+D50+D54+D64</f>
        <v>0</v>
      </c>
      <c r="E65" s="715" t="str">
        <f t="shared" si="5"/>
        <v/>
      </c>
      <c r="F65" s="718">
        <f>F49+F50+F54+F64</f>
        <v>0</v>
      </c>
      <c r="G65" s="715" t="str">
        <f t="shared" si="6"/>
        <v/>
      </c>
      <c r="H65" s="718">
        <f>H49+H50+H54+H64</f>
        <v>0</v>
      </c>
      <c r="I65" s="704"/>
    </row>
    <row r="66" spans="1:9" ht="15.75">
      <c r="A66" s="662"/>
      <c r="B66" s="719"/>
      <c r="C66" s="719"/>
      <c r="D66" s="719"/>
      <c r="E66" s="719"/>
      <c r="F66" s="719"/>
      <c r="G66" s="719"/>
      <c r="H66" s="719"/>
    </row>
    <row r="67" spans="1:9" ht="12.75">
      <c r="A67" s="1161" t="s">
        <v>55</v>
      </c>
      <c r="B67" s="1161"/>
      <c r="C67" s="1161"/>
      <c r="D67" s="1161"/>
      <c r="E67" s="1161"/>
      <c r="F67" s="1161"/>
      <c r="G67" s="1161"/>
      <c r="H67" s="1161"/>
    </row>
    <row r="68" spans="1:9" ht="12.75">
      <c r="A68" s="1161"/>
      <c r="B68" s="1161"/>
      <c r="C68" s="1161"/>
      <c r="D68" s="1161"/>
      <c r="E68" s="1161"/>
      <c r="F68" s="1161"/>
      <c r="G68" s="1161"/>
      <c r="H68" s="1161"/>
    </row>
    <row r="69" spans="1:9" ht="15.75">
      <c r="A69" s="663" t="s">
        <v>56</v>
      </c>
      <c r="B69" s="720" t="str">
        <f>IFERROR(B57/B5*365,"-")</f>
        <v>-</v>
      </c>
      <c r="C69" s="721"/>
      <c r="D69" s="720" t="str">
        <f>IFERROR(D57/D5*365,"-")</f>
        <v>-</v>
      </c>
      <c r="E69" s="721"/>
      <c r="F69" s="720" t="str">
        <f>IFERROR(F57/F5*365,"-")</f>
        <v>-</v>
      </c>
      <c r="G69" s="721"/>
      <c r="H69" s="720" t="str">
        <f>IFERROR(H57/H5*365,"-")</f>
        <v>-</v>
      </c>
    </row>
    <row r="70" spans="1:9" ht="15.75">
      <c r="A70" s="663" t="s">
        <v>57</v>
      </c>
      <c r="B70" s="720" t="str">
        <f>IFERROR(B56/(B10+B11+B12)*365,"-")</f>
        <v>-</v>
      </c>
      <c r="C70" s="721"/>
      <c r="D70" s="720" t="str">
        <f>IFERROR(D56/(D10+D11+D12)*365,"-")</f>
        <v>-</v>
      </c>
      <c r="E70" s="721"/>
      <c r="F70" s="720" t="str">
        <f>IFERROR(F56/(F10+F11+F12)*365,"-")</f>
        <v>-</v>
      </c>
      <c r="G70" s="721"/>
      <c r="H70" s="720" t="str">
        <f>IFERROR(H56/(H10+H11+H12)*365,"-")</f>
        <v>-</v>
      </c>
    </row>
    <row r="71" spans="1:9" ht="15.75">
      <c r="A71" s="663" t="s">
        <v>58</v>
      </c>
      <c r="B71" s="720" t="str">
        <f>IFERROR(B56/(B11+B10+B12),"-")</f>
        <v>-</v>
      </c>
      <c r="C71" s="721"/>
      <c r="D71" s="720" t="str">
        <f>IFERROR(D56/(D11+D10+D12),"-")</f>
        <v>-</v>
      </c>
      <c r="E71" s="721"/>
      <c r="F71" s="720" t="str">
        <f>IFERROR(F56/(F11+F10+F12),"-")</f>
        <v>-</v>
      </c>
      <c r="G71" s="721"/>
      <c r="H71" s="720" t="str">
        <f>IFERROR(H56/(H11+H10+H12),"-")</f>
        <v>-</v>
      </c>
    </row>
    <row r="72" spans="1:9" ht="15.75">
      <c r="A72" s="663" t="s">
        <v>59</v>
      </c>
      <c r="B72" s="720" t="str">
        <f>IFERROR(B54/(B44+B40),"-")</f>
        <v>-</v>
      </c>
      <c r="C72" s="721"/>
      <c r="D72" s="720" t="str">
        <f>IFERROR(D54/(D44+D40),"-")</f>
        <v>-</v>
      </c>
      <c r="E72" s="721"/>
      <c r="F72" s="720" t="str">
        <f>IFERROR(F54/(F44+F40),"-")</f>
        <v>-</v>
      </c>
      <c r="G72" s="721"/>
      <c r="H72" s="720" t="str">
        <f>IFERROR(H54/(H44+H40),"-")</f>
        <v>-</v>
      </c>
    </row>
    <row r="73" spans="1:9" ht="15.75">
      <c r="A73" s="663" t="s">
        <v>60</v>
      </c>
      <c r="B73" s="720" t="str">
        <f>IFERROR((B54-B56)/(B44+B40),"-")</f>
        <v>-</v>
      </c>
      <c r="C73" s="721"/>
      <c r="D73" s="720" t="str">
        <f>IFERROR((D54-D56)/(D44+D40),"-")</f>
        <v>-</v>
      </c>
      <c r="E73" s="721"/>
      <c r="F73" s="720" t="str">
        <f>IFERROR((F54-F56)/(F44+F40),"-")</f>
        <v>-</v>
      </c>
      <c r="G73" s="721"/>
      <c r="H73" s="720" t="str">
        <f>IFERROR((H54-H56)/(H44+H40),"-")</f>
        <v>-</v>
      </c>
    </row>
    <row r="74" spans="1:9" ht="15.75">
      <c r="A74" s="663" t="s">
        <v>61</v>
      </c>
      <c r="B74" s="720" t="str">
        <f>IFERROR((B39+B40+B42)/B36,"-")</f>
        <v>-</v>
      </c>
      <c r="C74" s="721"/>
      <c r="D74" s="720" t="str">
        <f>IFERROR((D39+D40+D42)/D36,"-")</f>
        <v>-</v>
      </c>
      <c r="E74" s="721"/>
      <c r="F74" s="720" t="str">
        <f>IFERROR((F39+F40+F42)/F36,"-")</f>
        <v>-</v>
      </c>
      <c r="G74" s="721"/>
      <c r="H74" s="720" t="str">
        <f>IFERROR((H39+H40+H42)/H36,"-")</f>
        <v>-</v>
      </c>
    </row>
    <row r="75" spans="1:9" ht="15.75">
      <c r="A75" s="663" t="s">
        <v>62</v>
      </c>
      <c r="B75" s="720" t="str">
        <f>IFERROR(B16/(B18+B19+B20+B21),"-")</f>
        <v>-</v>
      </c>
      <c r="C75" s="721"/>
      <c r="D75" s="720" t="str">
        <f>IFERROR(D16/(D18+D19+D20+D21),"-")</f>
        <v>-</v>
      </c>
      <c r="E75" s="721"/>
      <c r="F75" s="720" t="str">
        <f>IFERROR(F16/(F18+F19+F20+F21),"-")</f>
        <v>-</v>
      </c>
      <c r="G75" s="721"/>
      <c r="H75" s="720" t="str">
        <f>IFERROR(H16/(H18+H19+H20+H21),"-")</f>
        <v>-</v>
      </c>
    </row>
    <row r="76" spans="1:9" ht="15.75">
      <c r="A76" s="663" t="s">
        <v>63</v>
      </c>
      <c r="B76" s="720" t="str">
        <f>IFERROR($B$16/($B$18+$B$19+$B$20+$B$21+($B$39+$B$42)/5),"-")</f>
        <v>-</v>
      </c>
      <c r="C76" s="721"/>
      <c r="D76" s="720" t="str">
        <f>IFERROR($D$16/($D$18+$D$19+$D$20+$D$21+($D$39+$D$42)/5),"-")</f>
        <v>-</v>
      </c>
      <c r="E76" s="721"/>
      <c r="F76" s="720" t="str">
        <f>IFERROR($F$16/($F$18+$F$19+$F$20+$F$21+($F$39+$F$42)/5),"-")</f>
        <v>-</v>
      </c>
      <c r="G76" s="721"/>
      <c r="H76" s="720" t="str">
        <f>IFERROR($H$16/($H$18+$H$19+$H$20+$H$21+($H$39+$H$42)/5),"-")</f>
        <v>-</v>
      </c>
    </row>
    <row r="77" spans="1:9" ht="15.75">
      <c r="A77" s="663" t="s">
        <v>64</v>
      </c>
      <c r="B77" s="720" t="str">
        <f>IFERROR($B$16/($B$18+$B$19+$B$20+$B$21+($B$39+$B$42)/5+Eligibility!F38),"-")</f>
        <v>-</v>
      </c>
      <c r="C77" s="721"/>
      <c r="D77" s="720" t="str">
        <f>IFERROR($D$16/($D$18+$D$19+$D$20+$D$21+($D$39+$D$42)/5),"-")</f>
        <v>-</v>
      </c>
      <c r="E77" s="721"/>
      <c r="F77" s="720" t="str">
        <f>IFERROR($F$16/($F$18+$F$19+$F$20+$F$21+($F$39+$F$42)/5),"-")</f>
        <v>-</v>
      </c>
      <c r="G77" s="721"/>
      <c r="H77" s="720" t="str">
        <f>IFERROR($H$16/($H$18+$H$19+$H$20+$H$21+($H$39+$H$42)/5),"-")</f>
        <v>-</v>
      </c>
    </row>
    <row r="78" spans="1:9" ht="15.75">
      <c r="A78" s="663" t="s">
        <v>65</v>
      </c>
      <c r="B78" s="720" t="str">
        <f>IFERROR(B13/B5*100,"-")</f>
        <v>-</v>
      </c>
      <c r="C78" s="721"/>
      <c r="D78" s="720" t="str">
        <f>IFERROR(D13/D5*100,"-")</f>
        <v>-</v>
      </c>
      <c r="E78" s="721"/>
      <c r="F78" s="720" t="str">
        <f>IFERROR(F13/F5*100,"-")</f>
        <v>-</v>
      </c>
      <c r="G78" s="721"/>
      <c r="H78" s="720" t="str">
        <f>IFERROR(H13/H5*100,"-")</f>
        <v>-</v>
      </c>
    </row>
    <row r="79" spans="1:9" ht="15.75">
      <c r="A79" s="663" t="s">
        <v>66</v>
      </c>
      <c r="B79" s="720" t="str">
        <f>IFERROR(B25/B5*100,"-")</f>
        <v>-</v>
      </c>
      <c r="C79" s="721"/>
      <c r="D79" s="720" t="str">
        <f>IFERROR(D25/D5*100,"-")</f>
        <v>-</v>
      </c>
      <c r="E79" s="721"/>
      <c r="F79" s="720" t="str">
        <f>IFERROR(F25/F5*100,"-")</f>
        <v>-</v>
      </c>
      <c r="G79" s="721"/>
      <c r="H79" s="720" t="str">
        <f>IFERROR(H25/H5*100,"-")</f>
        <v>-</v>
      </c>
    </row>
    <row r="80" spans="1:9" ht="15.75">
      <c r="A80" s="663" t="s">
        <v>67</v>
      </c>
      <c r="B80" s="720" t="str">
        <f>IFERROR(B26/B5*100,"-")</f>
        <v>-</v>
      </c>
      <c r="C80" s="721"/>
      <c r="D80" s="720" t="str">
        <f>IFERROR(D26/D5*100,"-")</f>
        <v>-</v>
      </c>
      <c r="E80" s="721"/>
      <c r="F80" s="720" t="str">
        <f>IFERROR(F26/F5*100,"-")</f>
        <v>-</v>
      </c>
      <c r="G80" s="721"/>
      <c r="H80" s="720" t="str">
        <f>IFERROR(H26/H5*100,"-")</f>
        <v>-</v>
      </c>
    </row>
    <row r="81" spans="1:9" ht="15.75">
      <c r="A81" s="663" t="s">
        <v>68</v>
      </c>
      <c r="B81" s="720" t="str">
        <f>IFERROR((B5-D5)/D5*100,"-")</f>
        <v>-</v>
      </c>
      <c r="C81" s="722"/>
      <c r="D81" s="720" t="str">
        <f>IFERROR((D5-F5)/F5*100,"-")</f>
        <v>-</v>
      </c>
      <c r="E81" s="722"/>
      <c r="F81" s="723" t="e">
        <f>#N/A</f>
        <v>#N/A</v>
      </c>
      <c r="G81" s="722"/>
      <c r="H81" s="720" t="e">
        <f>#N/A</f>
        <v>#N/A</v>
      </c>
    </row>
    <row r="82" spans="1:9" ht="15.75">
      <c r="A82" s="663" t="s">
        <v>69</v>
      </c>
      <c r="B82" s="720" t="str">
        <f>IFERROR((B25-D25)/D25*100,"-")</f>
        <v>-</v>
      </c>
      <c r="C82" s="722"/>
      <c r="D82" s="720" t="str">
        <f>IFERROR((D25-F25)/F25*100,"-")</f>
        <v>-</v>
      </c>
      <c r="E82" s="722"/>
      <c r="F82" s="723" t="e">
        <f>#N/A</f>
        <v>#N/A</v>
      </c>
      <c r="G82" s="722"/>
      <c r="H82" s="720" t="e">
        <f>#N/A</f>
        <v>#N/A</v>
      </c>
    </row>
    <row r="83" spans="1:9" ht="15.75">
      <c r="A83" s="663"/>
      <c r="B83" s="724"/>
      <c r="C83" s="721"/>
      <c r="D83" s="724"/>
      <c r="E83" s="721"/>
      <c r="F83" s="724"/>
      <c r="G83" s="721"/>
      <c r="H83" s="720"/>
    </row>
    <row r="84" spans="1:9" ht="15.75">
      <c r="A84" s="664" t="s">
        <v>70</v>
      </c>
      <c r="B84" s="724"/>
      <c r="C84" s="721"/>
      <c r="D84" s="724"/>
      <c r="E84" s="721"/>
      <c r="F84" s="724"/>
      <c r="G84" s="721"/>
      <c r="H84" s="720"/>
    </row>
    <row r="85" spans="1:9" ht="15.75">
      <c r="A85" s="664"/>
      <c r="B85" s="724"/>
      <c r="C85" s="721"/>
      <c r="D85" s="724"/>
      <c r="E85" s="721"/>
      <c r="F85" s="724"/>
      <c r="G85" s="721"/>
      <c r="H85" s="720"/>
    </row>
    <row r="86" spans="1:9" ht="15.75">
      <c r="A86" s="663" t="s">
        <v>71</v>
      </c>
      <c r="B86" s="724">
        <f>B25</f>
        <v>0</v>
      </c>
      <c r="C86" s="721"/>
      <c r="D86" s="724">
        <f>D25</f>
        <v>0</v>
      </c>
      <c r="E86" s="721"/>
      <c r="F86" s="724">
        <f>F25</f>
        <v>0</v>
      </c>
      <c r="G86" s="721"/>
      <c r="H86" s="720">
        <f>H25</f>
        <v>0</v>
      </c>
    </row>
    <row r="87" spans="1:9" ht="15.75">
      <c r="A87" s="663" t="s">
        <v>72</v>
      </c>
      <c r="B87" s="724"/>
      <c r="C87" s="721"/>
      <c r="D87" s="724"/>
      <c r="E87" s="721"/>
      <c r="F87" s="724"/>
      <c r="G87" s="721"/>
      <c r="H87" s="720"/>
    </row>
    <row r="88" spans="1:9" ht="15.75">
      <c r="A88" s="663" t="s">
        <v>73</v>
      </c>
      <c r="B88" s="724">
        <f>B17</f>
        <v>0</v>
      </c>
      <c r="C88" s="721"/>
      <c r="D88" s="724">
        <f>D17</f>
        <v>0</v>
      </c>
      <c r="E88" s="721"/>
      <c r="F88" s="724">
        <f>F17</f>
        <v>0</v>
      </c>
      <c r="G88" s="721"/>
      <c r="H88" s="720">
        <f>H17</f>
        <v>0</v>
      </c>
    </row>
    <row r="89" spans="1:9" ht="15.75">
      <c r="A89" s="663" t="s">
        <v>74</v>
      </c>
      <c r="B89" s="724">
        <f>B22</f>
        <v>0</v>
      </c>
      <c r="C89" s="721"/>
      <c r="D89" s="724">
        <f>D22</f>
        <v>0</v>
      </c>
      <c r="E89" s="721"/>
      <c r="F89" s="724">
        <f>F22</f>
        <v>0</v>
      </c>
      <c r="G89" s="721"/>
      <c r="H89" s="720">
        <f>H22</f>
        <v>0</v>
      </c>
    </row>
    <row r="90" spans="1:9" ht="15.75">
      <c r="A90" s="663" t="s">
        <v>75</v>
      </c>
      <c r="B90" s="724">
        <f>B27</f>
        <v>0</v>
      </c>
      <c r="C90" s="721"/>
      <c r="D90" s="724">
        <f>D27</f>
        <v>0</v>
      </c>
      <c r="E90" s="721"/>
      <c r="F90" s="724">
        <f>F27</f>
        <v>0</v>
      </c>
      <c r="G90" s="721"/>
      <c r="H90" s="720">
        <f>H27</f>
        <v>0</v>
      </c>
    </row>
    <row r="91" spans="1:9" ht="15.75">
      <c r="A91" s="663" t="s">
        <v>76</v>
      </c>
      <c r="B91" s="724">
        <f>B28</f>
        <v>0</v>
      </c>
      <c r="C91" s="721"/>
      <c r="D91" s="724">
        <f>D28</f>
        <v>0</v>
      </c>
      <c r="E91" s="721"/>
      <c r="F91" s="724">
        <f>F28</f>
        <v>0</v>
      </c>
      <c r="G91" s="721"/>
      <c r="H91" s="720">
        <f>H28</f>
        <v>0</v>
      </c>
    </row>
    <row r="92" spans="1:9" ht="15.75">
      <c r="A92" s="663" t="s">
        <v>77</v>
      </c>
      <c r="B92" s="724">
        <f>B24</f>
        <v>0</v>
      </c>
      <c r="C92" s="721"/>
      <c r="D92" s="724">
        <f>D24</f>
        <v>0</v>
      </c>
      <c r="E92" s="721"/>
      <c r="F92" s="724">
        <f>F24</f>
        <v>0</v>
      </c>
      <c r="G92" s="721"/>
      <c r="H92" s="720">
        <f>H24</f>
        <v>0</v>
      </c>
    </row>
    <row r="93" spans="1:9" ht="15.75">
      <c r="A93" s="663" t="s">
        <v>78</v>
      </c>
      <c r="B93" s="724">
        <f>B18+B19+B20+B21</f>
        <v>0</v>
      </c>
      <c r="C93" s="721"/>
      <c r="D93" s="724">
        <f>D18+D19+D20+D21</f>
        <v>0</v>
      </c>
      <c r="E93" s="721"/>
      <c r="F93" s="724">
        <f>F18+F19+F20+F21</f>
        <v>0</v>
      </c>
      <c r="G93" s="721"/>
      <c r="H93" s="720">
        <f>H18+H19+H20+H21</f>
        <v>0</v>
      </c>
    </row>
    <row r="94" spans="1:9" ht="31.5">
      <c r="A94" s="665" t="s">
        <v>79</v>
      </c>
      <c r="B94" s="725">
        <f>-B7</f>
        <v>0</v>
      </c>
      <c r="C94" s="726"/>
      <c r="D94" s="725">
        <f>-D7</f>
        <v>0</v>
      </c>
      <c r="E94" s="726"/>
      <c r="F94" s="725">
        <f>-F7</f>
        <v>0</v>
      </c>
      <c r="G94" s="726"/>
      <c r="H94" s="727">
        <f>-H7</f>
        <v>0</v>
      </c>
      <c r="I94" s="704"/>
    </row>
    <row r="95" spans="1:9" ht="15.75">
      <c r="A95" s="665"/>
      <c r="B95" s="725"/>
      <c r="C95" s="726"/>
      <c r="D95" s="725"/>
      <c r="E95" s="726"/>
      <c r="F95" s="725"/>
      <c r="G95" s="726"/>
      <c r="H95" s="727"/>
      <c r="I95" s="704"/>
    </row>
    <row r="96" spans="1:9" ht="15.75">
      <c r="A96" s="663" t="s">
        <v>80</v>
      </c>
      <c r="B96" s="724">
        <f>SUM(B86:B94)</f>
        <v>0</v>
      </c>
      <c r="C96" s="721"/>
      <c r="D96" s="724">
        <f>SUM(D86:D94)</f>
        <v>0</v>
      </c>
      <c r="E96" s="721"/>
      <c r="F96" s="724">
        <f>SUM(F86:F94)</f>
        <v>0</v>
      </c>
      <c r="G96" s="721"/>
      <c r="H96" s="720">
        <f>SUM(H86:H94)</f>
        <v>0</v>
      </c>
    </row>
    <row r="97" spans="1:9" ht="15.75">
      <c r="A97" s="663" t="s">
        <v>81</v>
      </c>
      <c r="B97" s="724">
        <f>D57-B57</f>
        <v>0</v>
      </c>
      <c r="C97" s="721"/>
      <c r="D97" s="724">
        <f>F57-D57</f>
        <v>0</v>
      </c>
      <c r="E97" s="721"/>
      <c r="F97" s="724">
        <f>J57-F57</f>
        <v>0</v>
      </c>
      <c r="G97" s="721"/>
      <c r="H97" s="720">
        <f>L57-H57</f>
        <v>0</v>
      </c>
    </row>
    <row r="98" spans="1:9" ht="15.75">
      <c r="A98" s="663" t="s">
        <v>82</v>
      </c>
      <c r="B98" s="724">
        <f>D56-B56</f>
        <v>0</v>
      </c>
      <c r="C98" s="721"/>
      <c r="D98" s="724">
        <f>F56-D56</f>
        <v>0</v>
      </c>
      <c r="E98" s="721"/>
      <c r="F98" s="724">
        <f>J56-F56</f>
        <v>0</v>
      </c>
      <c r="G98" s="721"/>
      <c r="H98" s="720">
        <f>L56-H56</f>
        <v>0</v>
      </c>
    </row>
    <row r="99" spans="1:9" ht="15.75">
      <c r="A99" s="663" t="s">
        <v>83</v>
      </c>
      <c r="B99" s="724">
        <f>D61-B61</f>
        <v>0</v>
      </c>
      <c r="C99" s="721"/>
      <c r="D99" s="724">
        <f>F61-D61</f>
        <v>0</v>
      </c>
      <c r="E99" s="721"/>
      <c r="F99" s="724">
        <f>J61-F61</f>
        <v>0</v>
      </c>
      <c r="G99" s="721"/>
      <c r="H99" s="720">
        <f>L61-H61</f>
        <v>0</v>
      </c>
    </row>
    <row r="100" spans="1:9" ht="15.75">
      <c r="A100" s="663" t="s">
        <v>84</v>
      </c>
      <c r="B100" s="724">
        <f>B44-D44</f>
        <v>0</v>
      </c>
      <c r="C100" s="721"/>
      <c r="D100" s="724">
        <f>D44-F44</f>
        <v>0</v>
      </c>
      <c r="E100" s="721"/>
      <c r="F100" s="724">
        <f>F44-J44</f>
        <v>0</v>
      </c>
      <c r="G100" s="721"/>
      <c r="H100" s="720">
        <f>H44-L44</f>
        <v>0</v>
      </c>
    </row>
    <row r="101" spans="1:9" ht="15.75">
      <c r="A101" s="663" t="s">
        <v>85</v>
      </c>
      <c r="B101" s="724">
        <f>SUM(B97:B100)</f>
        <v>0</v>
      </c>
      <c r="C101" s="721"/>
      <c r="D101" s="724">
        <f>SUM(D97:D100)</f>
        <v>0</v>
      </c>
      <c r="E101" s="721"/>
      <c r="F101" s="724">
        <f>SUM(F97:F100)</f>
        <v>0</v>
      </c>
      <c r="G101" s="721"/>
      <c r="H101" s="720">
        <f>SUM(H97:H100)</f>
        <v>0</v>
      </c>
    </row>
    <row r="102" spans="1:9" ht="15.75">
      <c r="A102" s="664" t="s">
        <v>86</v>
      </c>
      <c r="B102" s="725">
        <f>B96+B101</f>
        <v>0</v>
      </c>
      <c r="C102" s="726"/>
      <c r="D102" s="725">
        <f>D96+D101</f>
        <v>0</v>
      </c>
      <c r="E102" s="726"/>
      <c r="F102" s="725">
        <f>F96+F101</f>
        <v>0</v>
      </c>
      <c r="G102" s="726"/>
      <c r="H102" s="727">
        <f>H96+H101</f>
        <v>0</v>
      </c>
      <c r="I102" s="704"/>
    </row>
    <row r="103" spans="1:9" ht="15.75">
      <c r="A103" s="664"/>
      <c r="B103" s="725"/>
      <c r="C103" s="726"/>
      <c r="D103" s="725"/>
      <c r="E103" s="726"/>
      <c r="F103" s="725"/>
      <c r="G103" s="726"/>
      <c r="H103" s="727"/>
      <c r="I103" s="704"/>
    </row>
    <row r="104" spans="1:9" ht="15.75">
      <c r="A104" s="663" t="s">
        <v>87</v>
      </c>
      <c r="B104" s="724">
        <f>B24</f>
        <v>0</v>
      </c>
      <c r="C104" s="721"/>
      <c r="D104" s="724">
        <f>D24</f>
        <v>0</v>
      </c>
      <c r="E104" s="721"/>
      <c r="F104" s="724">
        <f>F24</f>
        <v>0</v>
      </c>
      <c r="G104" s="721"/>
      <c r="H104" s="720">
        <f>H24</f>
        <v>0</v>
      </c>
    </row>
    <row r="105" spans="1:9" ht="15.75">
      <c r="A105" s="663"/>
      <c r="B105" s="724"/>
      <c r="C105" s="721"/>
      <c r="D105" s="724"/>
      <c r="E105" s="721"/>
      <c r="F105" s="724"/>
      <c r="G105" s="721"/>
      <c r="H105" s="720"/>
    </row>
    <row r="106" spans="1:9" ht="15.75">
      <c r="A106" s="664" t="s">
        <v>88</v>
      </c>
      <c r="B106" s="724">
        <f>B102-B104</f>
        <v>0</v>
      </c>
      <c r="C106" s="721"/>
      <c r="D106" s="724">
        <f>D102-D104</f>
        <v>0</v>
      </c>
      <c r="E106" s="721"/>
      <c r="F106" s="724">
        <f>F102-F104</f>
        <v>0</v>
      </c>
      <c r="G106" s="721"/>
      <c r="H106" s="720">
        <f>H102-H104</f>
        <v>0</v>
      </c>
    </row>
    <row r="107" spans="1:9" ht="15.75"/>
  </sheetData>
  <sheetProtection formatCells="0" formatColumns="0" formatRows="0"/>
  <mergeCells count="8">
    <mergeCell ref="B1:E1"/>
    <mergeCell ref="A67:H68"/>
    <mergeCell ref="A3:A4"/>
    <mergeCell ref="A32:A33"/>
    <mergeCell ref="B32:B33"/>
    <mergeCell ref="D32:D33"/>
    <mergeCell ref="F32:F33"/>
    <mergeCell ref="H32:H33"/>
  </mergeCells>
  <conditionalFormatting sqref="B65 B48">
    <cfRule type="expression" dxfId="356" priority="4">
      <formula>$B$48&lt;&gt;$B$65</formula>
    </cfRule>
  </conditionalFormatting>
  <conditionalFormatting sqref="D65 D48">
    <cfRule type="expression" dxfId="355" priority="3">
      <formula>$B$48&lt;&gt;$B$65</formula>
    </cfRule>
  </conditionalFormatting>
  <conditionalFormatting sqref="F65 F48">
    <cfRule type="expression" dxfId="354" priority="2">
      <formula>$B$48&lt;&gt;$B$65</formula>
    </cfRule>
  </conditionalFormatting>
  <conditionalFormatting sqref="H65 H48">
    <cfRule type="expression" dxfId="353" priority="1">
      <formula>$B$48&lt;&gt;$B$65</formula>
    </cfRule>
  </conditionalFormatting>
  <dataValidations count="1">
    <dataValidation type="list" allowBlank="1" showInputMessage="1" showErrorMessage="1" sqref="I1" xr:uid="{F65A8D83-A981-49AC-AF90-0C66F24AF6C2}">
      <formula1>"Actuals, Thousands, Lakhs, Millions, Crores"</formula1>
    </dataValidation>
  </dataValidations>
  <pageMargins left="0.78749999999999998" right="0.78749999999999998" top="1.0249999999999999" bottom="1.0249999999999999" header="0.78749999999999998" footer="0.78749999999999998"/>
  <pageSetup scale="58" firstPageNumber="0" orientation="portrait" horizontalDpi="300" verticalDpi="300" r:id="rId1"/>
  <headerFooter alignWithMargins="0">
    <oddHeader>&amp;C&amp;"Arial,Regular"&amp;10&amp;A</oddHeader>
    <oddFooter>&amp;C&amp;"Arial,Regular"&amp;10Page &amp;P</oddFooter>
  </headerFooter>
  <rowBreaks count="2" manualBreakCount="2">
    <brk id="30" max="16383" man="1"/>
    <brk id="66" max="16383"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C00000"/>
  </sheetPr>
  <dimension ref="A1:L107"/>
  <sheetViews>
    <sheetView view="pageBreakPreview" zoomScaleSheetLayoutView="100" workbookViewId="0">
      <selection activeCell="H5" sqref="H5:H65"/>
    </sheetView>
  </sheetViews>
  <sheetFormatPr defaultColWidth="11.875" defaultRowHeight="32.1" customHeight="1"/>
  <cols>
    <col min="1" max="1" width="32.625" style="666" customWidth="1"/>
    <col min="2" max="2" width="14.625" style="669" customWidth="1"/>
    <col min="3" max="3" width="8.625" style="669" customWidth="1"/>
    <col min="4" max="4" width="14.625" style="669" customWidth="1"/>
    <col min="5" max="5" width="8.625" style="669" customWidth="1"/>
    <col min="6" max="6" width="14.625" style="669" customWidth="1"/>
    <col min="7" max="7" width="8.625" style="669" customWidth="1"/>
    <col min="8" max="8" width="14.25" style="669" customWidth="1"/>
    <col min="9" max="9" width="15.25" style="669" bestFit="1" customWidth="1"/>
    <col min="10" max="10" width="19.25" style="669" customWidth="1"/>
    <col min="11" max="11" width="10.5" style="669" customWidth="1"/>
    <col min="12" max="16384" width="11.875" style="669"/>
  </cols>
  <sheetData>
    <row r="1" spans="1:9" ht="15.75">
      <c r="A1" s="632" t="s">
        <v>607</v>
      </c>
      <c r="B1" s="1160" t="str">
        <f>IF('Financial Statement4'!F3="","",'Financial Statement4'!F3)</f>
        <v/>
      </c>
      <c r="C1" s="1160"/>
      <c r="D1" s="1160"/>
      <c r="E1" s="1160"/>
      <c r="F1" s="667"/>
      <c r="G1" s="667"/>
      <c r="H1" s="668" t="s">
        <v>608</v>
      </c>
      <c r="I1" s="668" t="str">
        <f>'Ratios Sheet1'!I1</f>
        <v>Lakhs</v>
      </c>
    </row>
    <row r="2" spans="1:9" ht="15.75">
      <c r="A2" s="633"/>
      <c r="B2" s="670"/>
      <c r="C2" s="670"/>
      <c r="D2" s="670"/>
      <c r="E2" s="670"/>
      <c r="F2" s="670"/>
      <c r="G2" s="670"/>
      <c r="H2" s="671"/>
      <c r="I2" s="672"/>
    </row>
    <row r="3" spans="1:9" ht="12.75">
      <c r="A3" s="1162" t="s">
        <v>0</v>
      </c>
      <c r="B3" s="673" t="str">
        <f>'Financial Statement4'!J5</f>
        <v>-</v>
      </c>
      <c r="C3" s="674" t="s">
        <v>1</v>
      </c>
      <c r="D3" s="673" t="str">
        <f>'Financial Statement4'!I5</f>
        <v>-</v>
      </c>
      <c r="E3" s="674" t="s">
        <v>1</v>
      </c>
      <c r="F3" s="673" t="str">
        <f>'Financial Statement4'!H5</f>
        <v>-</v>
      </c>
      <c r="G3" s="674" t="s">
        <v>1</v>
      </c>
      <c r="H3" s="673" t="str">
        <f>'Financial Statement4'!G5</f>
        <v>-</v>
      </c>
      <c r="I3" s="675"/>
    </row>
    <row r="4" spans="1:9" ht="12.75">
      <c r="A4" s="1163"/>
      <c r="B4" s="676" t="str">
        <f>CONCATENATE("Rs. ",$I$1)</f>
        <v>Rs. Lakhs</v>
      </c>
      <c r="C4" s="677" t="str">
        <f>B3</f>
        <v>-</v>
      </c>
      <c r="D4" s="676" t="str">
        <f>CONCATENATE("Rs. ",$I$1)</f>
        <v>Rs. Lakhs</v>
      </c>
      <c r="E4" s="677" t="str">
        <f>D3</f>
        <v>-</v>
      </c>
      <c r="F4" s="676" t="str">
        <f>CONCATENATE("Rs. ",$I$1)</f>
        <v>Rs. Lakhs</v>
      </c>
      <c r="G4" s="677" t="str">
        <f>F3</f>
        <v>-</v>
      </c>
      <c r="H4" s="676" t="str">
        <f>CONCATENATE("Rs. ",$I$1)</f>
        <v>Rs. Lakhs</v>
      </c>
      <c r="I4" s="678"/>
    </row>
    <row r="5" spans="1:9" ht="15.75">
      <c r="A5" s="634" t="s">
        <v>2</v>
      </c>
      <c r="B5" s="761">
        <f>('Financial Statement4'!J11+'Financial Statement4'!J15+'Financial Statement4'!J19-'Financial Statement4'!J21)*$I$5/$I$6</f>
        <v>0</v>
      </c>
      <c r="C5" s="679" t="str">
        <f>IFERROR((B5-D5)/D5*100,"")</f>
        <v/>
      </c>
      <c r="D5" s="761">
        <f>('Financial Statement4'!I11+'Financial Statement4'!I15+'Financial Statement4'!I19-'Financial Statement4'!I21)*$I$5/$I$6</f>
        <v>0</v>
      </c>
      <c r="E5" s="679" t="str">
        <f>IFERROR((D5-F5)/F5*100,"")</f>
        <v/>
      </c>
      <c r="F5" s="761">
        <f>('Financial Statement4'!H11+'Financial Statement4'!H15+'Financial Statement4'!H19-'Financial Statement4'!H21)*$I$5/$I$6</f>
        <v>0</v>
      </c>
      <c r="G5" s="679" t="str">
        <f>IFERROR((F5-H5)/H5*100,"")</f>
        <v/>
      </c>
      <c r="H5" s="761">
        <f>('Financial Statement4'!G11+'Financial Statement4'!G15+'Financial Statement4'!G19-'Financial Statement4'!G21)*$I$5/$I$6</f>
        <v>0</v>
      </c>
      <c r="I5" s="680">
        <f>IF('Financial Statement4'!$K$3="Actuals",1, IF('Financial Statement4'!$K$3="Thousands",1000, IF('Financial Statement4'!$K$3="Lakhs",100000, IF('Financial Statement4'!$K$3="Millions",1000000, IF('Financial Statement4'!$K$3="Crores",10000000,"")))))</f>
        <v>1</v>
      </c>
    </row>
    <row r="6" spans="1:9" ht="31.5">
      <c r="A6" s="635" t="s">
        <v>3</v>
      </c>
      <c r="B6" s="761">
        <f>'Financial Statement4'!J20*$I$5/$I$6</f>
        <v>0</v>
      </c>
      <c r="C6" s="681" t="str">
        <f>IFERROR((B6-D6)/D6*100,"")</f>
        <v/>
      </c>
      <c r="D6" s="761">
        <f>'Financial Statement4'!I20*$I$5/$I$6</f>
        <v>0</v>
      </c>
      <c r="E6" s="681" t="str">
        <f>IFERROR((D6-F6)/F6*100,"")</f>
        <v/>
      </c>
      <c r="F6" s="761">
        <f>'Financial Statement4'!H20*$I$5/$I$6</f>
        <v>0</v>
      </c>
      <c r="G6" s="681" t="str">
        <f>IFERROR((F6-H6)/H6*100,"")</f>
        <v/>
      </c>
      <c r="H6" s="761">
        <f>'Financial Statement4'!G20*$I$5/$I$6</f>
        <v>0</v>
      </c>
      <c r="I6" s="680">
        <f>IF(I1="Actuals",1, IF(I1="Thousands",1000, IF(I1="Lakhs",100000, IF(I1="Millions",1000000, IF(I1="Crores",10000000,"")))))</f>
        <v>100000</v>
      </c>
    </row>
    <row r="7" spans="1:9" ht="15.75">
      <c r="A7" s="635" t="s">
        <v>4</v>
      </c>
      <c r="B7" s="761">
        <f>'Financial Statement4'!J72*$I$5/$I$6</f>
        <v>0</v>
      </c>
      <c r="C7" s="681" t="str">
        <f>IFERROR((B7-D7)/D7*100,"")</f>
        <v/>
      </c>
      <c r="D7" s="761">
        <f>'Financial Statement4'!I72*$I$5/$I$6</f>
        <v>0</v>
      </c>
      <c r="E7" s="681" t="str">
        <f>IFERROR((D7-F7)/F7*100,"")</f>
        <v/>
      </c>
      <c r="F7" s="761">
        <f>'Financial Statement4'!H72*$I$5/$I$6</f>
        <v>0</v>
      </c>
      <c r="G7" s="681" t="str">
        <f>IFERROR((F7-H7)/H7*100,"")</f>
        <v/>
      </c>
      <c r="H7" s="761">
        <f>'Financial Statement4'!G72*$I$5/$I$6</f>
        <v>0</v>
      </c>
      <c r="I7" s="682"/>
    </row>
    <row r="8" spans="1:9" ht="15.75">
      <c r="A8" s="636" t="s">
        <v>5</v>
      </c>
      <c r="B8" s="683">
        <f>B5+B6+B7</f>
        <v>0</v>
      </c>
      <c r="C8" s="684" t="str">
        <f>IFERROR((B8-D8)/D8*100,"")</f>
        <v/>
      </c>
      <c r="D8" s="683">
        <f>D5+D6+D7</f>
        <v>0</v>
      </c>
      <c r="E8" s="684" t="str">
        <f>IFERROR((D8-F8)/F8*100,"")</f>
        <v/>
      </c>
      <c r="F8" s="683">
        <f>F5+F6+F7</f>
        <v>0</v>
      </c>
      <c r="G8" s="684" t="str">
        <f>IFERROR((F8-H8)/H8*100,"")</f>
        <v/>
      </c>
      <c r="H8" s="683">
        <f>H5+H6+H7</f>
        <v>0</v>
      </c>
      <c r="I8" s="685"/>
    </row>
    <row r="9" spans="1:9" ht="15.75">
      <c r="A9" s="637"/>
      <c r="B9" s="686"/>
      <c r="C9" s="687" t="e">
        <f>CONCATENATE("Cost % of sales of ",YEAR(B3))</f>
        <v>#VALUE!</v>
      </c>
      <c r="D9" s="686"/>
      <c r="E9" s="687" t="e">
        <f>CONCATENATE("Cost % of sales of ",YEAR(D3))</f>
        <v>#VALUE!</v>
      </c>
      <c r="F9" s="686"/>
      <c r="G9" s="687" t="e">
        <f>CONCATENATE("Cost % of sales of ",YEAR(F3))</f>
        <v>#VALUE!</v>
      </c>
      <c r="H9" s="686"/>
      <c r="I9" s="687" t="e">
        <f>CONCATENATE("Cost % of sales of ",YEAR(H3))</f>
        <v>#VALUE!</v>
      </c>
    </row>
    <row r="10" spans="1:9" ht="15.75">
      <c r="A10" s="638" t="s">
        <v>6</v>
      </c>
      <c r="B10" s="761">
        <f>'Financial Statement4'!J25*$I$5/$I$6</f>
        <v>0</v>
      </c>
      <c r="C10" s="688" t="str">
        <f>IFERROR(B10/$B$5*100,"")</f>
        <v/>
      </c>
      <c r="D10" s="761">
        <f>'Financial Statement4'!I25*$I$5/$I$6</f>
        <v>0</v>
      </c>
      <c r="E10" s="688" t="str">
        <f>IFERROR(D10/$D$5*100,"")</f>
        <v/>
      </c>
      <c r="F10" s="761">
        <f>'Financial Statement4'!H25*$I$5/$I$6</f>
        <v>0</v>
      </c>
      <c r="G10" s="688" t="str">
        <f>IFERROR(F10/$F$5*100,"")</f>
        <v/>
      </c>
      <c r="H10" s="761">
        <f>'Financial Statement4'!G25*$I$5/$I$6</f>
        <v>0</v>
      </c>
      <c r="I10" s="688" t="str">
        <f>IFERROR(H10/$H$5*100,"")</f>
        <v/>
      </c>
    </row>
    <row r="11" spans="1:9" ht="15.75">
      <c r="A11" s="638" t="s">
        <v>7</v>
      </c>
      <c r="B11" s="761">
        <f>('Financial Statement4'!J39+'Financial Statement4'!J40+'Financial Statement4'!J41)*$I$5/$I$6</f>
        <v>0</v>
      </c>
      <c r="C11" s="688" t="str">
        <f t="shared" ref="C11:C29" si="0">IFERROR(B11/$B$5*100,"")</f>
        <v/>
      </c>
      <c r="D11" s="761">
        <f>('Financial Statement4'!I39+'Financial Statement4'!I40+'Financial Statement4'!I41)*$I$5/$I$6</f>
        <v>0</v>
      </c>
      <c r="E11" s="688" t="str">
        <f t="shared" ref="E11:E30" si="1">IFERROR(D11/$D$5*100,"")</f>
        <v/>
      </c>
      <c r="F11" s="761">
        <f>('Financial Statement4'!H39+'Financial Statement4'!H40+'Financial Statement4'!H41)*$I$5/$I$6</f>
        <v>0</v>
      </c>
      <c r="G11" s="688" t="str">
        <f t="shared" ref="G11:G29" si="2">IFERROR(F11/$F$5*100,"")</f>
        <v/>
      </c>
      <c r="H11" s="761">
        <f>('Financial Statement4'!G39+'Financial Statement4'!G40+'Financial Statement4'!G41)*$I$5/$I$6</f>
        <v>0</v>
      </c>
      <c r="I11" s="688" t="str">
        <f t="shared" ref="I11:I29" si="3">IFERROR(H11/$H$5*100,"")</f>
        <v/>
      </c>
    </row>
    <row r="12" spans="1:9" ht="15.75">
      <c r="A12" s="638" t="s">
        <v>8</v>
      </c>
      <c r="B12" s="761">
        <f>('Financial Statement4'!J38+'Financial Statement4'!J45+'Financial Statement4'!J49)*$I$5/$I$6</f>
        <v>0</v>
      </c>
      <c r="C12" s="688" t="str">
        <f t="shared" si="0"/>
        <v/>
      </c>
      <c r="D12" s="761">
        <f>('Financial Statement4'!I38+'Financial Statement4'!I45+'Financial Statement4'!I49)*$I$5/$I$6</f>
        <v>0</v>
      </c>
      <c r="E12" s="688" t="str">
        <f t="shared" si="1"/>
        <v/>
      </c>
      <c r="F12" s="761">
        <f>('Financial Statement4'!H38+'Financial Statement4'!H45+'Financial Statement4'!H49)*$I$5/$I$6</f>
        <v>0</v>
      </c>
      <c r="G12" s="688" t="str">
        <f t="shared" si="2"/>
        <v/>
      </c>
      <c r="H12" s="761">
        <f>('Financial Statement4'!G38+'Financial Statement4'!G45+'Financial Statement4'!G49)*$I$5/$I$6</f>
        <v>0</v>
      </c>
      <c r="I12" s="688" t="str">
        <f t="shared" si="3"/>
        <v/>
      </c>
    </row>
    <row r="13" spans="1:9" ht="15.75">
      <c r="A13" s="639" t="s">
        <v>9</v>
      </c>
      <c r="B13" s="689">
        <f>B8-B10-B11-B12</f>
        <v>0</v>
      </c>
      <c r="C13" s="688" t="str">
        <f t="shared" si="0"/>
        <v/>
      </c>
      <c r="D13" s="689">
        <f>D8-D10-D11-D12</f>
        <v>0</v>
      </c>
      <c r="E13" s="688" t="str">
        <f t="shared" si="1"/>
        <v/>
      </c>
      <c r="F13" s="689">
        <f>F8-F10-F11-F12</f>
        <v>0</v>
      </c>
      <c r="G13" s="688" t="str">
        <f t="shared" si="2"/>
        <v/>
      </c>
      <c r="H13" s="689">
        <f>H8-H10-H11-H12</f>
        <v>0</v>
      </c>
      <c r="I13" s="688" t="str">
        <f t="shared" si="3"/>
        <v/>
      </c>
    </row>
    <row r="14" spans="1:9" ht="15.75">
      <c r="A14" s="640" t="s">
        <v>10</v>
      </c>
      <c r="B14" s="761">
        <f>('Financial Statement4'!J47+'Financial Statement4'!J50+'Financial Statement4'!J51+'Financial Statement4'!J58+'Financial Statement4'!J61+'Financial Statement4'!J63+'Financial Statement4'!J71)*$I$5/$I$6</f>
        <v>0</v>
      </c>
      <c r="C14" s="688" t="str">
        <f t="shared" si="0"/>
        <v/>
      </c>
      <c r="D14" s="761">
        <f>('Financial Statement4'!I47+'Financial Statement4'!I50+'Financial Statement4'!I51+'Financial Statement4'!I58+'Financial Statement4'!I61+'Financial Statement4'!I63+'Financial Statement4'!I71)*$I$5/$I$6</f>
        <v>0</v>
      </c>
      <c r="E14" s="688" t="str">
        <f t="shared" si="1"/>
        <v/>
      </c>
      <c r="F14" s="761">
        <f>('Financial Statement4'!H47+'Financial Statement4'!H50+'Financial Statement4'!H51+'Financial Statement4'!H58+'Financial Statement4'!H61+'Financial Statement4'!H63+'Financial Statement4'!H71)*$I$5/$I$6</f>
        <v>0</v>
      </c>
      <c r="G14" s="688" t="str">
        <f t="shared" si="2"/>
        <v/>
      </c>
      <c r="H14" s="761">
        <f>('Financial Statement4'!G47+'Financial Statement4'!G50+'Financial Statement4'!G51+'Financial Statement4'!G58+'Financial Statement4'!G61+'Financial Statement4'!G63+'Financial Statement4'!G71)*$I$5/$I$6</f>
        <v>0</v>
      </c>
      <c r="I14" s="688" t="str">
        <f t="shared" si="3"/>
        <v/>
      </c>
    </row>
    <row r="15" spans="1:9" ht="15.75">
      <c r="A15" s="640" t="s">
        <v>11</v>
      </c>
      <c r="B15" s="761">
        <f>'Financial Statement4'!J46*$I$5/$I$6</f>
        <v>0</v>
      </c>
      <c r="C15" s="688" t="str">
        <f t="shared" si="0"/>
        <v/>
      </c>
      <c r="D15" s="761">
        <f>'Financial Statement4'!I46*$I$5/$I$6</f>
        <v>0</v>
      </c>
      <c r="E15" s="688" t="str">
        <f t="shared" si="1"/>
        <v/>
      </c>
      <c r="F15" s="761">
        <f>'Financial Statement4'!H46*$I$5/$I$6</f>
        <v>0</v>
      </c>
      <c r="G15" s="688" t="str">
        <f t="shared" si="2"/>
        <v/>
      </c>
      <c r="H15" s="761">
        <f>'Financial Statement4'!G46*$I$5/$I$6</f>
        <v>0</v>
      </c>
      <c r="I15" s="688" t="str">
        <f t="shared" si="3"/>
        <v/>
      </c>
    </row>
    <row r="16" spans="1:9" ht="15.75">
      <c r="A16" s="639" t="s">
        <v>12</v>
      </c>
      <c r="B16" s="689">
        <f>B13-B14-B15</f>
        <v>0</v>
      </c>
      <c r="C16" s="688" t="str">
        <f t="shared" si="0"/>
        <v/>
      </c>
      <c r="D16" s="689">
        <f>D13-D14-D15</f>
        <v>0</v>
      </c>
      <c r="E16" s="688" t="str">
        <f t="shared" si="1"/>
        <v/>
      </c>
      <c r="F16" s="689">
        <f>F13-F14-F15</f>
        <v>0</v>
      </c>
      <c r="G16" s="688" t="str">
        <f t="shared" si="2"/>
        <v/>
      </c>
      <c r="H16" s="689">
        <f>H13-H14-H15</f>
        <v>0</v>
      </c>
      <c r="I16" s="688" t="str">
        <f t="shared" si="3"/>
        <v/>
      </c>
    </row>
    <row r="17" spans="1:12" ht="15.75">
      <c r="A17" s="641" t="s">
        <v>13</v>
      </c>
      <c r="B17" s="761">
        <f>'Financial Statement4'!J56*$I$5/$I$6</f>
        <v>0</v>
      </c>
      <c r="C17" s="688" t="str">
        <f t="shared" si="0"/>
        <v/>
      </c>
      <c r="D17" s="761">
        <f>'Financial Statement4'!I56*$I$5/$I$6</f>
        <v>0</v>
      </c>
      <c r="E17" s="688" t="str">
        <f t="shared" si="1"/>
        <v/>
      </c>
      <c r="F17" s="761">
        <f>'Financial Statement4'!H56*$I$5/$I$6</f>
        <v>0</v>
      </c>
      <c r="G17" s="688" t="str">
        <f t="shared" si="2"/>
        <v/>
      </c>
      <c r="H17" s="761">
        <f>'Financial Statement4'!G56*$I$5/$I$6</f>
        <v>0</v>
      </c>
      <c r="I17" s="688" t="str">
        <f t="shared" si="3"/>
        <v/>
      </c>
      <c r="L17" s="690"/>
    </row>
    <row r="18" spans="1:12" s="690" customFormat="1" ht="15.75">
      <c r="A18" s="638" t="s">
        <v>153</v>
      </c>
      <c r="B18" s="761">
        <f>'Financial Statement4'!J67*$I$5/$I$6</f>
        <v>0</v>
      </c>
      <c r="C18" s="688" t="str">
        <f t="shared" si="0"/>
        <v/>
      </c>
      <c r="D18" s="761">
        <f>'Financial Statement4'!I67*$I$5/$I$6</f>
        <v>0</v>
      </c>
      <c r="E18" s="688" t="str">
        <f t="shared" si="1"/>
        <v/>
      </c>
      <c r="F18" s="761">
        <f>'Financial Statement4'!H67*$I$5/$I$6</f>
        <v>0</v>
      </c>
      <c r="G18" s="688" t="str">
        <f t="shared" si="2"/>
        <v/>
      </c>
      <c r="H18" s="761">
        <f>'Financial Statement4'!G67*$I$5/$I$6</f>
        <v>0</v>
      </c>
      <c r="I18" s="688" t="str">
        <f t="shared" si="3"/>
        <v/>
      </c>
      <c r="L18" s="669"/>
    </row>
    <row r="19" spans="1:12" s="690" customFormat="1" ht="15.75">
      <c r="A19" s="638" t="s">
        <v>154</v>
      </c>
      <c r="B19" s="761">
        <f>+'Financial Statement4'!J68*$I$5/$I$6</f>
        <v>0</v>
      </c>
      <c r="C19" s="688" t="str">
        <f t="shared" si="0"/>
        <v/>
      </c>
      <c r="D19" s="761">
        <f>+'Financial Statement4'!I68*$I$5/$I$6</f>
        <v>0</v>
      </c>
      <c r="E19" s="688" t="str">
        <f t="shared" si="1"/>
        <v/>
      </c>
      <c r="F19" s="761">
        <f>+'Financial Statement4'!H68*$I$5/$I$6</f>
        <v>0</v>
      </c>
      <c r="G19" s="688" t="str">
        <f t="shared" si="2"/>
        <v/>
      </c>
      <c r="H19" s="761">
        <f>+'Financial Statement4'!G68*$I$5/$I$6</f>
        <v>0</v>
      </c>
      <c r="I19" s="688" t="str">
        <f t="shared" si="3"/>
        <v/>
      </c>
      <c r="L19" s="669"/>
    </row>
    <row r="20" spans="1:12" s="690" customFormat="1" ht="31.5">
      <c r="A20" s="638" t="s">
        <v>366</v>
      </c>
      <c r="B20" s="761">
        <f>+'Financial Statement4'!J69*$I$5/$I$6</f>
        <v>0</v>
      </c>
      <c r="C20" s="688" t="str">
        <f t="shared" si="0"/>
        <v/>
      </c>
      <c r="D20" s="761">
        <f>+'Financial Statement4'!I69*$I$5/$I$6</f>
        <v>0</v>
      </c>
      <c r="E20" s="688" t="str">
        <f t="shared" si="1"/>
        <v/>
      </c>
      <c r="F20" s="761">
        <f>+'Financial Statement4'!H69*$I$5/$I$6</f>
        <v>0</v>
      </c>
      <c r="G20" s="688" t="str">
        <f t="shared" si="2"/>
        <v/>
      </c>
      <c r="H20" s="761">
        <f>+'Financial Statement4'!G69*$I$5/$I$6</f>
        <v>0</v>
      </c>
      <c r="I20" s="688" t="str">
        <f t="shared" si="3"/>
        <v/>
      </c>
      <c r="L20" s="669"/>
    </row>
    <row r="21" spans="1:12" s="690" customFormat="1" ht="15.75">
      <c r="A21" s="638" t="s">
        <v>123</v>
      </c>
      <c r="B21" s="761">
        <f>'Financial Statement4'!J70*$I$5/$I$6</f>
        <v>0</v>
      </c>
      <c r="C21" s="688" t="str">
        <f t="shared" si="0"/>
        <v/>
      </c>
      <c r="D21" s="761">
        <f>'Financial Statement4'!I70*$I$5/$I$6</f>
        <v>0</v>
      </c>
      <c r="E21" s="688" t="str">
        <f t="shared" si="1"/>
        <v/>
      </c>
      <c r="F21" s="761">
        <f>'Financial Statement4'!H70*$I$5/$I$6</f>
        <v>0</v>
      </c>
      <c r="G21" s="688" t="str">
        <f t="shared" si="2"/>
        <v/>
      </c>
      <c r="H21" s="761">
        <f>'Financial Statement4'!G70*$I$5/$I$6</f>
        <v>0</v>
      </c>
      <c r="I21" s="688" t="str">
        <f t="shared" si="3"/>
        <v/>
      </c>
      <c r="L21" s="669"/>
    </row>
    <row r="22" spans="1:12" ht="15.75">
      <c r="A22" s="641" t="s">
        <v>14</v>
      </c>
      <c r="B22" s="761">
        <f>('Financial Statement4'!J62+'Financial Statement4'!J59)*$I$5/$I$6</f>
        <v>0</v>
      </c>
      <c r="C22" s="688" t="str">
        <f t="shared" si="0"/>
        <v/>
      </c>
      <c r="D22" s="761">
        <f>('Financial Statement4'!I62+'Financial Statement4'!I59)*$I$5/$I$6</f>
        <v>0</v>
      </c>
      <c r="E22" s="688" t="str">
        <f t="shared" si="1"/>
        <v/>
      </c>
      <c r="F22" s="761">
        <f>('Financial Statement4'!H62+'Financial Statement4'!H59)*$I$5/$I$6</f>
        <v>0</v>
      </c>
      <c r="G22" s="688" t="str">
        <f t="shared" si="2"/>
        <v/>
      </c>
      <c r="H22" s="761">
        <f>('Financial Statement4'!G62+'Financial Statement4'!G59)*$I$5/$I$6</f>
        <v>0</v>
      </c>
      <c r="I22" s="688" t="str">
        <f t="shared" si="3"/>
        <v/>
      </c>
    </row>
    <row r="23" spans="1:12" ht="15.75">
      <c r="A23" s="642" t="s">
        <v>15</v>
      </c>
      <c r="B23" s="691">
        <f>B16-B17-B18-B22-B21-B19-B20</f>
        <v>0</v>
      </c>
      <c r="C23" s="688" t="str">
        <f t="shared" si="0"/>
        <v/>
      </c>
      <c r="D23" s="691">
        <f>D16-D17-D18-D22-D21-D19-D20</f>
        <v>0</v>
      </c>
      <c r="E23" s="688" t="str">
        <f t="shared" si="1"/>
        <v/>
      </c>
      <c r="F23" s="691">
        <f>F16-F17-F18-F22-F21-F19-F20</f>
        <v>0</v>
      </c>
      <c r="G23" s="688" t="str">
        <f t="shared" si="2"/>
        <v/>
      </c>
      <c r="H23" s="691">
        <f>H16-H17-H18-H22-H21-H19-H20</f>
        <v>0</v>
      </c>
      <c r="I23" s="688" t="str">
        <f t="shared" si="3"/>
        <v/>
      </c>
    </row>
    <row r="24" spans="1:12" ht="15.75">
      <c r="A24" s="643" t="s">
        <v>16</v>
      </c>
      <c r="B24" s="761">
        <f>'Financial Statement4'!J86*$I$5/$I$6</f>
        <v>0</v>
      </c>
      <c r="C24" s="688" t="str">
        <f t="shared" si="0"/>
        <v/>
      </c>
      <c r="D24" s="761">
        <f>'Financial Statement4'!I86*$I$5/$I$6</f>
        <v>0</v>
      </c>
      <c r="E24" s="688" t="str">
        <f t="shared" si="1"/>
        <v/>
      </c>
      <c r="F24" s="761">
        <f>'Financial Statement4'!H86*$I$5/$I$6</f>
        <v>0</v>
      </c>
      <c r="G24" s="688" t="str">
        <f t="shared" si="2"/>
        <v/>
      </c>
      <c r="H24" s="761">
        <f>'Financial Statement4'!G86*$I$5/$I$6</f>
        <v>0</v>
      </c>
      <c r="I24" s="688" t="str">
        <f t="shared" si="3"/>
        <v/>
      </c>
      <c r="K24" s="692"/>
    </row>
    <row r="25" spans="1:12" ht="15.75">
      <c r="A25" s="644" t="s">
        <v>17</v>
      </c>
      <c r="B25" s="693">
        <f>B23-B24</f>
        <v>0</v>
      </c>
      <c r="C25" s="688" t="str">
        <f t="shared" si="0"/>
        <v/>
      </c>
      <c r="D25" s="693">
        <f>D23-D24</f>
        <v>0</v>
      </c>
      <c r="E25" s="688" t="str">
        <f t="shared" si="1"/>
        <v/>
      </c>
      <c r="F25" s="693">
        <f>F23-F24</f>
        <v>0</v>
      </c>
      <c r="G25" s="688" t="str">
        <f t="shared" si="2"/>
        <v/>
      </c>
      <c r="H25" s="693">
        <f>H23-H24</f>
        <v>0</v>
      </c>
      <c r="I25" s="688" t="str">
        <f t="shared" si="3"/>
        <v/>
      </c>
      <c r="J25" s="694"/>
    </row>
    <row r="26" spans="1:12" s="696" customFormat="1" ht="15.75">
      <c r="A26" s="642" t="s">
        <v>18</v>
      </c>
      <c r="B26" s="691">
        <f>B25+B17+B22</f>
        <v>0</v>
      </c>
      <c r="C26" s="695" t="str">
        <f t="shared" si="0"/>
        <v/>
      </c>
      <c r="D26" s="691">
        <f>D25+D17+D22</f>
        <v>0</v>
      </c>
      <c r="E26" s="695" t="str">
        <f t="shared" si="1"/>
        <v/>
      </c>
      <c r="F26" s="691">
        <f>F25+F17+F22</f>
        <v>0</v>
      </c>
      <c r="G26" s="688" t="str">
        <f t="shared" si="2"/>
        <v/>
      </c>
      <c r="H26" s="691">
        <f>H25+H17+H22</f>
        <v>0</v>
      </c>
      <c r="I26" s="688" t="str">
        <f t="shared" si="3"/>
        <v/>
      </c>
      <c r="J26" s="694"/>
      <c r="K26" s="694"/>
      <c r="L26" s="694"/>
    </row>
    <row r="27" spans="1:12" ht="15.75">
      <c r="A27" s="645" t="s">
        <v>19</v>
      </c>
      <c r="B27" s="761">
        <f>'Financial Statement4'!J49*$I$5/$I$6</f>
        <v>0</v>
      </c>
      <c r="C27" s="688" t="str">
        <f t="shared" si="0"/>
        <v/>
      </c>
      <c r="D27" s="761">
        <f>'Financial Statement4'!I49*$I$5/$I$6</f>
        <v>0</v>
      </c>
      <c r="E27" s="688" t="str">
        <f t="shared" si="1"/>
        <v/>
      </c>
      <c r="F27" s="761">
        <f>'Financial Statement4'!H49*$I$5/$I$6</f>
        <v>0</v>
      </c>
      <c r="G27" s="688" t="str">
        <f t="shared" si="2"/>
        <v/>
      </c>
      <c r="H27" s="761">
        <f>'Financial Statement4'!G49*$I$5/$I$6</f>
        <v>0</v>
      </c>
      <c r="I27" s="688" t="str">
        <f t="shared" si="3"/>
        <v/>
      </c>
    </row>
    <row r="28" spans="1:12" ht="31.5">
      <c r="A28" s="645" t="s">
        <v>20</v>
      </c>
      <c r="B28" s="761">
        <f>'Financial Statement4'!J50*$I$5/$I$6</f>
        <v>0</v>
      </c>
      <c r="C28" s="688" t="str">
        <f t="shared" si="0"/>
        <v/>
      </c>
      <c r="D28" s="761">
        <f>'Financial Statement4'!I50*$I$5/$I$6</f>
        <v>0</v>
      </c>
      <c r="E28" s="688" t="str">
        <f t="shared" si="1"/>
        <v/>
      </c>
      <c r="F28" s="761">
        <f>'Financial Statement4'!H50*$I$5/$I$6</f>
        <v>0</v>
      </c>
      <c r="G28" s="688" t="str">
        <f t="shared" si="2"/>
        <v/>
      </c>
      <c r="H28" s="761">
        <f>'Financial Statement4'!G50*$I$5/$I$6</f>
        <v>0</v>
      </c>
      <c r="I28" s="688" t="str">
        <f t="shared" si="3"/>
        <v/>
      </c>
    </row>
    <row r="29" spans="1:12" ht="15.75">
      <c r="A29" s="646" t="s">
        <v>21</v>
      </c>
      <c r="B29" s="697">
        <f>B26+B27+B28</f>
        <v>0</v>
      </c>
      <c r="C29" s="688" t="str">
        <f t="shared" si="0"/>
        <v/>
      </c>
      <c r="D29" s="697">
        <f>D26+D27+D28</f>
        <v>0</v>
      </c>
      <c r="E29" s="688" t="str">
        <f t="shared" si="1"/>
        <v/>
      </c>
      <c r="F29" s="697">
        <f>F26+F27+F28</f>
        <v>0</v>
      </c>
      <c r="G29" s="688" t="str">
        <f t="shared" si="2"/>
        <v/>
      </c>
      <c r="H29" s="697">
        <f>H26+H27+H28</f>
        <v>0</v>
      </c>
      <c r="I29" s="688" t="str">
        <f t="shared" si="3"/>
        <v/>
      </c>
    </row>
    <row r="30" spans="1:12" ht="15.75">
      <c r="A30" s="646"/>
      <c r="B30" s="697"/>
      <c r="C30" s="698"/>
      <c r="D30" s="697"/>
      <c r="E30" s="688" t="str">
        <f t="shared" si="1"/>
        <v/>
      </c>
      <c r="F30" s="697"/>
      <c r="G30" s="698"/>
      <c r="H30" s="697"/>
      <c r="I30" s="698"/>
      <c r="J30" s="699"/>
    </row>
    <row r="31" spans="1:12" ht="15.75">
      <c r="A31" s="647"/>
      <c r="B31" s="700"/>
      <c r="C31" s="701"/>
      <c r="D31" s="700"/>
      <c r="E31" s="701"/>
      <c r="F31" s="700"/>
      <c r="G31" s="701"/>
      <c r="H31" s="700"/>
      <c r="I31" s="702" t="s">
        <v>22</v>
      </c>
    </row>
    <row r="32" spans="1:12" ht="12.75">
      <c r="A32" s="1164" t="s">
        <v>23</v>
      </c>
      <c r="B32" s="1165" t="str">
        <f>B3</f>
        <v>-</v>
      </c>
      <c r="C32" s="703" t="s">
        <v>1</v>
      </c>
      <c r="D32" s="1165" t="str">
        <f>D3</f>
        <v>-</v>
      </c>
      <c r="E32" s="703" t="s">
        <v>1</v>
      </c>
      <c r="F32" s="1165" t="str">
        <f>F3</f>
        <v>-</v>
      </c>
      <c r="G32" s="703" t="s">
        <v>1</v>
      </c>
      <c r="H32" s="1165" t="str">
        <f>H3</f>
        <v>-</v>
      </c>
      <c r="I32" s="704"/>
    </row>
    <row r="33" spans="1:10" ht="12.75">
      <c r="A33" s="1164"/>
      <c r="B33" s="1166"/>
      <c r="C33" s="705" t="str">
        <f>C4</f>
        <v>-</v>
      </c>
      <c r="D33" s="1166"/>
      <c r="E33" s="705" t="str">
        <f>E4</f>
        <v>-</v>
      </c>
      <c r="F33" s="1166"/>
      <c r="G33" s="705" t="str">
        <f>G4</f>
        <v>-</v>
      </c>
      <c r="H33" s="1166"/>
      <c r="I33" s="704"/>
    </row>
    <row r="34" spans="1:10" ht="15.75">
      <c r="A34" s="648" t="s">
        <v>24</v>
      </c>
      <c r="B34" s="761">
        <f>'Financial Statement4'!J106*$I$5/$I$6</f>
        <v>0</v>
      </c>
      <c r="C34" s="681" t="str">
        <f>IFERROR((B34-D34)/D34*100,"")</f>
        <v/>
      </c>
      <c r="D34" s="761">
        <f>'Financial Statement4'!I106*$I$5/$I$6</f>
        <v>0</v>
      </c>
      <c r="E34" s="681" t="str">
        <f>IFERROR((D34-F34)/F34*100,"")</f>
        <v/>
      </c>
      <c r="F34" s="761">
        <f>'Financial Statement4'!H106*$I$5/$I$6</f>
        <v>0</v>
      </c>
      <c r="G34" s="681" t="str">
        <f>IFERROR((F34-H34)/H34*100,"")</f>
        <v/>
      </c>
      <c r="H34" s="761">
        <f>'Financial Statement4'!G106*$I$5/$I$6</f>
        <v>0</v>
      </c>
    </row>
    <row r="35" spans="1:10" ht="31.5">
      <c r="A35" s="648" t="s">
        <v>25</v>
      </c>
      <c r="B35" s="761">
        <f>('Financial Statement4'!J112-'Financial Statement4'!J115)*$I$5/$I$6</f>
        <v>0</v>
      </c>
      <c r="C35" s="681" t="str">
        <f t="shared" ref="C35:C65" si="4">IFERROR((B35-D35)/D35*100,"")</f>
        <v/>
      </c>
      <c r="D35" s="761">
        <f>('Financial Statement4'!I112-'Financial Statement4'!I115)*$I$5/$I$6</f>
        <v>0</v>
      </c>
      <c r="E35" s="681" t="str">
        <f t="shared" ref="E35:E65" si="5">IFERROR((D35-F35)/F35*100,"")</f>
        <v/>
      </c>
      <c r="F35" s="761">
        <f>('Financial Statement4'!H112-'Financial Statement4'!H115)*$I$5/$I$6</f>
        <v>0</v>
      </c>
      <c r="G35" s="681" t="str">
        <f t="shared" ref="G35:G65" si="6">IFERROR((F35-H35)/H35*100,"")</f>
        <v/>
      </c>
      <c r="H35" s="761">
        <f>('Financial Statement4'!G112-'Financial Statement4'!G115)*$I$5/$I$6</f>
        <v>0</v>
      </c>
    </row>
    <row r="36" spans="1:10" ht="15.75">
      <c r="A36" s="649" t="s">
        <v>26</v>
      </c>
      <c r="B36" s="706">
        <f>SUM(B34:B35)</f>
        <v>0</v>
      </c>
      <c r="C36" s="707" t="str">
        <f t="shared" si="4"/>
        <v/>
      </c>
      <c r="D36" s="706">
        <f>SUM(D34:D35)</f>
        <v>0</v>
      </c>
      <c r="E36" s="707" t="str">
        <f t="shared" si="5"/>
        <v/>
      </c>
      <c r="F36" s="706">
        <f>SUM(F34:F35)</f>
        <v>0</v>
      </c>
      <c r="G36" s="707" t="str">
        <f t="shared" si="6"/>
        <v/>
      </c>
      <c r="H36" s="706">
        <f>SUM(H34:H35)</f>
        <v>0</v>
      </c>
    </row>
    <row r="37" spans="1:10" ht="15.75">
      <c r="A37" s="648" t="s">
        <v>27</v>
      </c>
      <c r="B37" s="761">
        <f>'Financial Statement4'!J115*$I$5/$I$6</f>
        <v>0</v>
      </c>
      <c r="C37" s="681" t="str">
        <f t="shared" si="4"/>
        <v/>
      </c>
      <c r="D37" s="761">
        <f>'Financial Statement4'!I115*$I$5/$I$6</f>
        <v>0</v>
      </c>
      <c r="E37" s="681" t="str">
        <f t="shared" si="5"/>
        <v/>
      </c>
      <c r="F37" s="761">
        <f>'Financial Statement4'!H115*$I$5/$I$6</f>
        <v>0</v>
      </c>
      <c r="G37" s="681" t="str">
        <f t="shared" si="6"/>
        <v/>
      </c>
      <c r="H37" s="761">
        <f>'Financial Statement4'!G115*$I$5/$I$6</f>
        <v>0</v>
      </c>
    </row>
    <row r="38" spans="1:10" ht="15.75">
      <c r="A38" s="649" t="s">
        <v>28</v>
      </c>
      <c r="B38" s="706">
        <f>B34+B35+B43-B62-B64-B52</f>
        <v>0</v>
      </c>
      <c r="C38" s="707" t="str">
        <f t="shared" si="4"/>
        <v/>
      </c>
      <c r="D38" s="706">
        <f>D34+D35+D43-D62-D64-D52</f>
        <v>0</v>
      </c>
      <c r="E38" s="707" t="str">
        <f t="shared" si="5"/>
        <v/>
      </c>
      <c r="F38" s="706">
        <f>F34+F35+F43-F62-F64-F52</f>
        <v>0</v>
      </c>
      <c r="G38" s="707" t="str">
        <f t="shared" si="6"/>
        <v/>
      </c>
      <c r="H38" s="706">
        <f>H34+H35+H43-H62-H64-H52</f>
        <v>0</v>
      </c>
    </row>
    <row r="39" spans="1:10" ht="15.75">
      <c r="A39" s="648" t="s">
        <v>29</v>
      </c>
      <c r="B39" s="761">
        <f>('Financial Statement4'!J125+'Financial Statement4'!J126)*$I$5/$I$6</f>
        <v>0</v>
      </c>
      <c r="C39" s="681" t="str">
        <f t="shared" si="4"/>
        <v/>
      </c>
      <c r="D39" s="761">
        <f>('Financial Statement4'!I125+'Financial Statement4'!I126)*$I$5/$I$6</f>
        <v>0</v>
      </c>
      <c r="E39" s="681" t="str">
        <f t="shared" si="5"/>
        <v/>
      </c>
      <c r="F39" s="761">
        <f>('Financial Statement4'!H125+'Financial Statement4'!H126)*$I$5/$I$6</f>
        <v>0</v>
      </c>
      <c r="G39" s="681" t="str">
        <f t="shared" si="6"/>
        <v/>
      </c>
      <c r="H39" s="761">
        <f>('Financial Statement4'!G125+'Financial Statement4'!G126)*$I$5/$I$6</f>
        <v>0</v>
      </c>
    </row>
    <row r="40" spans="1:10" ht="31.5">
      <c r="A40" s="648" t="s">
        <v>30</v>
      </c>
      <c r="B40" s="761">
        <f>('Financial Statement4'!J144+'Financial Statement4'!J145)*$I$5/$I$6</f>
        <v>0</v>
      </c>
      <c r="C40" s="681" t="str">
        <f t="shared" si="4"/>
        <v/>
      </c>
      <c r="D40" s="761">
        <f>('Financial Statement4'!I144+'Financial Statement4'!I145)*$I$5/$I$6</f>
        <v>0</v>
      </c>
      <c r="E40" s="681" t="str">
        <f t="shared" si="5"/>
        <v/>
      </c>
      <c r="F40" s="761">
        <f>('Financial Statement4'!H144+'Financial Statement4'!H145)*$I$5/$I$6</f>
        <v>0</v>
      </c>
      <c r="G40" s="681" t="str">
        <f t="shared" si="6"/>
        <v/>
      </c>
      <c r="H40" s="761">
        <f>('Financial Statement4'!G144+'Financial Statement4'!G145)*$I$5/$I$6</f>
        <v>0</v>
      </c>
      <c r="J40" s="708"/>
    </row>
    <row r="41" spans="1:10" ht="31.5">
      <c r="A41" s="650" t="s">
        <v>31</v>
      </c>
      <c r="B41" s="709">
        <f>B39+B40</f>
        <v>0</v>
      </c>
      <c r="C41" s="710" t="str">
        <f t="shared" si="4"/>
        <v/>
      </c>
      <c r="D41" s="709">
        <f>D39+D40</f>
        <v>0</v>
      </c>
      <c r="E41" s="710" t="str">
        <f t="shared" si="5"/>
        <v/>
      </c>
      <c r="F41" s="709">
        <f>F39+F40</f>
        <v>0</v>
      </c>
      <c r="G41" s="710" t="str">
        <f t="shared" si="6"/>
        <v/>
      </c>
      <c r="H41" s="709">
        <f>H39+H40</f>
        <v>0</v>
      </c>
      <c r="J41" s="708"/>
    </row>
    <row r="42" spans="1:10" ht="15.75">
      <c r="A42" s="648" t="s">
        <v>32</v>
      </c>
      <c r="B42" s="761">
        <f>('Financial Statement4'!J129+'Financial Statement4'!J130+'Financial Statement4'!J131+'Financial Statement4'!J146+'Financial Statement4'!J149+'Financial Statement4'!J150)*$I$5/$I$6</f>
        <v>0</v>
      </c>
      <c r="C42" s="681" t="str">
        <f t="shared" si="4"/>
        <v/>
      </c>
      <c r="D42" s="761">
        <f>('Financial Statement4'!I129+'Financial Statement4'!I130+'Financial Statement4'!I131+'Financial Statement4'!I146+'Financial Statement4'!I149+'Financial Statement4'!I150)*$I$5/$I$6</f>
        <v>0</v>
      </c>
      <c r="E42" s="681" t="str">
        <f t="shared" si="5"/>
        <v/>
      </c>
      <c r="F42" s="761">
        <f>('Financial Statement4'!H129+'Financial Statement4'!H130+'Financial Statement4'!H131+'Financial Statement4'!H146+'Financial Statement4'!H149+'Financial Statement4'!H150)*$I$5/$I$6</f>
        <v>0</v>
      </c>
      <c r="G42" s="681" t="str">
        <f t="shared" si="6"/>
        <v/>
      </c>
      <c r="H42" s="761">
        <f>('Financial Statement4'!G129+'Financial Statement4'!G130+'Financial Statement4'!G131+'Financial Statement4'!G146+'Financial Statement4'!G149+'Financial Statement4'!G150)*$I$5/$I$6</f>
        <v>0</v>
      </c>
    </row>
    <row r="43" spans="1:10" ht="31.5">
      <c r="A43" s="651" t="s">
        <v>33</v>
      </c>
      <c r="B43" s="761">
        <f>('Financial Statement4'!J127+'Financial Statement4'!J128+'Financial Statement4'!J147+'Financial Statement4'!J148)*$I$5/$I$6</f>
        <v>0</v>
      </c>
      <c r="C43" s="681" t="str">
        <f>IFERROR((B43-D43)/D43*100,"")</f>
        <v/>
      </c>
      <c r="D43" s="761">
        <f>('Financial Statement4'!I127+'Financial Statement4'!I128+'Financial Statement4'!I147+'Financial Statement4'!I148)*$I$5/$I$6</f>
        <v>0</v>
      </c>
      <c r="E43" s="681" t="str">
        <f t="shared" si="5"/>
        <v/>
      </c>
      <c r="F43" s="761">
        <f>('Financial Statement4'!H127+'Financial Statement4'!H128+'Financial Statement4'!H147+'Financial Statement4'!H148)*$I$5/$I$6</f>
        <v>0</v>
      </c>
      <c r="G43" s="681" t="str">
        <f t="shared" si="6"/>
        <v/>
      </c>
      <c r="H43" s="761">
        <f>('Financial Statement4'!G127+'Financial Statement4'!G128+'Financial Statement4'!G147+'Financial Statement4'!G148)*$I$5/$I$6</f>
        <v>0</v>
      </c>
    </row>
    <row r="44" spans="1:10" ht="15.75">
      <c r="A44" s="652" t="s">
        <v>34</v>
      </c>
      <c r="B44" s="711">
        <f>B45+B46</f>
        <v>0</v>
      </c>
      <c r="C44" s="712" t="str">
        <f t="shared" si="4"/>
        <v/>
      </c>
      <c r="D44" s="711">
        <f>D45+D46</f>
        <v>0</v>
      </c>
      <c r="E44" s="712" t="str">
        <f t="shared" si="5"/>
        <v/>
      </c>
      <c r="F44" s="711">
        <f>F45+F46</f>
        <v>0</v>
      </c>
      <c r="G44" s="712" t="str">
        <f t="shared" si="6"/>
        <v/>
      </c>
      <c r="H44" s="711">
        <f>H45+H46</f>
        <v>0</v>
      </c>
    </row>
    <row r="45" spans="1:10" ht="15.75">
      <c r="A45" s="653" t="s">
        <v>35</v>
      </c>
      <c r="B45" s="761">
        <f>'Financial Statement4'!J158*$I$5/$I$6</f>
        <v>0</v>
      </c>
      <c r="C45" s="681" t="str">
        <f t="shared" si="4"/>
        <v/>
      </c>
      <c r="D45" s="761">
        <f>'Financial Statement4'!I158*$I$5/$I$6</f>
        <v>0</v>
      </c>
      <c r="E45" s="681" t="str">
        <f t="shared" si="5"/>
        <v/>
      </c>
      <c r="F45" s="761">
        <f>'Financial Statement4'!H158*$I$5/$I$6</f>
        <v>0</v>
      </c>
      <c r="G45" s="681" t="str">
        <f t="shared" si="6"/>
        <v/>
      </c>
      <c r="H45" s="761">
        <f>'Financial Statement4'!G158*$I$5/$I$6</f>
        <v>0</v>
      </c>
    </row>
    <row r="46" spans="1:10" ht="15.75">
      <c r="A46" s="648" t="s">
        <v>36</v>
      </c>
      <c r="B46" s="761">
        <f>('Financial Statement4'!J132+'Financial Statement4'!J133+'Financial Statement4'!J136+'Financial Statement4'!J139+'Financial Statement4'!J151+'Financial Statement4'!J156+'Financial Statement4'!J159+'Financial Statement4'!J160)*$I$5/$I$6</f>
        <v>0</v>
      </c>
      <c r="C46" s="681" t="str">
        <f t="shared" si="4"/>
        <v/>
      </c>
      <c r="D46" s="761">
        <f>('Financial Statement4'!I132+'Financial Statement4'!I133+'Financial Statement4'!I136+'Financial Statement4'!I139+'Financial Statement4'!I151+'Financial Statement4'!I156+'Financial Statement4'!I159+'Financial Statement4'!I160)*$I$5/$I$6</f>
        <v>0</v>
      </c>
      <c r="E46" s="681" t="str">
        <f t="shared" si="5"/>
        <v/>
      </c>
      <c r="F46" s="761">
        <f>('Financial Statement4'!H132+'Financial Statement4'!H133+'Financial Statement4'!H136+'Financial Statement4'!H139+'Financial Statement4'!H151+'Financial Statement4'!H156+'Financial Statement4'!H159+'Financial Statement4'!H160)*$I$5/$I$6</f>
        <v>0</v>
      </c>
      <c r="G46" s="681" t="str">
        <f t="shared" si="6"/>
        <v/>
      </c>
      <c r="H46" s="761">
        <f>('Financial Statement4'!G132+'Financial Statement4'!G133+'Financial Statement4'!G136+'Financial Statement4'!G139+'Financial Statement4'!G151+'Financial Statement4'!G156+'Financial Statement4'!G159+'Financial Statement4'!G160)*$I$5/$I$6</f>
        <v>0</v>
      </c>
    </row>
    <row r="47" spans="1:10" ht="15.75">
      <c r="A47" s="654" t="s">
        <v>37</v>
      </c>
      <c r="B47" s="713">
        <f>B41+B42+B44</f>
        <v>0</v>
      </c>
      <c r="C47" s="710" t="str">
        <f t="shared" si="4"/>
        <v/>
      </c>
      <c r="D47" s="713">
        <f>D41+D42+D44</f>
        <v>0</v>
      </c>
      <c r="E47" s="710" t="str">
        <f t="shared" si="5"/>
        <v/>
      </c>
      <c r="F47" s="713">
        <f>F41+F42+F44</f>
        <v>0</v>
      </c>
      <c r="G47" s="710" t="str">
        <f t="shared" si="6"/>
        <v/>
      </c>
      <c r="H47" s="713">
        <f>H41+H42+H44</f>
        <v>0</v>
      </c>
    </row>
    <row r="48" spans="1:10" ht="15.75">
      <c r="A48" s="655" t="s">
        <v>38</v>
      </c>
      <c r="B48" s="714">
        <f>B36+B37+B41+B42+B43+B44</f>
        <v>0</v>
      </c>
      <c r="C48" s="715" t="str">
        <f t="shared" si="4"/>
        <v/>
      </c>
      <c r="D48" s="714">
        <f>D36+D37+D41+D42+D43+D44</f>
        <v>0</v>
      </c>
      <c r="E48" s="715" t="str">
        <f t="shared" si="5"/>
        <v/>
      </c>
      <c r="F48" s="714">
        <f>F36+F37+F41+F42+F43+F44</f>
        <v>0</v>
      </c>
      <c r="G48" s="715" t="str">
        <f t="shared" si="6"/>
        <v/>
      </c>
      <c r="H48" s="714">
        <f>H36+H37+H41+H42+H43+H44</f>
        <v>0</v>
      </c>
    </row>
    <row r="49" spans="1:8" ht="15.75">
      <c r="A49" s="651" t="s">
        <v>39</v>
      </c>
      <c r="B49" s="761">
        <f>'Financial Statement4'!J166*$I$5/$I$6</f>
        <v>0</v>
      </c>
      <c r="C49" s="681" t="str">
        <f t="shared" si="4"/>
        <v/>
      </c>
      <c r="D49" s="761">
        <f>'Financial Statement4'!I166*$I$5/$I$6</f>
        <v>0</v>
      </c>
      <c r="E49" s="681" t="str">
        <f t="shared" si="5"/>
        <v/>
      </c>
      <c r="F49" s="761">
        <f>'Financial Statement4'!H166*$I$5/$I$6</f>
        <v>0</v>
      </c>
      <c r="G49" s="681" t="str">
        <f t="shared" si="6"/>
        <v/>
      </c>
      <c r="H49" s="761">
        <f>'Financial Statement4'!G166*$I$5/$I$6</f>
        <v>0</v>
      </c>
    </row>
    <row r="50" spans="1:8" ht="15.75">
      <c r="A50" s="656" t="s">
        <v>40</v>
      </c>
      <c r="B50" s="713">
        <f>B51+B53+B52</f>
        <v>0</v>
      </c>
      <c r="C50" s="710" t="str">
        <f t="shared" si="4"/>
        <v/>
      </c>
      <c r="D50" s="713">
        <f>D51+D53+D52</f>
        <v>0</v>
      </c>
      <c r="E50" s="710" t="str">
        <f t="shared" si="5"/>
        <v/>
      </c>
      <c r="F50" s="713">
        <f>F51+F53+F52</f>
        <v>0</v>
      </c>
      <c r="G50" s="710" t="str">
        <f t="shared" si="6"/>
        <v/>
      </c>
      <c r="H50" s="713">
        <f>H51+H53+H52</f>
        <v>0</v>
      </c>
    </row>
    <row r="51" spans="1:8" ht="15.75">
      <c r="A51" s="657" t="s">
        <v>41</v>
      </c>
      <c r="B51" s="761">
        <f>('Financial Statement4'!J177+'Financial Statement4'!J178+'Financial Statement4'!J196+'Financial Statement4'!J199)*$I$5/$I$6</f>
        <v>0</v>
      </c>
      <c r="C51" s="681" t="str">
        <f t="shared" si="4"/>
        <v/>
      </c>
      <c r="D51" s="761">
        <f>('Financial Statement4'!I177+'Financial Statement4'!I178+'Financial Statement4'!I196+'Financial Statement4'!I199)*$I$5/$I$6</f>
        <v>0</v>
      </c>
      <c r="E51" s="681" t="str">
        <f t="shared" si="5"/>
        <v/>
      </c>
      <c r="F51" s="761">
        <f>('Financial Statement4'!H177+'Financial Statement4'!H178+'Financial Statement4'!H196+'Financial Statement4'!H199)*$I$5/$I$6</f>
        <v>0</v>
      </c>
      <c r="G51" s="681" t="str">
        <f t="shared" si="6"/>
        <v/>
      </c>
      <c r="H51" s="761">
        <f>('Financial Statement4'!G177+'Financial Statement4'!G178+'Financial Statement4'!G196+'Financial Statement4'!G199)*$I$5/$I$6</f>
        <v>0</v>
      </c>
    </row>
    <row r="52" spans="1:8" ht="15.75">
      <c r="A52" s="657" t="s">
        <v>42</v>
      </c>
      <c r="B52" s="761">
        <f>('Financial Statement4'!J179+'Financial Statement4'!J200)*$I$5/$I$6</f>
        <v>0</v>
      </c>
      <c r="C52" s="681" t="str">
        <f t="shared" si="4"/>
        <v/>
      </c>
      <c r="D52" s="761">
        <f>('Financial Statement4'!I179+'Financial Statement4'!I200)*$I$5/$I$6</f>
        <v>0</v>
      </c>
      <c r="E52" s="681" t="str">
        <f t="shared" si="5"/>
        <v/>
      </c>
      <c r="F52" s="761">
        <f>('Financial Statement4'!H179+'Financial Statement4'!H200)*$I$5/$I$6</f>
        <v>0</v>
      </c>
      <c r="G52" s="681" t="str">
        <f t="shared" si="6"/>
        <v/>
      </c>
      <c r="H52" s="761">
        <f>('Financial Statement4'!G179+'Financial Statement4'!G200)*$I$5/$I$6</f>
        <v>0</v>
      </c>
    </row>
    <row r="53" spans="1:8" ht="15.75">
      <c r="A53" s="657" t="s">
        <v>43</v>
      </c>
      <c r="B53" s="761">
        <f>('Financial Statement4'!J201+'Financial Statement4'!J180)*$I$5/$I$6</f>
        <v>0</v>
      </c>
      <c r="C53" s="681" t="str">
        <f t="shared" si="4"/>
        <v/>
      </c>
      <c r="D53" s="761">
        <f>('Financial Statement4'!I201+'Financial Statement4'!I180)*$I$5/$I$6</f>
        <v>0</v>
      </c>
      <c r="E53" s="681" t="str">
        <f t="shared" si="5"/>
        <v/>
      </c>
      <c r="F53" s="761">
        <f>('Financial Statement4'!H201+'Financial Statement4'!H180)*$I$5/$I$6</f>
        <v>0</v>
      </c>
      <c r="G53" s="681" t="str">
        <f t="shared" si="6"/>
        <v/>
      </c>
      <c r="H53" s="761">
        <f>('Financial Statement4'!G201+'Financial Statement4'!G180)*$I$5/$I$6</f>
        <v>0</v>
      </c>
    </row>
    <row r="54" spans="1:8" ht="15.75">
      <c r="A54" s="658" t="s">
        <v>44</v>
      </c>
      <c r="B54" s="711">
        <f>B56+B57+B60+B61+B55</f>
        <v>0</v>
      </c>
      <c r="C54" s="712" t="str">
        <f t="shared" si="4"/>
        <v/>
      </c>
      <c r="D54" s="711">
        <f>D56+D57+D60+D61+D55</f>
        <v>0</v>
      </c>
      <c r="E54" s="712" t="str">
        <f t="shared" si="5"/>
        <v/>
      </c>
      <c r="F54" s="711">
        <f>F56+F57+F60+F61+F55</f>
        <v>0</v>
      </c>
      <c r="G54" s="712" t="str">
        <f t="shared" si="6"/>
        <v/>
      </c>
      <c r="H54" s="711">
        <f>H56+H57+H60+H61+H55</f>
        <v>0</v>
      </c>
    </row>
    <row r="55" spans="1:8" ht="15.75">
      <c r="A55" s="659" t="s">
        <v>45</v>
      </c>
      <c r="B55" s="761">
        <f>'Financial Statement4'!J187*$I$5/$I$6</f>
        <v>0</v>
      </c>
      <c r="C55" s="681" t="str">
        <f t="shared" si="4"/>
        <v/>
      </c>
      <c r="D55" s="761">
        <f>'Financial Statement4'!I187*$I$5/$I$6</f>
        <v>0</v>
      </c>
      <c r="E55" s="681" t="str">
        <f t="shared" si="5"/>
        <v/>
      </c>
      <c r="F55" s="761">
        <f>'Financial Statement4'!H187*$I$5/$I$6</f>
        <v>0</v>
      </c>
      <c r="G55" s="681" t="str">
        <f t="shared" si="6"/>
        <v/>
      </c>
      <c r="H55" s="761">
        <f>'Financial Statement4'!G187*$I$5/$I$6</f>
        <v>0</v>
      </c>
    </row>
    <row r="56" spans="1:8" ht="15.75">
      <c r="A56" s="651" t="s">
        <v>46</v>
      </c>
      <c r="B56" s="761">
        <f>'Financial Statement4'!J202*$I$5/$I$6</f>
        <v>0</v>
      </c>
      <c r="C56" s="681" t="str">
        <f t="shared" si="4"/>
        <v/>
      </c>
      <c r="D56" s="761">
        <f>'Financial Statement4'!I202*$I$5/$I$6</f>
        <v>0</v>
      </c>
      <c r="E56" s="681" t="str">
        <f t="shared" si="5"/>
        <v/>
      </c>
      <c r="F56" s="761">
        <f>'Financial Statement4'!H202*$I$5/$I$6</f>
        <v>0</v>
      </c>
      <c r="G56" s="681" t="str">
        <f t="shared" si="6"/>
        <v/>
      </c>
      <c r="H56" s="761">
        <f>'Financial Statement4'!G202*$I$5/$I$6</f>
        <v>0</v>
      </c>
    </row>
    <row r="57" spans="1:8" ht="15.75">
      <c r="A57" s="660" t="s">
        <v>47</v>
      </c>
      <c r="B57" s="716">
        <f>B58+B59</f>
        <v>0</v>
      </c>
      <c r="C57" s="710" t="str">
        <f t="shared" si="4"/>
        <v/>
      </c>
      <c r="D57" s="716">
        <f>D58+D59</f>
        <v>0</v>
      </c>
      <c r="E57" s="710" t="str">
        <f t="shared" si="5"/>
        <v/>
      </c>
      <c r="F57" s="716">
        <f>F58+F59</f>
        <v>0</v>
      </c>
      <c r="G57" s="710" t="str">
        <f t="shared" si="6"/>
        <v/>
      </c>
      <c r="H57" s="716">
        <f>H58+H59</f>
        <v>0</v>
      </c>
    </row>
    <row r="58" spans="1:8" ht="15.75">
      <c r="A58" s="651" t="s">
        <v>48</v>
      </c>
      <c r="B58" s="761">
        <f>'Financial Statement4'!J209*$I$5/$I$6</f>
        <v>0</v>
      </c>
      <c r="C58" s="681" t="str">
        <f t="shared" si="4"/>
        <v/>
      </c>
      <c r="D58" s="761">
        <f>'Financial Statement4'!I209*$I$5/$I$6</f>
        <v>0</v>
      </c>
      <c r="E58" s="681" t="str">
        <f t="shared" si="5"/>
        <v/>
      </c>
      <c r="F58" s="761">
        <f>'Financial Statement4'!H209*$I$5/$I$6</f>
        <v>0</v>
      </c>
      <c r="G58" s="681" t="str">
        <f t="shared" si="6"/>
        <v/>
      </c>
      <c r="H58" s="761">
        <f>'Financial Statement4'!G209*$I$5/$I$6</f>
        <v>0</v>
      </c>
    </row>
    <row r="59" spans="1:8" ht="15.75">
      <c r="A59" s="651" t="s">
        <v>49</v>
      </c>
      <c r="B59" s="761">
        <f>'Financial Statement4'!J208*$I$5/$I$6</f>
        <v>0</v>
      </c>
      <c r="C59" s="681" t="str">
        <f t="shared" si="4"/>
        <v/>
      </c>
      <c r="D59" s="761">
        <f>'Financial Statement4'!I208*$I$5/$I$6</f>
        <v>0</v>
      </c>
      <c r="E59" s="681" t="str">
        <f t="shared" si="5"/>
        <v/>
      </c>
      <c r="F59" s="761">
        <f>'Financial Statement4'!H208*$I$5/$I$6</f>
        <v>0</v>
      </c>
      <c r="G59" s="681" t="str">
        <f t="shared" si="6"/>
        <v/>
      </c>
      <c r="H59" s="761">
        <f>'Financial Statement4'!G208*$I$5/$I$6</f>
        <v>0</v>
      </c>
    </row>
    <row r="60" spans="1:8" ht="15.75">
      <c r="A60" s="651" t="s">
        <v>50</v>
      </c>
      <c r="B60" s="761">
        <f>'Financial Statement4'!J212*$I$5/$I$6</f>
        <v>0</v>
      </c>
      <c r="C60" s="681" t="str">
        <f t="shared" si="4"/>
        <v/>
      </c>
      <c r="D60" s="761">
        <f>'Financial Statement4'!I212*$I$5/$I$6</f>
        <v>0</v>
      </c>
      <c r="E60" s="681" t="str">
        <f t="shared" si="5"/>
        <v/>
      </c>
      <c r="F60" s="761">
        <f>'Financial Statement4'!H212*$I$5/$I$6</f>
        <v>0</v>
      </c>
      <c r="G60" s="681" t="str">
        <f t="shared" si="6"/>
        <v/>
      </c>
      <c r="H60" s="761">
        <f>'Financial Statement4'!G212*$I$5/$I$6</f>
        <v>0</v>
      </c>
    </row>
    <row r="61" spans="1:8" ht="15.75">
      <c r="A61" s="661" t="s">
        <v>51</v>
      </c>
      <c r="B61" s="717">
        <f>B62+B63</f>
        <v>0</v>
      </c>
      <c r="C61" s="710" t="str">
        <f t="shared" si="4"/>
        <v/>
      </c>
      <c r="D61" s="717">
        <f>D62+D63</f>
        <v>0</v>
      </c>
      <c r="E61" s="710" t="str">
        <f t="shared" si="5"/>
        <v/>
      </c>
      <c r="F61" s="717">
        <f>F62+F63</f>
        <v>0</v>
      </c>
      <c r="G61" s="710" t="str">
        <f t="shared" si="6"/>
        <v/>
      </c>
      <c r="H61" s="717">
        <f>H62+H63</f>
        <v>0</v>
      </c>
    </row>
    <row r="62" spans="1:8" ht="31.5">
      <c r="A62" s="648" t="s">
        <v>52</v>
      </c>
      <c r="B62" s="761">
        <f>('Financial Statement4'!J182+'Financial Statement4'!J214)*$I$5/$I$6</f>
        <v>0</v>
      </c>
      <c r="C62" s="681" t="str">
        <f t="shared" si="4"/>
        <v/>
      </c>
      <c r="D62" s="761">
        <f>('Financial Statement4'!I182+'Financial Statement4'!I214)*$I$5/$I$6</f>
        <v>0</v>
      </c>
      <c r="E62" s="681" t="str">
        <f t="shared" si="5"/>
        <v/>
      </c>
      <c r="F62" s="761">
        <f>('Financial Statement4'!H182+'Financial Statement4'!H214)*$I$5/$I$6</f>
        <v>0</v>
      </c>
      <c r="G62" s="681" t="str">
        <f t="shared" si="6"/>
        <v/>
      </c>
      <c r="H62" s="761">
        <f>('Financial Statement4'!G182+'Financial Statement4'!G214)*$I$5/$I$6</f>
        <v>0</v>
      </c>
    </row>
    <row r="63" spans="1:8" ht="15.75">
      <c r="A63" s="648" t="s">
        <v>53</v>
      </c>
      <c r="B63" s="761">
        <f>('Financial Statement4'!J186+'Financial Statement4'!J218)*$I$5/$I$6</f>
        <v>0</v>
      </c>
      <c r="C63" s="681" t="str">
        <f t="shared" si="4"/>
        <v/>
      </c>
      <c r="D63" s="761">
        <f>('Financial Statement4'!I186+'Financial Statement4'!I218)*$I$5/$I$6</f>
        <v>0</v>
      </c>
      <c r="E63" s="681" t="str">
        <f t="shared" si="5"/>
        <v/>
      </c>
      <c r="F63" s="761">
        <f>('Financial Statement4'!H186+'Financial Statement4'!H218)*$I$5/$I$6</f>
        <v>0</v>
      </c>
      <c r="G63" s="681" t="str">
        <f t="shared" si="6"/>
        <v/>
      </c>
      <c r="H63" s="761">
        <f>('Financial Statement4'!G186+'Financial Statement4'!G218)*$I$5/$I$6</f>
        <v>0</v>
      </c>
    </row>
    <row r="64" spans="1:8" ht="31.5">
      <c r="A64" s="648" t="s">
        <v>54</v>
      </c>
      <c r="B64" s="761">
        <f>('Financial Statement4'!J188+'Financial Statement4'!J219)*$I$5/$I$6</f>
        <v>0</v>
      </c>
      <c r="C64" s="681" t="str">
        <f t="shared" si="4"/>
        <v/>
      </c>
      <c r="D64" s="761">
        <f>('Financial Statement4'!I188+'Financial Statement4'!I219)*$I$5/$I$6</f>
        <v>0</v>
      </c>
      <c r="E64" s="681" t="str">
        <f t="shared" si="5"/>
        <v/>
      </c>
      <c r="F64" s="761">
        <f>('Financial Statement4'!H188+'Financial Statement4'!H219)*$I$5/$I$6</f>
        <v>0</v>
      </c>
      <c r="G64" s="681" t="str">
        <f t="shared" si="6"/>
        <v/>
      </c>
      <c r="H64" s="761">
        <f>('Financial Statement4'!G188+'Financial Statement4'!G219)*$I$5/$I$6</f>
        <v>0</v>
      </c>
    </row>
    <row r="65" spans="1:9" ht="15.75">
      <c r="A65" s="655" t="s">
        <v>38</v>
      </c>
      <c r="B65" s="718">
        <f>B49+B50+B54+B64</f>
        <v>0</v>
      </c>
      <c r="C65" s="715" t="str">
        <f t="shared" si="4"/>
        <v/>
      </c>
      <c r="D65" s="718">
        <f>D49+D50+D54+D64</f>
        <v>0</v>
      </c>
      <c r="E65" s="715" t="str">
        <f t="shared" si="5"/>
        <v/>
      </c>
      <c r="F65" s="718">
        <f>F49+F50+F54+F64</f>
        <v>0</v>
      </c>
      <c r="G65" s="715" t="str">
        <f t="shared" si="6"/>
        <v/>
      </c>
      <c r="H65" s="718">
        <f>H49+H50+H54+H64</f>
        <v>0</v>
      </c>
      <c r="I65" s="704"/>
    </row>
    <row r="66" spans="1:9" ht="15.75">
      <c r="A66" s="662"/>
      <c r="B66" s="719"/>
      <c r="C66" s="719"/>
      <c r="D66" s="719"/>
      <c r="E66" s="719"/>
      <c r="F66" s="719"/>
      <c r="G66" s="719"/>
      <c r="H66" s="719"/>
    </row>
    <row r="67" spans="1:9" ht="12.75">
      <c r="A67" s="1161" t="s">
        <v>55</v>
      </c>
      <c r="B67" s="1161"/>
      <c r="C67" s="1161"/>
      <c r="D67" s="1161"/>
      <c r="E67" s="1161"/>
      <c r="F67" s="1161"/>
      <c r="G67" s="1161"/>
      <c r="H67" s="1161"/>
    </row>
    <row r="68" spans="1:9" ht="12.75">
      <c r="A68" s="1161"/>
      <c r="B68" s="1161"/>
      <c r="C68" s="1161"/>
      <c r="D68" s="1161"/>
      <c r="E68" s="1161"/>
      <c r="F68" s="1161"/>
      <c r="G68" s="1161"/>
      <c r="H68" s="1161"/>
    </row>
    <row r="69" spans="1:9" ht="15.75">
      <c r="A69" s="663" t="s">
        <v>56</v>
      </c>
      <c r="B69" s="720" t="str">
        <f>IFERROR(B57/B5*365,"-")</f>
        <v>-</v>
      </c>
      <c r="C69" s="721"/>
      <c r="D69" s="720" t="str">
        <f>IFERROR(D57/D5*365,"-")</f>
        <v>-</v>
      </c>
      <c r="E69" s="721"/>
      <c r="F69" s="720" t="str">
        <f>IFERROR(F57/F5*365,"-")</f>
        <v>-</v>
      </c>
      <c r="G69" s="721"/>
      <c r="H69" s="720" t="str">
        <f>IFERROR(H57/H5*365,"-")</f>
        <v>-</v>
      </c>
    </row>
    <row r="70" spans="1:9" ht="15.75">
      <c r="A70" s="663" t="s">
        <v>57</v>
      </c>
      <c r="B70" s="720" t="str">
        <f>IFERROR(B56/(B10+B11+B12)*365,"-")</f>
        <v>-</v>
      </c>
      <c r="C70" s="721"/>
      <c r="D70" s="720" t="str">
        <f>IFERROR(D56/(D10+D11+D12)*365,"-")</f>
        <v>-</v>
      </c>
      <c r="E70" s="721"/>
      <c r="F70" s="720" t="str">
        <f>IFERROR(F56/(F10+F11+F12)*365,"-")</f>
        <v>-</v>
      </c>
      <c r="G70" s="721"/>
      <c r="H70" s="720" t="str">
        <f>IFERROR(H56/(H10+H11+H12)*365,"-")</f>
        <v>-</v>
      </c>
    </row>
    <row r="71" spans="1:9" ht="15.75">
      <c r="A71" s="663" t="s">
        <v>58</v>
      </c>
      <c r="B71" s="720" t="str">
        <f>IFERROR(B56/(B11+B10+B12),"-")</f>
        <v>-</v>
      </c>
      <c r="C71" s="721"/>
      <c r="D71" s="720" t="str">
        <f>IFERROR(D56/(D11+D10+D12),"-")</f>
        <v>-</v>
      </c>
      <c r="E71" s="721"/>
      <c r="F71" s="720" t="str">
        <f>IFERROR(F56/(F11+F10+F12),"-")</f>
        <v>-</v>
      </c>
      <c r="G71" s="721"/>
      <c r="H71" s="720" t="str">
        <f>IFERROR(H56/(H11+H10+H12),"-")</f>
        <v>-</v>
      </c>
    </row>
    <row r="72" spans="1:9" ht="15.75">
      <c r="A72" s="663" t="s">
        <v>59</v>
      </c>
      <c r="B72" s="720" t="str">
        <f>IFERROR(B54/(B44+B40),"-")</f>
        <v>-</v>
      </c>
      <c r="C72" s="721"/>
      <c r="D72" s="720" t="str">
        <f>IFERROR(D54/(D44+D40),"-")</f>
        <v>-</v>
      </c>
      <c r="E72" s="721"/>
      <c r="F72" s="720" t="str">
        <f>IFERROR(F54/(F44+F40),"-")</f>
        <v>-</v>
      </c>
      <c r="G72" s="721"/>
      <c r="H72" s="720" t="str">
        <f>IFERROR(H54/(H44+H40),"-")</f>
        <v>-</v>
      </c>
    </row>
    <row r="73" spans="1:9" ht="15.75">
      <c r="A73" s="663" t="s">
        <v>60</v>
      </c>
      <c r="B73" s="720" t="str">
        <f>IFERROR((B54-B56)/(B44+B40),"-")</f>
        <v>-</v>
      </c>
      <c r="C73" s="721"/>
      <c r="D73" s="720" t="str">
        <f>IFERROR((D54-D56)/(D44+D40),"-")</f>
        <v>-</v>
      </c>
      <c r="E73" s="721"/>
      <c r="F73" s="720" t="str">
        <f>IFERROR((F54-F56)/(F44+F40),"-")</f>
        <v>-</v>
      </c>
      <c r="G73" s="721"/>
      <c r="H73" s="720" t="str">
        <f>IFERROR((H54-H56)/(H44+H40),"-")</f>
        <v>-</v>
      </c>
    </row>
    <row r="74" spans="1:9" ht="15.75">
      <c r="A74" s="663" t="s">
        <v>61</v>
      </c>
      <c r="B74" s="720" t="str">
        <f>IFERROR((B39+B40+B42)/B36,"-")</f>
        <v>-</v>
      </c>
      <c r="C74" s="721"/>
      <c r="D74" s="720" t="str">
        <f>IFERROR((D39+D40+D42)/D36,"-")</f>
        <v>-</v>
      </c>
      <c r="E74" s="721"/>
      <c r="F74" s="720" t="str">
        <f>IFERROR((F39+F40+F42)/F36,"-")</f>
        <v>-</v>
      </c>
      <c r="G74" s="721"/>
      <c r="H74" s="720" t="str">
        <f>IFERROR((H39+H40+H42)/H36,"-")</f>
        <v>-</v>
      </c>
    </row>
    <row r="75" spans="1:9" ht="15.75">
      <c r="A75" s="663" t="s">
        <v>62</v>
      </c>
      <c r="B75" s="720" t="str">
        <f>IFERROR(B16/(B18+B19+B20+B21),"-")</f>
        <v>-</v>
      </c>
      <c r="C75" s="721"/>
      <c r="D75" s="720" t="str">
        <f>IFERROR(D16/(D18+D19+D20+D21),"-")</f>
        <v>-</v>
      </c>
      <c r="E75" s="721"/>
      <c r="F75" s="720" t="str">
        <f>IFERROR(F16/(F18+F19+F20+F21),"-")</f>
        <v>-</v>
      </c>
      <c r="G75" s="721"/>
      <c r="H75" s="720" t="str">
        <f>IFERROR(H16/(H18+H19+H20+H21),"-")</f>
        <v>-</v>
      </c>
    </row>
    <row r="76" spans="1:9" ht="15.75">
      <c r="A76" s="663" t="s">
        <v>63</v>
      </c>
      <c r="B76" s="720" t="str">
        <f>IFERROR($B$16/($B$18+$B$19+$B$20+$B$21+($B$39+$B$42)/5),"-")</f>
        <v>-</v>
      </c>
      <c r="C76" s="721"/>
      <c r="D76" s="720" t="str">
        <f>IFERROR($D$16/($D$18+$D$19+$D$20+$D$21+($D$39+$D$42)/5),"-")</f>
        <v>-</v>
      </c>
      <c r="E76" s="721"/>
      <c r="F76" s="720" t="str">
        <f>IFERROR($F$16/($F$18+$F$19+$F$20+$F$21+($F$39+$F$42)/5),"-")</f>
        <v>-</v>
      </c>
      <c r="G76" s="721"/>
      <c r="H76" s="720" t="str">
        <f>IFERROR($H$16/($H$18+$H$19+$H$20+$H$21+($H$39+$H$42)/5),"-")</f>
        <v>-</v>
      </c>
    </row>
    <row r="77" spans="1:9" ht="15.75">
      <c r="A77" s="663" t="s">
        <v>64</v>
      </c>
      <c r="B77" s="720" t="str">
        <f>IFERROR($B$16/($B$18+$B$19+$B$20+$B$21+($B$39+$B$42)/5+Eligibility!F38),"-")</f>
        <v>-</v>
      </c>
      <c r="C77" s="721"/>
      <c r="D77" s="720" t="str">
        <f>IFERROR($D$16/($D$18+$D$19+$D$20+$D$21+($D$39+$D$42)/5),"-")</f>
        <v>-</v>
      </c>
      <c r="E77" s="721"/>
      <c r="F77" s="720" t="str">
        <f>IFERROR($F$16/($F$18+$F$19+$F$20+$F$21+($F$39+$F$42)/5),"-")</f>
        <v>-</v>
      </c>
      <c r="G77" s="721"/>
      <c r="H77" s="720" t="str">
        <f>IFERROR($H$16/($H$18+$H$19+$H$20+$H$21+($H$39+$H$42)/5),"-")</f>
        <v>-</v>
      </c>
    </row>
    <row r="78" spans="1:9" ht="15.75">
      <c r="A78" s="663" t="s">
        <v>65</v>
      </c>
      <c r="B78" s="720" t="str">
        <f>IFERROR(B13/B5*100,"-")</f>
        <v>-</v>
      </c>
      <c r="C78" s="721"/>
      <c r="D78" s="720" t="str">
        <f>IFERROR(D13/D5*100,"-")</f>
        <v>-</v>
      </c>
      <c r="E78" s="721"/>
      <c r="F78" s="720" t="str">
        <f>IFERROR(F13/F5*100,"-")</f>
        <v>-</v>
      </c>
      <c r="G78" s="721"/>
      <c r="H78" s="720" t="str">
        <f>IFERROR(H13/H5*100,"-")</f>
        <v>-</v>
      </c>
    </row>
    <row r="79" spans="1:9" ht="15.75">
      <c r="A79" s="663" t="s">
        <v>66</v>
      </c>
      <c r="B79" s="720" t="str">
        <f>IFERROR(B25/B5*100,"-")</f>
        <v>-</v>
      </c>
      <c r="C79" s="721"/>
      <c r="D79" s="720" t="str">
        <f>IFERROR(D25/D5*100,"-")</f>
        <v>-</v>
      </c>
      <c r="E79" s="721"/>
      <c r="F79" s="720" t="str">
        <f>IFERROR(F25/F5*100,"-")</f>
        <v>-</v>
      </c>
      <c r="G79" s="721"/>
      <c r="H79" s="720" t="str">
        <f>IFERROR(H25/H5*100,"-")</f>
        <v>-</v>
      </c>
    </row>
    <row r="80" spans="1:9" ht="15.75">
      <c r="A80" s="663" t="s">
        <v>67</v>
      </c>
      <c r="B80" s="720" t="str">
        <f>IFERROR(B26/B5*100,"-")</f>
        <v>-</v>
      </c>
      <c r="C80" s="721"/>
      <c r="D80" s="720" t="str">
        <f>IFERROR(D26/D5*100,"-")</f>
        <v>-</v>
      </c>
      <c r="E80" s="721"/>
      <c r="F80" s="720" t="str">
        <f>IFERROR(F26/F5*100,"-")</f>
        <v>-</v>
      </c>
      <c r="G80" s="721"/>
      <c r="H80" s="720" t="str">
        <f>IFERROR(H26/H5*100,"-")</f>
        <v>-</v>
      </c>
    </row>
    <row r="81" spans="1:9" ht="15.75">
      <c r="A81" s="663" t="s">
        <v>68</v>
      </c>
      <c r="B81" s="720" t="str">
        <f>IFERROR((B5-D5)/D5*100,"-")</f>
        <v>-</v>
      </c>
      <c r="C81" s="722"/>
      <c r="D81" s="720" t="str">
        <f>IFERROR((D5-F5)/F5*100,"-")</f>
        <v>-</v>
      </c>
      <c r="E81" s="722"/>
      <c r="F81" s="723" t="e">
        <f>#N/A</f>
        <v>#N/A</v>
      </c>
      <c r="G81" s="722"/>
      <c r="H81" s="720" t="e">
        <f>#N/A</f>
        <v>#N/A</v>
      </c>
    </row>
    <row r="82" spans="1:9" ht="15.75">
      <c r="A82" s="663" t="s">
        <v>69</v>
      </c>
      <c r="B82" s="720" t="str">
        <f>IFERROR((B25-D25)/D25*100,"-")</f>
        <v>-</v>
      </c>
      <c r="C82" s="722"/>
      <c r="D82" s="720" t="str">
        <f>IFERROR((D25-F25)/F25*100,"-")</f>
        <v>-</v>
      </c>
      <c r="E82" s="722"/>
      <c r="F82" s="723" t="e">
        <f>#N/A</f>
        <v>#N/A</v>
      </c>
      <c r="G82" s="722"/>
      <c r="H82" s="720" t="e">
        <f>#N/A</f>
        <v>#N/A</v>
      </c>
    </row>
    <row r="83" spans="1:9" ht="15.75">
      <c r="A83" s="663"/>
      <c r="B83" s="724"/>
      <c r="C83" s="721"/>
      <c r="D83" s="724"/>
      <c r="E83" s="721"/>
      <c r="F83" s="724"/>
      <c r="G83" s="721"/>
      <c r="H83" s="720"/>
    </row>
    <row r="84" spans="1:9" ht="15.75">
      <c r="A84" s="664" t="s">
        <v>70</v>
      </c>
      <c r="B84" s="724"/>
      <c r="C84" s="721"/>
      <c r="D84" s="724"/>
      <c r="E84" s="721"/>
      <c r="F84" s="724"/>
      <c r="G84" s="721"/>
      <c r="H84" s="720"/>
    </row>
    <row r="85" spans="1:9" ht="15.75">
      <c r="A85" s="664"/>
      <c r="B85" s="724"/>
      <c r="C85" s="721"/>
      <c r="D85" s="724"/>
      <c r="E85" s="721"/>
      <c r="F85" s="724"/>
      <c r="G85" s="721"/>
      <c r="H85" s="720"/>
    </row>
    <row r="86" spans="1:9" ht="15.75">
      <c r="A86" s="663" t="s">
        <v>71</v>
      </c>
      <c r="B86" s="724">
        <f>B25</f>
        <v>0</v>
      </c>
      <c r="C86" s="721"/>
      <c r="D86" s="724">
        <f>D25</f>
        <v>0</v>
      </c>
      <c r="E86" s="721"/>
      <c r="F86" s="724">
        <f>F25</f>
        <v>0</v>
      </c>
      <c r="G86" s="721"/>
      <c r="H86" s="720">
        <f>H25</f>
        <v>0</v>
      </c>
    </row>
    <row r="87" spans="1:9" ht="15.75">
      <c r="A87" s="663" t="s">
        <v>72</v>
      </c>
      <c r="B87" s="724"/>
      <c r="C87" s="721"/>
      <c r="D87" s="724"/>
      <c r="E87" s="721"/>
      <c r="F87" s="724"/>
      <c r="G87" s="721"/>
      <c r="H87" s="720"/>
    </row>
    <row r="88" spans="1:9" ht="15.75">
      <c r="A88" s="663" t="s">
        <v>73</v>
      </c>
      <c r="B88" s="724">
        <f>B17</f>
        <v>0</v>
      </c>
      <c r="C88" s="721"/>
      <c r="D88" s="724">
        <f>D17</f>
        <v>0</v>
      </c>
      <c r="E88" s="721"/>
      <c r="F88" s="724">
        <f>F17</f>
        <v>0</v>
      </c>
      <c r="G88" s="721"/>
      <c r="H88" s="720">
        <f>H17</f>
        <v>0</v>
      </c>
    </row>
    <row r="89" spans="1:9" ht="15.75">
      <c r="A89" s="663" t="s">
        <v>74</v>
      </c>
      <c r="B89" s="724">
        <f>B22</f>
        <v>0</v>
      </c>
      <c r="C89" s="721"/>
      <c r="D89" s="724">
        <f>D22</f>
        <v>0</v>
      </c>
      <c r="E89" s="721"/>
      <c r="F89" s="724">
        <f>F22</f>
        <v>0</v>
      </c>
      <c r="G89" s="721"/>
      <c r="H89" s="720">
        <f>H22</f>
        <v>0</v>
      </c>
    </row>
    <row r="90" spans="1:9" ht="15.75">
      <c r="A90" s="663" t="s">
        <v>75</v>
      </c>
      <c r="B90" s="724">
        <f>B27</f>
        <v>0</v>
      </c>
      <c r="C90" s="721"/>
      <c r="D90" s="724">
        <f>D27</f>
        <v>0</v>
      </c>
      <c r="E90" s="721"/>
      <c r="F90" s="724">
        <f>F27</f>
        <v>0</v>
      </c>
      <c r="G90" s="721"/>
      <c r="H90" s="720">
        <f>H27</f>
        <v>0</v>
      </c>
    </row>
    <row r="91" spans="1:9" ht="15.75">
      <c r="A91" s="663" t="s">
        <v>76</v>
      </c>
      <c r="B91" s="724">
        <f>B28</f>
        <v>0</v>
      </c>
      <c r="C91" s="721"/>
      <c r="D91" s="724">
        <f>D28</f>
        <v>0</v>
      </c>
      <c r="E91" s="721"/>
      <c r="F91" s="724">
        <f>F28</f>
        <v>0</v>
      </c>
      <c r="G91" s="721"/>
      <c r="H91" s="720">
        <f>H28</f>
        <v>0</v>
      </c>
    </row>
    <row r="92" spans="1:9" ht="15.75">
      <c r="A92" s="663" t="s">
        <v>77</v>
      </c>
      <c r="B92" s="724">
        <f>B24</f>
        <v>0</v>
      </c>
      <c r="C92" s="721"/>
      <c r="D92" s="724">
        <f>D24</f>
        <v>0</v>
      </c>
      <c r="E92" s="721"/>
      <c r="F92" s="724">
        <f>F24</f>
        <v>0</v>
      </c>
      <c r="G92" s="721"/>
      <c r="H92" s="720">
        <f>H24</f>
        <v>0</v>
      </c>
    </row>
    <row r="93" spans="1:9" ht="15.75">
      <c r="A93" s="663" t="s">
        <v>78</v>
      </c>
      <c r="B93" s="724">
        <f>B18+B19+B20+B21</f>
        <v>0</v>
      </c>
      <c r="C93" s="721"/>
      <c r="D93" s="724">
        <f>D18+D19+D20+D21</f>
        <v>0</v>
      </c>
      <c r="E93" s="721"/>
      <c r="F93" s="724">
        <f>F18+F19+F20+F21</f>
        <v>0</v>
      </c>
      <c r="G93" s="721"/>
      <c r="H93" s="720">
        <f>H18+H19+H20+H21</f>
        <v>0</v>
      </c>
    </row>
    <row r="94" spans="1:9" ht="31.5">
      <c r="A94" s="665" t="s">
        <v>79</v>
      </c>
      <c r="B94" s="725">
        <f>-B7</f>
        <v>0</v>
      </c>
      <c r="C94" s="726"/>
      <c r="D94" s="725">
        <f>-D7</f>
        <v>0</v>
      </c>
      <c r="E94" s="726"/>
      <c r="F94" s="725">
        <f>-F7</f>
        <v>0</v>
      </c>
      <c r="G94" s="726"/>
      <c r="H94" s="727">
        <f>-H7</f>
        <v>0</v>
      </c>
      <c r="I94" s="704"/>
    </row>
    <row r="95" spans="1:9" ht="15.75">
      <c r="A95" s="665"/>
      <c r="B95" s="725"/>
      <c r="C95" s="726"/>
      <c r="D95" s="725"/>
      <c r="E95" s="726"/>
      <c r="F95" s="725"/>
      <c r="G95" s="726"/>
      <c r="H95" s="727"/>
      <c r="I95" s="704"/>
    </row>
    <row r="96" spans="1:9" ht="15.75">
      <c r="A96" s="663" t="s">
        <v>80</v>
      </c>
      <c r="B96" s="724">
        <f>SUM(B86:B94)</f>
        <v>0</v>
      </c>
      <c r="C96" s="721"/>
      <c r="D96" s="724">
        <f>SUM(D86:D94)</f>
        <v>0</v>
      </c>
      <c r="E96" s="721"/>
      <c r="F96" s="724">
        <f>SUM(F86:F94)</f>
        <v>0</v>
      </c>
      <c r="G96" s="721"/>
      <c r="H96" s="720">
        <f>SUM(H86:H94)</f>
        <v>0</v>
      </c>
    </row>
    <row r="97" spans="1:9" ht="15.75">
      <c r="A97" s="663" t="s">
        <v>81</v>
      </c>
      <c r="B97" s="724">
        <f>D57-B57</f>
        <v>0</v>
      </c>
      <c r="C97" s="721"/>
      <c r="D97" s="724">
        <f>F57-D57</f>
        <v>0</v>
      </c>
      <c r="E97" s="721"/>
      <c r="F97" s="724">
        <f>J57-F57</f>
        <v>0</v>
      </c>
      <c r="G97" s="721"/>
      <c r="H97" s="720">
        <f>L57-H57</f>
        <v>0</v>
      </c>
    </row>
    <row r="98" spans="1:9" ht="15.75">
      <c r="A98" s="663" t="s">
        <v>82</v>
      </c>
      <c r="B98" s="724">
        <f>D56-B56</f>
        <v>0</v>
      </c>
      <c r="C98" s="721"/>
      <c r="D98" s="724">
        <f>F56-D56</f>
        <v>0</v>
      </c>
      <c r="E98" s="721"/>
      <c r="F98" s="724">
        <f>J56-F56</f>
        <v>0</v>
      </c>
      <c r="G98" s="721"/>
      <c r="H98" s="720">
        <f>L56-H56</f>
        <v>0</v>
      </c>
    </row>
    <row r="99" spans="1:9" ht="15.75">
      <c r="A99" s="663" t="s">
        <v>83</v>
      </c>
      <c r="B99" s="724">
        <f>D61-B61</f>
        <v>0</v>
      </c>
      <c r="C99" s="721"/>
      <c r="D99" s="724">
        <f>F61-D61</f>
        <v>0</v>
      </c>
      <c r="E99" s="721"/>
      <c r="F99" s="724">
        <f>J61-F61</f>
        <v>0</v>
      </c>
      <c r="G99" s="721"/>
      <c r="H99" s="720">
        <f>L61-H61</f>
        <v>0</v>
      </c>
    </row>
    <row r="100" spans="1:9" ht="15.75">
      <c r="A100" s="663" t="s">
        <v>84</v>
      </c>
      <c r="B100" s="724">
        <f>B44-D44</f>
        <v>0</v>
      </c>
      <c r="C100" s="721"/>
      <c r="D100" s="724">
        <f>D44-F44</f>
        <v>0</v>
      </c>
      <c r="E100" s="721"/>
      <c r="F100" s="724">
        <f>F44-J44</f>
        <v>0</v>
      </c>
      <c r="G100" s="721"/>
      <c r="H100" s="720">
        <f>H44-L44</f>
        <v>0</v>
      </c>
    </row>
    <row r="101" spans="1:9" ht="15.75">
      <c r="A101" s="663" t="s">
        <v>85</v>
      </c>
      <c r="B101" s="724">
        <f>SUM(B97:B100)</f>
        <v>0</v>
      </c>
      <c r="C101" s="721"/>
      <c r="D101" s="724">
        <f>SUM(D97:D100)</f>
        <v>0</v>
      </c>
      <c r="E101" s="721"/>
      <c r="F101" s="724">
        <f>SUM(F97:F100)</f>
        <v>0</v>
      </c>
      <c r="G101" s="721"/>
      <c r="H101" s="720">
        <f>SUM(H97:H100)</f>
        <v>0</v>
      </c>
    </row>
    <row r="102" spans="1:9" ht="15.75">
      <c r="A102" s="664" t="s">
        <v>86</v>
      </c>
      <c r="B102" s="725">
        <f>B96+B101</f>
        <v>0</v>
      </c>
      <c r="C102" s="726"/>
      <c r="D102" s="725">
        <f>D96+D101</f>
        <v>0</v>
      </c>
      <c r="E102" s="726"/>
      <c r="F102" s="725">
        <f>F96+F101</f>
        <v>0</v>
      </c>
      <c r="G102" s="726"/>
      <c r="H102" s="727">
        <f>H96+H101</f>
        <v>0</v>
      </c>
      <c r="I102" s="704"/>
    </row>
    <row r="103" spans="1:9" ht="15.75">
      <c r="A103" s="664"/>
      <c r="B103" s="725"/>
      <c r="C103" s="726"/>
      <c r="D103" s="725"/>
      <c r="E103" s="726"/>
      <c r="F103" s="725"/>
      <c r="G103" s="726"/>
      <c r="H103" s="727"/>
      <c r="I103" s="704"/>
    </row>
    <row r="104" spans="1:9" ht="15.75">
      <c r="A104" s="663" t="s">
        <v>87</v>
      </c>
      <c r="B104" s="724">
        <f>B24</f>
        <v>0</v>
      </c>
      <c r="C104" s="721"/>
      <c r="D104" s="724">
        <f>D24</f>
        <v>0</v>
      </c>
      <c r="E104" s="721"/>
      <c r="F104" s="724">
        <f>F24</f>
        <v>0</v>
      </c>
      <c r="G104" s="721"/>
      <c r="H104" s="720">
        <f>H24</f>
        <v>0</v>
      </c>
    </row>
    <row r="105" spans="1:9" ht="15.75">
      <c r="A105" s="663"/>
      <c r="B105" s="724"/>
      <c r="C105" s="721"/>
      <c r="D105" s="724"/>
      <c r="E105" s="721"/>
      <c r="F105" s="724"/>
      <c r="G105" s="721"/>
      <c r="H105" s="720"/>
    </row>
    <row r="106" spans="1:9" ht="15.75">
      <c r="A106" s="664" t="s">
        <v>88</v>
      </c>
      <c r="B106" s="724">
        <f>B102-B104</f>
        <v>0</v>
      </c>
      <c r="C106" s="721"/>
      <c r="D106" s="724">
        <f>D102-D104</f>
        <v>0</v>
      </c>
      <c r="E106" s="721"/>
      <c r="F106" s="724">
        <f>F102-F104</f>
        <v>0</v>
      </c>
      <c r="G106" s="721"/>
      <c r="H106" s="720">
        <f>H102-H104</f>
        <v>0</v>
      </c>
    </row>
    <row r="107" spans="1:9" ht="15.75"/>
  </sheetData>
  <sheetProtection formatCells="0" formatColumns="0" formatRows="0"/>
  <mergeCells count="8">
    <mergeCell ref="B1:E1"/>
    <mergeCell ref="A67:H68"/>
    <mergeCell ref="A3:A4"/>
    <mergeCell ref="A32:A33"/>
    <mergeCell ref="B32:B33"/>
    <mergeCell ref="D32:D33"/>
    <mergeCell ref="F32:F33"/>
    <mergeCell ref="H32:H33"/>
  </mergeCells>
  <conditionalFormatting sqref="B65 B48">
    <cfRule type="expression" dxfId="352" priority="4">
      <formula>$B$48&lt;&gt;$B$65</formula>
    </cfRule>
  </conditionalFormatting>
  <conditionalFormatting sqref="D65 D48">
    <cfRule type="expression" dxfId="351" priority="3">
      <formula>$B$48&lt;&gt;$B$65</formula>
    </cfRule>
  </conditionalFormatting>
  <conditionalFormatting sqref="F65 F48">
    <cfRule type="expression" dxfId="350" priority="2">
      <formula>$B$48&lt;&gt;$B$65</formula>
    </cfRule>
  </conditionalFormatting>
  <conditionalFormatting sqref="H65 H48">
    <cfRule type="expression" dxfId="349" priority="1">
      <formula>$B$48&lt;&gt;$B$65</formula>
    </cfRule>
  </conditionalFormatting>
  <dataValidations count="1">
    <dataValidation type="list" allowBlank="1" showInputMessage="1" showErrorMessage="1" sqref="I1" xr:uid="{0D137FE6-0495-48B7-9654-32A06BDCBBC7}">
      <formula1>"Actuals, Thousands, Lakhs, Millions, Crores"</formula1>
    </dataValidation>
  </dataValidations>
  <pageMargins left="0.78749999999999998" right="0.78749999999999998" top="1.0249999999999999" bottom="1.0249999999999999" header="0.78749999999999998" footer="0.78749999999999998"/>
  <pageSetup scale="58" firstPageNumber="0" orientation="portrait" horizontalDpi="300" verticalDpi="300" r:id="rId1"/>
  <headerFooter alignWithMargins="0">
    <oddHeader>&amp;C&amp;"Arial,Regular"&amp;10&amp;A</oddHeader>
    <oddFooter>&amp;C&amp;"Arial,Regular"&amp;10Page &amp;P</oddFooter>
  </headerFooter>
  <rowBreaks count="2" manualBreakCount="2">
    <brk id="30" max="16383" man="1"/>
    <brk id="66" max="16383"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C00000"/>
  </sheetPr>
  <dimension ref="A1:IS33"/>
  <sheetViews>
    <sheetView workbookViewId="0">
      <selection sqref="A1:P1"/>
    </sheetView>
  </sheetViews>
  <sheetFormatPr defaultColWidth="11.25" defaultRowHeight="17.25" customHeight="1"/>
  <cols>
    <col min="1" max="1" width="16.625" style="110" bestFit="1" customWidth="1"/>
    <col min="2" max="11" width="11.25" style="110"/>
    <col min="12" max="12" width="11.25" style="174"/>
    <col min="13" max="59" width="11.25" style="110"/>
    <col min="60" max="253" width="11.25" style="112"/>
    <col min="254" max="16384" width="11.25" style="174"/>
  </cols>
  <sheetData>
    <row r="1" spans="1:19" ht="33.75" customHeight="1">
      <c r="A1" s="1167" t="s">
        <v>554</v>
      </c>
      <c r="B1" s="1167"/>
      <c r="C1" s="1167"/>
      <c r="D1" s="1167"/>
      <c r="E1" s="1167"/>
      <c r="F1" s="1167"/>
      <c r="G1" s="1167"/>
      <c r="H1" s="1167"/>
      <c r="I1" s="1167"/>
      <c r="J1" s="1167"/>
      <c r="K1" s="1167"/>
      <c r="L1" s="1167"/>
      <c r="M1" s="1167"/>
      <c r="N1" s="1167"/>
      <c r="O1" s="1167"/>
      <c r="P1" s="1167"/>
    </row>
    <row r="2" spans="1:19" ht="17.25" customHeight="1">
      <c r="A2" s="109" t="s">
        <v>551</v>
      </c>
      <c r="B2" s="1171" t="s">
        <v>279</v>
      </c>
      <c r="C2" s="1171"/>
      <c r="D2" s="1171"/>
      <c r="E2" s="1171" t="s">
        <v>279</v>
      </c>
      <c r="F2" s="1171"/>
      <c r="G2" s="1171"/>
      <c r="H2" s="1171" t="s">
        <v>279</v>
      </c>
      <c r="I2" s="1171"/>
      <c r="J2" s="1171"/>
      <c r="K2" s="1171" t="s">
        <v>279</v>
      </c>
      <c r="L2" s="1171"/>
      <c r="M2" s="1171"/>
      <c r="N2" s="1171" t="s">
        <v>279</v>
      </c>
      <c r="O2" s="1171"/>
      <c r="P2" s="1171"/>
    </row>
    <row r="3" spans="1:19" ht="17.25" customHeight="1">
      <c r="A3" s="109"/>
      <c r="B3" s="1171" t="s">
        <v>220</v>
      </c>
      <c r="C3" s="1171"/>
      <c r="D3" s="1171"/>
      <c r="E3" s="1171" t="s">
        <v>221</v>
      </c>
      <c r="F3" s="1171"/>
      <c r="G3" s="1171"/>
      <c r="H3" s="1171" t="s">
        <v>222</v>
      </c>
      <c r="I3" s="1171"/>
      <c r="J3" s="1171"/>
      <c r="K3" s="1171" t="s">
        <v>223</v>
      </c>
      <c r="L3" s="1171"/>
      <c r="M3" s="1171"/>
      <c r="N3" s="1171" t="s">
        <v>224</v>
      </c>
      <c r="O3" s="1171"/>
      <c r="P3" s="1171"/>
      <c r="Q3" s="1172"/>
      <c r="R3" s="1172"/>
      <c r="S3" s="1172"/>
    </row>
    <row r="4" spans="1:19" ht="17.25" customHeight="1">
      <c r="A4" s="109" t="s">
        <v>225</v>
      </c>
      <c r="B4" s="171" t="s">
        <v>546</v>
      </c>
      <c r="C4" s="171" t="s">
        <v>547</v>
      </c>
      <c r="D4" s="171" t="s">
        <v>548</v>
      </c>
      <c r="E4" s="171" t="s">
        <v>546</v>
      </c>
      <c r="F4" s="171" t="s">
        <v>547</v>
      </c>
      <c r="G4" s="171" t="s">
        <v>548</v>
      </c>
      <c r="H4" s="171" t="s">
        <v>546</v>
      </c>
      <c r="I4" s="171" t="s">
        <v>547</v>
      </c>
      <c r="J4" s="171" t="s">
        <v>548</v>
      </c>
      <c r="K4" s="171" t="s">
        <v>546</v>
      </c>
      <c r="L4" s="171" t="s">
        <v>547</v>
      </c>
      <c r="M4" s="171" t="s">
        <v>548</v>
      </c>
      <c r="N4" s="171" t="s">
        <v>546</v>
      </c>
      <c r="O4" s="171" t="s">
        <v>547</v>
      </c>
      <c r="P4" s="171" t="s">
        <v>548</v>
      </c>
    </row>
    <row r="5" spans="1:19" ht="17.25" customHeight="1">
      <c r="A5" s="109" t="s">
        <v>552</v>
      </c>
      <c r="B5" s="1168"/>
      <c r="C5" s="1169"/>
      <c r="D5" s="1170"/>
      <c r="E5" s="1168"/>
      <c r="F5" s="1169"/>
      <c r="G5" s="1170"/>
      <c r="H5" s="1168"/>
      <c r="I5" s="1169"/>
      <c r="J5" s="1170"/>
      <c r="K5" s="1168"/>
      <c r="L5" s="1169"/>
      <c r="M5" s="1170"/>
      <c r="N5" s="1168"/>
      <c r="O5" s="1169"/>
      <c r="P5" s="1170"/>
    </row>
    <row r="6" spans="1:19" ht="17.25" customHeight="1">
      <c r="A6" s="278">
        <f t="shared" ref="A6:A15" si="0">EDATE(A7,-1)</f>
        <v>43282</v>
      </c>
      <c r="B6" s="195"/>
      <c r="C6" s="195"/>
      <c r="D6" s="195"/>
      <c r="E6" s="195"/>
      <c r="F6" s="195"/>
      <c r="G6" s="195"/>
      <c r="H6" s="195"/>
      <c r="I6" s="195"/>
      <c r="J6" s="195"/>
      <c r="K6" s="195"/>
      <c r="L6" s="195"/>
      <c r="M6" s="195"/>
      <c r="N6" s="195"/>
      <c r="O6" s="195"/>
      <c r="P6" s="195"/>
    </row>
    <row r="7" spans="1:19" ht="17.25" customHeight="1">
      <c r="A7" s="278">
        <f t="shared" si="0"/>
        <v>43313</v>
      </c>
      <c r="B7" s="195"/>
      <c r="C7" s="195"/>
      <c r="D7" s="195"/>
      <c r="E7" s="195"/>
      <c r="F7" s="195"/>
      <c r="G7" s="195"/>
      <c r="H7" s="195"/>
      <c r="I7" s="195"/>
      <c r="J7" s="195"/>
      <c r="K7" s="195"/>
      <c r="L7" s="195"/>
      <c r="M7" s="195"/>
      <c r="N7" s="195"/>
      <c r="O7" s="195"/>
      <c r="P7" s="195"/>
    </row>
    <row r="8" spans="1:19" ht="17.25" customHeight="1">
      <c r="A8" s="278">
        <f t="shared" si="0"/>
        <v>43344</v>
      </c>
      <c r="B8" s="195"/>
      <c r="C8" s="195"/>
      <c r="D8" s="195"/>
      <c r="E8" s="195"/>
      <c r="F8" s="195"/>
      <c r="G8" s="195"/>
      <c r="H8" s="195"/>
      <c r="I8" s="195"/>
      <c r="J8" s="195"/>
      <c r="K8" s="195"/>
      <c r="L8" s="195"/>
      <c r="M8" s="195"/>
      <c r="N8" s="195"/>
      <c r="O8" s="195"/>
      <c r="P8" s="195"/>
    </row>
    <row r="9" spans="1:19" ht="17.25" customHeight="1">
      <c r="A9" s="278">
        <f t="shared" si="0"/>
        <v>43374</v>
      </c>
      <c r="B9" s="195"/>
      <c r="C9" s="195"/>
      <c r="D9" s="195"/>
      <c r="E9" s="195"/>
      <c r="F9" s="195"/>
      <c r="G9" s="195"/>
      <c r="H9" s="195"/>
      <c r="I9" s="195"/>
      <c r="J9" s="195"/>
      <c r="K9" s="195"/>
      <c r="L9" s="195"/>
      <c r="M9" s="195"/>
      <c r="N9" s="195"/>
      <c r="O9" s="195"/>
      <c r="P9" s="195"/>
    </row>
    <row r="10" spans="1:19" ht="17.25" customHeight="1">
      <c r="A10" s="278">
        <f t="shared" si="0"/>
        <v>43405</v>
      </c>
      <c r="B10" s="195"/>
      <c r="C10" s="195"/>
      <c r="D10" s="195"/>
      <c r="E10" s="195"/>
      <c r="F10" s="195"/>
      <c r="G10" s="195"/>
      <c r="H10" s="195"/>
      <c r="I10" s="195"/>
      <c r="J10" s="195"/>
      <c r="K10" s="195"/>
      <c r="L10" s="195"/>
      <c r="M10" s="195"/>
      <c r="N10" s="195"/>
      <c r="O10" s="195"/>
      <c r="P10" s="195"/>
    </row>
    <row r="11" spans="1:19" ht="17.25" customHeight="1">
      <c r="A11" s="278">
        <f t="shared" si="0"/>
        <v>43435</v>
      </c>
      <c r="B11" s="195"/>
      <c r="C11" s="195"/>
      <c r="D11" s="195"/>
      <c r="E11" s="195"/>
      <c r="F11" s="195"/>
      <c r="G11" s="195"/>
      <c r="H11" s="195"/>
      <c r="I11" s="195"/>
      <c r="J11" s="195"/>
      <c r="K11" s="195"/>
      <c r="L11" s="195"/>
      <c r="M11" s="195"/>
      <c r="N11" s="195"/>
      <c r="O11" s="195"/>
      <c r="P11" s="195"/>
    </row>
    <row r="12" spans="1:19" ht="17.25" customHeight="1">
      <c r="A12" s="278">
        <f t="shared" si="0"/>
        <v>43466</v>
      </c>
      <c r="B12" s="195"/>
      <c r="C12" s="195"/>
      <c r="D12" s="195"/>
      <c r="E12" s="195"/>
      <c r="F12" s="195"/>
      <c r="G12" s="195"/>
      <c r="H12" s="195"/>
      <c r="I12" s="195"/>
      <c r="J12" s="195"/>
      <c r="K12" s="195"/>
      <c r="L12" s="195"/>
      <c r="M12" s="195"/>
      <c r="N12" s="195"/>
      <c r="O12" s="195"/>
      <c r="P12" s="195"/>
    </row>
    <row r="13" spans="1:19" ht="17.25" customHeight="1">
      <c r="A13" s="278">
        <f t="shared" si="0"/>
        <v>43497</v>
      </c>
      <c r="B13" s="195"/>
      <c r="C13" s="195"/>
      <c r="D13" s="195"/>
      <c r="E13" s="195"/>
      <c r="F13" s="195"/>
      <c r="G13" s="195"/>
      <c r="H13" s="195"/>
      <c r="I13" s="195"/>
      <c r="J13" s="195"/>
      <c r="K13" s="195"/>
      <c r="L13" s="195"/>
      <c r="M13" s="195"/>
      <c r="N13" s="195"/>
      <c r="O13" s="195"/>
      <c r="P13" s="195"/>
    </row>
    <row r="14" spans="1:19" ht="17.25" customHeight="1">
      <c r="A14" s="278">
        <f t="shared" si="0"/>
        <v>43525</v>
      </c>
      <c r="B14" s="195"/>
      <c r="C14" s="195"/>
      <c r="D14" s="195"/>
      <c r="E14" s="195"/>
      <c r="F14" s="195"/>
      <c r="G14" s="195"/>
      <c r="H14" s="195"/>
      <c r="I14" s="195"/>
      <c r="J14" s="195"/>
      <c r="K14" s="195"/>
      <c r="L14" s="195"/>
      <c r="M14" s="195"/>
      <c r="N14" s="195"/>
      <c r="O14" s="195"/>
      <c r="P14" s="195"/>
    </row>
    <row r="15" spans="1:19" ht="17.25" customHeight="1">
      <c r="A15" s="278">
        <f t="shared" si="0"/>
        <v>43556</v>
      </c>
      <c r="B15" s="195"/>
      <c r="C15" s="195"/>
      <c r="D15" s="195"/>
      <c r="E15" s="195"/>
      <c r="F15" s="195"/>
      <c r="G15" s="195"/>
      <c r="H15" s="195"/>
      <c r="I15" s="195"/>
      <c r="J15" s="195"/>
      <c r="K15" s="195"/>
      <c r="L15" s="195"/>
      <c r="M15" s="195"/>
      <c r="N15" s="195"/>
      <c r="O15" s="195"/>
      <c r="P15" s="195"/>
    </row>
    <row r="16" spans="1:19" ht="17.25" customHeight="1">
      <c r="A16" s="278">
        <f>EDATE(A17,-1)</f>
        <v>43586</v>
      </c>
      <c r="B16" s="195"/>
      <c r="C16" s="195"/>
      <c r="D16" s="195"/>
      <c r="E16" s="195"/>
      <c r="F16" s="195"/>
      <c r="G16" s="195"/>
      <c r="H16" s="195"/>
      <c r="I16" s="195"/>
      <c r="J16" s="195"/>
      <c r="K16" s="195"/>
      <c r="L16" s="195"/>
      <c r="M16" s="195"/>
      <c r="N16" s="195"/>
      <c r="O16" s="195"/>
      <c r="P16" s="195"/>
    </row>
    <row r="17" spans="1:16" ht="17.25" customHeight="1">
      <c r="A17" s="278">
        <f>'Analysis-Debit'!J3</f>
        <v>43617</v>
      </c>
      <c r="B17" s="195"/>
      <c r="C17" s="195"/>
      <c r="D17" s="195"/>
      <c r="E17" s="195"/>
      <c r="F17" s="195"/>
      <c r="G17" s="195"/>
      <c r="H17" s="195"/>
      <c r="I17" s="195"/>
      <c r="J17" s="195"/>
      <c r="K17" s="195"/>
      <c r="L17" s="195"/>
      <c r="M17" s="195"/>
      <c r="N17" s="195"/>
      <c r="O17" s="195"/>
      <c r="P17" s="195"/>
    </row>
    <row r="18" spans="1:16" ht="17.25" customHeight="1">
      <c r="A18" s="109" t="s">
        <v>191</v>
      </c>
      <c r="B18" s="159">
        <f>SUM(B6:B17)</f>
        <v>0</v>
      </c>
      <c r="C18" s="159">
        <f t="shared" ref="C18:P18" si="1">SUM(C6:C17)</f>
        <v>0</v>
      </c>
      <c r="D18" s="159">
        <f t="shared" si="1"/>
        <v>0</v>
      </c>
      <c r="E18" s="159">
        <f t="shared" si="1"/>
        <v>0</v>
      </c>
      <c r="F18" s="159">
        <f t="shared" si="1"/>
        <v>0</v>
      </c>
      <c r="G18" s="159">
        <f t="shared" si="1"/>
        <v>0</v>
      </c>
      <c r="H18" s="159">
        <f t="shared" si="1"/>
        <v>0</v>
      </c>
      <c r="I18" s="159">
        <f t="shared" si="1"/>
        <v>0</v>
      </c>
      <c r="J18" s="159">
        <f t="shared" si="1"/>
        <v>0</v>
      </c>
      <c r="K18" s="159">
        <f t="shared" si="1"/>
        <v>0</v>
      </c>
      <c r="L18" s="159">
        <f t="shared" si="1"/>
        <v>0</v>
      </c>
      <c r="M18" s="159">
        <f t="shared" si="1"/>
        <v>0</v>
      </c>
      <c r="N18" s="159">
        <f t="shared" si="1"/>
        <v>0</v>
      </c>
      <c r="O18" s="159">
        <f t="shared" si="1"/>
        <v>0</v>
      </c>
      <c r="P18" s="159">
        <f t="shared" si="1"/>
        <v>0</v>
      </c>
    </row>
    <row r="19" spans="1:16" ht="17.25" customHeight="1">
      <c r="A19" s="109" t="s">
        <v>125</v>
      </c>
      <c r="B19" s="159">
        <f>SUM(B18:D18)/36</f>
        <v>0</v>
      </c>
      <c r="C19" s="159"/>
      <c r="D19" s="159"/>
      <c r="E19" s="159">
        <f>SUM(E18:G18)/36</f>
        <v>0</v>
      </c>
      <c r="F19" s="159"/>
      <c r="G19" s="159"/>
      <c r="H19" s="159">
        <f>SUM(H18:J18)/36</f>
        <v>0</v>
      </c>
      <c r="I19" s="159"/>
      <c r="J19" s="159"/>
      <c r="K19" s="159">
        <f>SUM(K18:M18)/36</f>
        <v>0</v>
      </c>
      <c r="L19" s="159"/>
      <c r="M19" s="159"/>
      <c r="N19" s="159">
        <f>SUM(N18:P18)/36</f>
        <v>0</v>
      </c>
      <c r="O19" s="159"/>
      <c r="P19" s="159"/>
    </row>
    <row r="20" spans="1:16" ht="17.25" customHeight="1">
      <c r="A20" s="109" t="s">
        <v>553</v>
      </c>
      <c r="B20" s="159">
        <f>ABS(B5-B19)</f>
        <v>0</v>
      </c>
      <c r="C20" s="159"/>
      <c r="D20" s="159"/>
      <c r="E20" s="159">
        <f>ABS(E5-E19)</f>
        <v>0</v>
      </c>
      <c r="F20" s="159"/>
      <c r="G20" s="159"/>
      <c r="H20" s="159">
        <f>ABS(H5-H19)</f>
        <v>0</v>
      </c>
      <c r="I20" s="159"/>
      <c r="J20" s="159"/>
      <c r="K20" s="159">
        <f>ABS(K5-K19)</f>
        <v>0</v>
      </c>
      <c r="L20" s="159"/>
      <c r="M20" s="159"/>
      <c r="N20" s="159">
        <f>ABS(N5-N19)</f>
        <v>0</v>
      </c>
      <c r="O20" s="159"/>
      <c r="P20" s="159"/>
    </row>
    <row r="22" spans="1:16" ht="53.25" customHeight="1">
      <c r="A22" s="111" t="s">
        <v>192</v>
      </c>
      <c r="B22" s="188">
        <f>SUM(B20:P20)-Eligibility!I76</f>
        <v>0</v>
      </c>
    </row>
    <row r="23" spans="1:16" ht="53.25" customHeight="1">
      <c r="A23" s="111" t="s">
        <v>417</v>
      </c>
      <c r="B23" s="188">
        <f>(SUM(B20:P20))+'Variant Inputs &amp; Comparison'!F7-Eligibility!I76</f>
        <v>0</v>
      </c>
    </row>
    <row r="24" spans="1:16" ht="17.25" hidden="1" customHeight="1"/>
    <row r="25" spans="1:16" ht="12.75"/>
    <row r="32" spans="1:16" ht="17.25" customHeight="1">
      <c r="B32" s="110" t="s">
        <v>555</v>
      </c>
    </row>
    <row r="33" spans="2:2" ht="17.25" customHeight="1">
      <c r="B33" s="110" t="s">
        <v>279</v>
      </c>
    </row>
  </sheetData>
  <sheetProtection algorithmName="SHA-512" hashValue="Z2cZ25KPfjLJL2/Fixe54vPiKRfcHwy0YamZS+Tvcpj1JvgJ+tI2Ory9UY8pJuCLT8wQA3AlU+hAjSQo+IzSvQ==" saltValue="HPYnuRNs7mcSdqH7JwEwTA==" spinCount="100000" sheet="1" formatCells="0" formatColumns="0" formatRows="0"/>
  <mergeCells count="17">
    <mergeCell ref="Q3:S3"/>
    <mergeCell ref="B3:D3"/>
    <mergeCell ref="E3:G3"/>
    <mergeCell ref="H3:J3"/>
    <mergeCell ref="K3:M3"/>
    <mergeCell ref="N3:P3"/>
    <mergeCell ref="A1:P1"/>
    <mergeCell ref="B5:D5"/>
    <mergeCell ref="E5:G5"/>
    <mergeCell ref="H5:J5"/>
    <mergeCell ref="K5:M5"/>
    <mergeCell ref="N5:P5"/>
    <mergeCell ref="B2:D2"/>
    <mergeCell ref="E2:G2"/>
    <mergeCell ref="H2:J2"/>
    <mergeCell ref="K2:M2"/>
    <mergeCell ref="N2:P2"/>
  </mergeCells>
  <conditionalFormatting sqref="B5">
    <cfRule type="expression" dxfId="348" priority="8">
      <formula>$B$2&lt;&gt;"Others"</formula>
    </cfRule>
  </conditionalFormatting>
  <conditionalFormatting sqref="E5">
    <cfRule type="expression" dxfId="347" priority="7">
      <formula>$E$2&lt;&gt;"Others"</formula>
    </cfRule>
  </conditionalFormatting>
  <conditionalFormatting sqref="H5">
    <cfRule type="expression" dxfId="346" priority="6">
      <formula>$H$2&lt;&gt;"Others"</formula>
    </cfRule>
  </conditionalFormatting>
  <conditionalFormatting sqref="K5">
    <cfRule type="expression" dxfId="345" priority="5">
      <formula>$K$2&lt;&gt;"Others"</formula>
    </cfRule>
  </conditionalFormatting>
  <conditionalFormatting sqref="N5">
    <cfRule type="expression" dxfId="344" priority="4">
      <formula>$N$2&lt;&gt;"Others"</formula>
    </cfRule>
  </conditionalFormatting>
  <conditionalFormatting sqref="A1:P1">
    <cfRule type="expression" dxfId="343" priority="1">
      <formula>COUNTIF($B$2:$P$2,"OD/CC")&gt;0</formula>
    </cfRule>
  </conditionalFormatting>
  <dataValidations count="1">
    <dataValidation type="list" allowBlank="1" showInputMessage="1" showErrorMessage="1" sqref="B2:P2" xr:uid="{00000000-0002-0000-0700-000000000000}">
      <formula1>$B$32:$B$33</formula1>
    </dataValidation>
  </dataValidations>
  <pageMargins left="0.78749999999999998" right="0.78749999999999998" top="1.0527777777777778" bottom="1.0527777777777778" header="0.78749999999999998" footer="0.78749999999999998"/>
  <pageSetup paperSize="9" firstPageNumber="0" orientation="portrait" horizontalDpi="300" verticalDpi="300" r:id="rId1"/>
  <headerFooter alignWithMargins="0">
    <oddHeader>&amp;C&amp;"Times New Roman,Regular"&amp;12&amp;A</oddHeader>
    <oddFooter>&amp;C&amp;"Times New Roman,Regular"&amp;12Page &amp;P</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rgb="FFC00000"/>
  </sheetPr>
  <dimension ref="A1:JL61"/>
  <sheetViews>
    <sheetView zoomScaleNormal="100" workbookViewId="0"/>
  </sheetViews>
  <sheetFormatPr defaultColWidth="11.375" defaultRowHeight="12.75"/>
  <cols>
    <col min="1" max="1" width="12.5" style="613" customWidth="1"/>
    <col min="2" max="2" width="12" style="613" bestFit="1" customWidth="1"/>
    <col min="3" max="16" width="11.375" style="613" customWidth="1"/>
    <col min="17" max="17" width="42.25" style="613" bestFit="1" customWidth="1"/>
    <col min="18" max="18" width="19.5" style="613" bestFit="1" customWidth="1"/>
    <col min="19" max="20" width="15.75" style="613" bestFit="1" customWidth="1"/>
    <col min="21" max="22" width="13.5" style="613" bestFit="1" customWidth="1"/>
    <col min="23" max="23" width="11.375" style="613" customWidth="1"/>
    <col min="24" max="24" width="32.875" style="613" customWidth="1"/>
    <col min="25" max="33" width="20.25" style="613" customWidth="1"/>
    <col min="34" max="34" width="22.875" style="613" customWidth="1"/>
    <col min="35" max="35" width="20.25" style="613" customWidth="1"/>
    <col min="36" max="36" width="19.375" style="613" customWidth="1"/>
    <col min="37" max="37" width="18.75" style="613" customWidth="1"/>
    <col min="38" max="38" width="13.875" style="613" customWidth="1"/>
    <col min="39" max="40" width="11.375" style="613" customWidth="1"/>
    <col min="41" max="41" width="13.25" style="613" customWidth="1"/>
    <col min="42" max="66" width="11.375" style="613" customWidth="1"/>
    <col min="67" max="260" width="11.375" style="614" customWidth="1"/>
    <col min="261" max="272" width="11.375" style="615" customWidth="1"/>
    <col min="273" max="16384" width="11.375" style="614"/>
  </cols>
  <sheetData>
    <row r="1" spans="1:272" ht="38.25">
      <c r="A1" s="611" t="s">
        <v>250</v>
      </c>
      <c r="B1" s="612"/>
    </row>
    <row r="2" spans="1:272" ht="17.25" customHeight="1">
      <c r="Q2" s="613" t="s">
        <v>579</v>
      </c>
      <c r="R2" s="616"/>
      <c r="S2" s="616"/>
      <c r="T2" s="616"/>
      <c r="U2" s="616"/>
      <c r="V2" s="616"/>
    </row>
    <row r="3" spans="1:272" ht="17.25" customHeight="1">
      <c r="A3" s="1173" t="s">
        <v>364</v>
      </c>
      <c r="B3" s="1174"/>
      <c r="C3" s="1174"/>
      <c r="D3" s="1174"/>
      <c r="E3" s="1174"/>
      <c r="F3" s="1174"/>
      <c r="I3" s="1173" t="s">
        <v>979</v>
      </c>
      <c r="J3" s="1174"/>
      <c r="K3" s="1174"/>
      <c r="L3" s="1174"/>
      <c r="M3" s="1174"/>
      <c r="N3" s="1174"/>
      <c r="Q3" s="1173" t="s">
        <v>441</v>
      </c>
      <c r="R3" s="1174"/>
      <c r="S3" s="1174"/>
      <c r="T3" s="1174"/>
      <c r="U3" s="1174"/>
      <c r="V3" s="1174"/>
      <c r="BI3" s="614"/>
      <c r="BJ3" s="614"/>
      <c r="BK3" s="614"/>
      <c r="BL3" s="614"/>
      <c r="BM3" s="614"/>
      <c r="BN3" s="614"/>
      <c r="IU3" s="615"/>
      <c r="IV3" s="615"/>
      <c r="IW3" s="615"/>
      <c r="IX3" s="615"/>
      <c r="IY3" s="615"/>
      <c r="IZ3" s="615"/>
      <c r="JG3" s="614"/>
      <c r="JH3" s="614"/>
      <c r="JI3" s="614"/>
      <c r="JJ3" s="614"/>
      <c r="JK3" s="614"/>
      <c r="JL3" s="614"/>
    </row>
    <row r="4" spans="1:272" ht="33" customHeight="1">
      <c r="A4" s="617" t="s">
        <v>225</v>
      </c>
      <c r="B4" s="618" t="s">
        <v>220</v>
      </c>
      <c r="C4" s="618" t="s">
        <v>221</v>
      </c>
      <c r="D4" s="618" t="s">
        <v>222</v>
      </c>
      <c r="E4" s="618" t="s">
        <v>223</v>
      </c>
      <c r="F4" s="618" t="s">
        <v>224</v>
      </c>
      <c r="I4" s="617" t="s">
        <v>225</v>
      </c>
      <c r="J4" s="618" t="s">
        <v>220</v>
      </c>
      <c r="K4" s="618" t="s">
        <v>221</v>
      </c>
      <c r="L4" s="618" t="s">
        <v>222</v>
      </c>
      <c r="M4" s="618" t="s">
        <v>223</v>
      </c>
      <c r="N4" s="618" t="s">
        <v>224</v>
      </c>
      <c r="Q4" s="617" t="s">
        <v>225</v>
      </c>
      <c r="R4" s="618" t="s">
        <v>251</v>
      </c>
      <c r="S4" s="619"/>
      <c r="T4" s="619"/>
      <c r="U4" s="619"/>
      <c r="V4" s="619"/>
      <c r="BI4" s="614"/>
      <c r="BJ4" s="614"/>
      <c r="BK4" s="614"/>
      <c r="BL4" s="614"/>
      <c r="BM4" s="614"/>
      <c r="BN4" s="614"/>
      <c r="IU4" s="615"/>
      <c r="IV4" s="615"/>
      <c r="IW4" s="615"/>
      <c r="IX4" s="615"/>
      <c r="IY4" s="615"/>
      <c r="IZ4" s="615"/>
      <c r="JG4" s="614"/>
      <c r="JH4" s="614"/>
      <c r="JI4" s="614"/>
      <c r="JJ4" s="614"/>
      <c r="JK4" s="614"/>
      <c r="JL4" s="614"/>
    </row>
    <row r="5" spans="1:272" ht="17.25" customHeight="1">
      <c r="A5" s="620">
        <f t="shared" ref="A5:A14" si="0">EDATE(A6,-1)</f>
        <v>43282</v>
      </c>
      <c r="B5" s="612"/>
      <c r="C5" s="612"/>
      <c r="D5" s="612"/>
      <c r="E5" s="612"/>
      <c r="F5" s="612"/>
      <c r="I5" s="620">
        <f t="shared" ref="I5:I15" si="1">A5</f>
        <v>43282</v>
      </c>
      <c r="J5" s="612"/>
      <c r="K5" s="612"/>
      <c r="L5" s="612"/>
      <c r="M5" s="612"/>
      <c r="N5" s="612"/>
      <c r="Q5" s="620">
        <f t="shared" ref="Q5:Q15" si="2">A5</f>
        <v>43282</v>
      </c>
      <c r="R5" s="612"/>
      <c r="S5" s="612"/>
      <c r="T5" s="612"/>
      <c r="U5" s="612"/>
      <c r="V5" s="612"/>
      <c r="W5" s="613">
        <v>12</v>
      </c>
      <c r="AJ5" s="613">
        <v>6</v>
      </c>
      <c r="BI5" s="614"/>
      <c r="BJ5" s="614"/>
      <c r="BK5" s="614"/>
      <c r="BL5" s="614"/>
      <c r="BM5" s="614"/>
      <c r="BN5" s="614"/>
      <c r="IU5" s="615"/>
      <c r="IV5" s="615"/>
      <c r="IW5" s="615"/>
      <c r="IX5" s="615"/>
      <c r="IY5" s="615"/>
      <c r="IZ5" s="615"/>
      <c r="JG5" s="614"/>
      <c r="JH5" s="614"/>
      <c r="JI5" s="614"/>
      <c r="JJ5" s="614"/>
      <c r="JK5" s="614"/>
      <c r="JL5" s="614"/>
    </row>
    <row r="6" spans="1:272" ht="17.25" customHeight="1">
      <c r="A6" s="620">
        <f t="shared" si="0"/>
        <v>43313</v>
      </c>
      <c r="B6" s="612"/>
      <c r="C6" s="612"/>
      <c r="D6" s="612"/>
      <c r="E6" s="612"/>
      <c r="F6" s="612"/>
      <c r="I6" s="620">
        <f t="shared" si="1"/>
        <v>43313</v>
      </c>
      <c r="J6" s="612"/>
      <c r="K6" s="612"/>
      <c r="L6" s="612"/>
      <c r="M6" s="612"/>
      <c r="N6" s="612"/>
      <c r="Q6" s="620">
        <f t="shared" si="2"/>
        <v>43313</v>
      </c>
      <c r="R6" s="612"/>
      <c r="S6" s="612"/>
      <c r="T6" s="612"/>
      <c r="U6" s="612"/>
      <c r="V6" s="612"/>
      <c r="W6" s="613">
        <v>11</v>
      </c>
      <c r="AJ6" s="613">
        <v>7</v>
      </c>
      <c r="BI6" s="614"/>
      <c r="BJ6" s="614"/>
      <c r="BK6" s="614"/>
      <c r="BL6" s="614"/>
      <c r="BM6" s="614"/>
      <c r="BN6" s="614"/>
      <c r="IU6" s="615"/>
      <c r="IV6" s="615"/>
      <c r="IW6" s="615"/>
      <c r="IX6" s="615"/>
      <c r="IY6" s="615"/>
      <c r="IZ6" s="615"/>
      <c r="JG6" s="614"/>
      <c r="JH6" s="614"/>
      <c r="JI6" s="614"/>
      <c r="JJ6" s="614"/>
      <c r="JK6" s="614"/>
      <c r="JL6" s="614"/>
    </row>
    <row r="7" spans="1:272" ht="17.25" customHeight="1">
      <c r="A7" s="620">
        <f t="shared" si="0"/>
        <v>43344</v>
      </c>
      <c r="B7" s="612"/>
      <c r="C7" s="612"/>
      <c r="D7" s="612"/>
      <c r="E7" s="612"/>
      <c r="F7" s="612"/>
      <c r="I7" s="620">
        <f t="shared" si="1"/>
        <v>43344</v>
      </c>
      <c r="J7" s="612"/>
      <c r="K7" s="612"/>
      <c r="L7" s="612"/>
      <c r="M7" s="612"/>
      <c r="N7" s="612"/>
      <c r="Q7" s="620">
        <f t="shared" si="2"/>
        <v>43344</v>
      </c>
      <c r="R7" s="612"/>
      <c r="S7" s="612"/>
      <c r="T7" s="612"/>
      <c r="U7" s="612"/>
      <c r="V7" s="612"/>
      <c r="W7" s="613">
        <v>10</v>
      </c>
      <c r="AI7" s="613" t="s">
        <v>426</v>
      </c>
      <c r="AJ7" s="613">
        <v>8</v>
      </c>
      <c r="BI7" s="614"/>
      <c r="BJ7" s="614"/>
      <c r="BK7" s="614"/>
      <c r="BL7" s="614"/>
      <c r="BM7" s="614"/>
      <c r="BN7" s="614"/>
      <c r="IU7" s="615"/>
      <c r="IV7" s="615"/>
      <c r="IW7" s="615"/>
      <c r="IX7" s="615"/>
      <c r="IY7" s="615"/>
      <c r="IZ7" s="615"/>
      <c r="JG7" s="614"/>
      <c r="JH7" s="614"/>
      <c r="JI7" s="614"/>
      <c r="JJ7" s="614"/>
      <c r="JK7" s="614"/>
      <c r="JL7" s="614"/>
    </row>
    <row r="8" spans="1:272" ht="17.25" customHeight="1">
      <c r="A8" s="620">
        <f t="shared" si="0"/>
        <v>43374</v>
      </c>
      <c r="B8" s="612"/>
      <c r="C8" s="612"/>
      <c r="D8" s="612"/>
      <c r="E8" s="612"/>
      <c r="F8" s="612"/>
      <c r="I8" s="620">
        <f t="shared" si="1"/>
        <v>43374</v>
      </c>
      <c r="J8" s="612"/>
      <c r="K8" s="612"/>
      <c r="L8" s="612"/>
      <c r="M8" s="612"/>
      <c r="N8" s="612"/>
      <c r="Q8" s="620">
        <f t="shared" si="2"/>
        <v>43374</v>
      </c>
      <c r="R8" s="612"/>
      <c r="S8" s="612"/>
      <c r="T8" s="612"/>
      <c r="U8" s="612"/>
      <c r="V8" s="612"/>
      <c r="W8" s="613">
        <v>9</v>
      </c>
      <c r="AI8" s="613" t="s">
        <v>427</v>
      </c>
      <c r="AJ8" s="613">
        <v>9</v>
      </c>
      <c r="BI8" s="614"/>
      <c r="BJ8" s="614"/>
      <c r="BK8" s="614"/>
      <c r="BL8" s="614"/>
      <c r="BM8" s="614"/>
      <c r="BN8" s="614"/>
      <c r="IU8" s="615"/>
      <c r="IV8" s="615"/>
      <c r="IW8" s="615"/>
      <c r="IX8" s="615"/>
      <c r="IY8" s="615"/>
      <c r="IZ8" s="615"/>
      <c r="JG8" s="614"/>
      <c r="JH8" s="614"/>
      <c r="JI8" s="614"/>
      <c r="JJ8" s="614"/>
      <c r="JK8" s="614"/>
      <c r="JL8" s="614"/>
    </row>
    <row r="9" spans="1:272" ht="17.25" customHeight="1">
      <c r="A9" s="620">
        <f t="shared" si="0"/>
        <v>43405</v>
      </c>
      <c r="B9" s="612"/>
      <c r="C9" s="612"/>
      <c r="D9" s="612"/>
      <c r="E9" s="612"/>
      <c r="F9" s="612"/>
      <c r="I9" s="620">
        <f t="shared" si="1"/>
        <v>43405</v>
      </c>
      <c r="J9" s="612"/>
      <c r="K9" s="612"/>
      <c r="L9" s="612"/>
      <c r="M9" s="612"/>
      <c r="N9" s="612"/>
      <c r="Q9" s="620">
        <f t="shared" si="2"/>
        <v>43405</v>
      </c>
      <c r="R9" s="612"/>
      <c r="S9" s="612"/>
      <c r="T9" s="612"/>
      <c r="U9" s="612"/>
      <c r="V9" s="612"/>
      <c r="W9" s="613">
        <v>8</v>
      </c>
      <c r="AJ9" s="613">
        <v>10</v>
      </c>
      <c r="BI9" s="614"/>
      <c r="BJ9" s="614"/>
      <c r="BK9" s="614"/>
      <c r="BL9" s="614"/>
      <c r="BM9" s="614"/>
      <c r="BN9" s="614"/>
      <c r="IU9" s="615"/>
      <c r="IV9" s="615"/>
      <c r="IW9" s="615"/>
      <c r="IX9" s="615"/>
      <c r="IY9" s="615"/>
      <c r="IZ9" s="615"/>
      <c r="JG9" s="614"/>
      <c r="JH9" s="614"/>
      <c r="JI9" s="614"/>
      <c r="JJ9" s="614"/>
      <c r="JK9" s="614"/>
      <c r="JL9" s="614"/>
    </row>
    <row r="10" spans="1:272" ht="17.25" customHeight="1">
      <c r="A10" s="620">
        <f t="shared" si="0"/>
        <v>43435</v>
      </c>
      <c r="B10" s="612"/>
      <c r="C10" s="612"/>
      <c r="D10" s="612"/>
      <c r="E10" s="612"/>
      <c r="F10" s="612"/>
      <c r="I10" s="620">
        <f t="shared" si="1"/>
        <v>43435</v>
      </c>
      <c r="J10" s="612"/>
      <c r="K10" s="612"/>
      <c r="L10" s="612"/>
      <c r="M10" s="612"/>
      <c r="N10" s="612"/>
      <c r="Q10" s="620">
        <f t="shared" si="2"/>
        <v>43435</v>
      </c>
      <c r="R10" s="612"/>
      <c r="S10" s="612"/>
      <c r="T10" s="612"/>
      <c r="U10" s="612"/>
      <c r="V10" s="612"/>
      <c r="W10" s="613">
        <v>7</v>
      </c>
      <c r="AJ10" s="613">
        <v>11</v>
      </c>
      <c r="BI10" s="614"/>
      <c r="BJ10" s="614"/>
      <c r="BK10" s="614"/>
      <c r="BL10" s="614"/>
      <c r="BM10" s="614"/>
      <c r="BN10" s="614"/>
      <c r="IU10" s="615"/>
      <c r="IV10" s="615"/>
      <c r="IW10" s="615"/>
      <c r="IX10" s="615"/>
      <c r="IY10" s="615"/>
      <c r="IZ10" s="615"/>
      <c r="JG10" s="614"/>
      <c r="JH10" s="614"/>
      <c r="JI10" s="614"/>
      <c r="JJ10" s="614"/>
      <c r="JK10" s="614"/>
      <c r="JL10" s="614"/>
    </row>
    <row r="11" spans="1:272" ht="17.25" customHeight="1">
      <c r="A11" s="620">
        <f t="shared" si="0"/>
        <v>43466</v>
      </c>
      <c r="B11" s="612"/>
      <c r="C11" s="612"/>
      <c r="D11" s="612"/>
      <c r="E11" s="612"/>
      <c r="F11" s="612"/>
      <c r="I11" s="620">
        <f t="shared" si="1"/>
        <v>43466</v>
      </c>
      <c r="J11" s="612"/>
      <c r="K11" s="612"/>
      <c r="L11" s="612"/>
      <c r="M11" s="612"/>
      <c r="N11" s="612"/>
      <c r="Q11" s="620">
        <f t="shared" si="2"/>
        <v>43466</v>
      </c>
      <c r="R11" s="612"/>
      <c r="S11" s="612"/>
      <c r="T11" s="612"/>
      <c r="U11" s="612"/>
      <c r="V11" s="612"/>
      <c r="W11" s="613">
        <v>6</v>
      </c>
      <c r="AJ11" s="613">
        <v>12</v>
      </c>
      <c r="BI11" s="614"/>
      <c r="BJ11" s="614"/>
      <c r="BK11" s="614"/>
      <c r="BL11" s="614"/>
      <c r="BM11" s="614"/>
      <c r="BN11" s="614"/>
      <c r="IU11" s="615"/>
      <c r="IV11" s="615"/>
      <c r="IW11" s="615"/>
      <c r="IX11" s="615"/>
      <c r="IY11" s="615"/>
      <c r="IZ11" s="615"/>
      <c r="JG11" s="614"/>
      <c r="JH11" s="614"/>
      <c r="JI11" s="614"/>
      <c r="JJ11" s="614"/>
      <c r="JK11" s="614"/>
      <c r="JL11" s="614"/>
    </row>
    <row r="12" spans="1:272" ht="17.25" customHeight="1">
      <c r="A12" s="620">
        <f t="shared" si="0"/>
        <v>43497</v>
      </c>
      <c r="B12" s="612"/>
      <c r="C12" s="612"/>
      <c r="D12" s="612"/>
      <c r="E12" s="612"/>
      <c r="F12" s="612"/>
      <c r="I12" s="620">
        <f t="shared" si="1"/>
        <v>43497</v>
      </c>
      <c r="J12" s="612"/>
      <c r="K12" s="612"/>
      <c r="L12" s="612"/>
      <c r="M12" s="612"/>
      <c r="N12" s="612"/>
      <c r="Q12" s="620">
        <f t="shared" si="2"/>
        <v>43497</v>
      </c>
      <c r="R12" s="612"/>
      <c r="S12" s="612"/>
      <c r="T12" s="612"/>
      <c r="U12" s="612"/>
      <c r="V12" s="612"/>
      <c r="W12" s="613">
        <v>5</v>
      </c>
      <c r="BI12" s="614"/>
      <c r="BJ12" s="614"/>
      <c r="BK12" s="614"/>
      <c r="BL12" s="614"/>
      <c r="BM12" s="614"/>
      <c r="BN12" s="614"/>
      <c r="IU12" s="615"/>
      <c r="IV12" s="615"/>
      <c r="IW12" s="615"/>
      <c r="IX12" s="615"/>
      <c r="IY12" s="615"/>
      <c r="IZ12" s="615"/>
      <c r="JG12" s="614"/>
      <c r="JH12" s="614"/>
      <c r="JI12" s="614"/>
      <c r="JJ12" s="614"/>
      <c r="JK12" s="614"/>
      <c r="JL12" s="614"/>
    </row>
    <row r="13" spans="1:272" ht="17.25" customHeight="1">
      <c r="A13" s="620">
        <f t="shared" si="0"/>
        <v>43525</v>
      </c>
      <c r="B13" s="612"/>
      <c r="C13" s="612"/>
      <c r="D13" s="612"/>
      <c r="E13" s="612"/>
      <c r="F13" s="612"/>
      <c r="I13" s="620">
        <f t="shared" si="1"/>
        <v>43525</v>
      </c>
      <c r="J13" s="612"/>
      <c r="K13" s="612"/>
      <c r="L13" s="612"/>
      <c r="M13" s="612"/>
      <c r="N13" s="612"/>
      <c r="Q13" s="620">
        <f t="shared" si="2"/>
        <v>43525</v>
      </c>
      <c r="R13" s="612"/>
      <c r="S13" s="612"/>
      <c r="T13" s="612"/>
      <c r="U13" s="612"/>
      <c r="V13" s="612"/>
      <c r="W13" s="613">
        <v>4</v>
      </c>
      <c r="BI13" s="614"/>
      <c r="BJ13" s="614"/>
      <c r="BK13" s="614"/>
      <c r="BL13" s="614"/>
      <c r="BM13" s="614"/>
      <c r="BN13" s="614"/>
      <c r="IU13" s="615"/>
      <c r="IV13" s="615"/>
      <c r="IW13" s="615"/>
      <c r="IX13" s="615"/>
      <c r="IY13" s="615"/>
      <c r="IZ13" s="615"/>
      <c r="JG13" s="614"/>
      <c r="JH13" s="614"/>
      <c r="JI13" s="614"/>
      <c r="JJ13" s="614"/>
      <c r="JK13" s="614"/>
      <c r="JL13" s="614"/>
    </row>
    <row r="14" spans="1:272" ht="17.25" customHeight="1">
      <c r="A14" s="620">
        <f t="shared" si="0"/>
        <v>43556</v>
      </c>
      <c r="B14" s="612"/>
      <c r="C14" s="612"/>
      <c r="D14" s="612"/>
      <c r="E14" s="612"/>
      <c r="F14" s="612"/>
      <c r="I14" s="620">
        <f t="shared" si="1"/>
        <v>43556</v>
      </c>
      <c r="J14" s="612"/>
      <c r="K14" s="612"/>
      <c r="L14" s="612"/>
      <c r="M14" s="612"/>
      <c r="N14" s="612"/>
      <c r="Q14" s="620">
        <f t="shared" si="2"/>
        <v>43556</v>
      </c>
      <c r="R14" s="612"/>
      <c r="S14" s="612"/>
      <c r="T14" s="612"/>
      <c r="U14" s="612"/>
      <c r="V14" s="612"/>
      <c r="W14" s="613">
        <v>3</v>
      </c>
      <c r="BI14" s="614"/>
      <c r="BJ14" s="614"/>
      <c r="BK14" s="614"/>
      <c r="BL14" s="614"/>
      <c r="BM14" s="614"/>
      <c r="BN14" s="614"/>
      <c r="IU14" s="615"/>
      <c r="IV14" s="615"/>
      <c r="IW14" s="615"/>
      <c r="IX14" s="615"/>
      <c r="IY14" s="615"/>
      <c r="IZ14" s="615"/>
      <c r="JG14" s="614"/>
      <c r="JH14" s="614"/>
      <c r="JI14" s="614"/>
      <c r="JJ14" s="614"/>
      <c r="JK14" s="614"/>
      <c r="JL14" s="614"/>
    </row>
    <row r="15" spans="1:272" ht="17.25" customHeight="1">
      <c r="A15" s="620">
        <f>EDATE(A16,-1)</f>
        <v>43586</v>
      </c>
      <c r="B15" s="612"/>
      <c r="C15" s="612"/>
      <c r="D15" s="612"/>
      <c r="E15" s="612"/>
      <c r="F15" s="612"/>
      <c r="I15" s="620">
        <f t="shared" si="1"/>
        <v>43586</v>
      </c>
      <c r="J15" s="612"/>
      <c r="K15" s="612"/>
      <c r="L15" s="612"/>
      <c r="M15" s="612"/>
      <c r="N15" s="612"/>
      <c r="Q15" s="620">
        <f t="shared" si="2"/>
        <v>43586</v>
      </c>
      <c r="R15" s="612"/>
      <c r="S15" s="612"/>
      <c r="T15" s="612"/>
      <c r="U15" s="612"/>
      <c r="V15" s="612"/>
      <c r="W15" s="613">
        <v>2</v>
      </c>
      <c r="BI15" s="614"/>
      <c r="BJ15" s="614"/>
      <c r="BK15" s="614"/>
      <c r="BL15" s="614"/>
      <c r="BM15" s="614"/>
      <c r="BN15" s="614"/>
      <c r="IU15" s="615"/>
      <c r="IV15" s="615"/>
      <c r="IW15" s="615"/>
      <c r="IX15" s="615"/>
      <c r="IY15" s="615"/>
      <c r="IZ15" s="615"/>
      <c r="JG15" s="614"/>
      <c r="JH15" s="614"/>
      <c r="JI15" s="614"/>
      <c r="JJ15" s="614"/>
      <c r="JK15" s="614"/>
      <c r="JL15" s="614"/>
    </row>
    <row r="16" spans="1:272" ht="17.25" customHeight="1">
      <c r="A16" s="620">
        <f>'Analysis-Debit'!J3</f>
        <v>43617</v>
      </c>
      <c r="B16" s="612"/>
      <c r="C16" s="612"/>
      <c r="D16" s="612"/>
      <c r="E16" s="612"/>
      <c r="F16" s="612"/>
      <c r="I16" s="620">
        <f>A16</f>
        <v>43617</v>
      </c>
      <c r="J16" s="612"/>
      <c r="K16" s="612"/>
      <c r="L16" s="612"/>
      <c r="M16" s="612"/>
      <c r="N16" s="612"/>
      <c r="Q16" s="620">
        <f>A16</f>
        <v>43617</v>
      </c>
      <c r="R16" s="612"/>
      <c r="S16" s="612"/>
      <c r="T16" s="612"/>
      <c r="U16" s="612"/>
      <c r="V16" s="612"/>
      <c r="W16" s="613">
        <v>1</v>
      </c>
      <c r="BI16" s="614"/>
      <c r="BJ16" s="614"/>
      <c r="BK16" s="614"/>
      <c r="BL16" s="614"/>
      <c r="BM16" s="614"/>
      <c r="BN16" s="614"/>
      <c r="IU16" s="615"/>
      <c r="IV16" s="615"/>
      <c r="IW16" s="615"/>
      <c r="IX16" s="615"/>
      <c r="IY16" s="615"/>
      <c r="IZ16" s="615"/>
      <c r="JG16" s="614"/>
      <c r="JH16" s="614"/>
      <c r="JI16" s="614"/>
      <c r="JJ16" s="614"/>
      <c r="JK16" s="614"/>
      <c r="JL16" s="614"/>
    </row>
    <row r="17" spans="1:272" ht="17.25" customHeight="1">
      <c r="A17" s="617" t="s">
        <v>191</v>
      </c>
      <c r="B17" s="621">
        <f>SUM(B5:B16)</f>
        <v>0</v>
      </c>
      <c r="C17" s="621">
        <f>SUM(C5:C16)</f>
        <v>0</v>
      </c>
      <c r="D17" s="621">
        <f>SUM(D5:D16)</f>
        <v>0</v>
      </c>
      <c r="E17" s="621">
        <f>SUM(E5:E16)</f>
        <v>0</v>
      </c>
      <c r="F17" s="621">
        <f>SUM(F5:F16)</f>
        <v>0</v>
      </c>
      <c r="I17" s="617" t="s">
        <v>191</v>
      </c>
      <c r="J17" s="621">
        <f>SUM(J5:J16)</f>
        <v>0</v>
      </c>
      <c r="K17" s="621">
        <f>SUM(K5:K16)</f>
        <v>0</v>
      </c>
      <c r="L17" s="621">
        <f>SUM(L5:L16)</f>
        <v>0</v>
      </c>
      <c r="M17" s="621">
        <f>SUM(M5:M16)</f>
        <v>0</v>
      </c>
      <c r="N17" s="621">
        <f>SUM(N5:N16)</f>
        <v>0</v>
      </c>
      <c r="Q17" s="613" t="s">
        <v>578</v>
      </c>
      <c r="R17" s="613">
        <f>SUM(R5:R16)</f>
        <v>0</v>
      </c>
      <c r="S17" s="613">
        <f>SUMIFS(S5:S16,$W$5:$W$16,"&lt;="&amp;S2)</f>
        <v>0</v>
      </c>
      <c r="T17" s="613">
        <f t="shared" ref="T17:V17" si="3">SUMIFS(T5:T16,$W$5:$W$16,"&lt;="&amp;T2)</f>
        <v>0</v>
      </c>
      <c r="U17" s="613">
        <f t="shared" si="3"/>
        <v>0</v>
      </c>
      <c r="V17" s="613">
        <f t="shared" si="3"/>
        <v>0</v>
      </c>
      <c r="BI17" s="614"/>
      <c r="BJ17" s="614"/>
      <c r="BK17" s="614"/>
      <c r="BL17" s="614"/>
      <c r="BM17" s="614"/>
      <c r="BN17" s="614"/>
      <c r="IU17" s="615"/>
      <c r="IV17" s="615"/>
      <c r="IW17" s="615"/>
      <c r="IX17" s="615"/>
      <c r="IY17" s="615"/>
      <c r="IZ17" s="615"/>
      <c r="JG17" s="614"/>
      <c r="JH17" s="614"/>
      <c r="JI17" s="614"/>
      <c r="JJ17" s="614"/>
      <c r="JK17" s="614"/>
      <c r="JL17" s="614"/>
    </row>
    <row r="18" spans="1:272" ht="17.25" customHeight="1">
      <c r="A18" s="617" t="s">
        <v>550</v>
      </c>
      <c r="B18" s="621">
        <f>B17-J17</f>
        <v>0</v>
      </c>
      <c r="C18" s="621">
        <f>C17-K17</f>
        <v>0</v>
      </c>
      <c r="D18" s="621">
        <f>D17-L17</f>
        <v>0</v>
      </c>
      <c r="E18" s="621">
        <f>E17-M17</f>
        <v>0</v>
      </c>
      <c r="F18" s="621">
        <f>F17-N17</f>
        <v>0</v>
      </c>
      <c r="Q18" s="617" t="s">
        <v>191</v>
      </c>
      <c r="R18" s="621">
        <f>IF(SUM(R5:R16)&gt;=36,36,0)</f>
        <v>0</v>
      </c>
      <c r="S18" s="621">
        <f>IF(AND(S4="Savings Account",SUMIFS(S5:S16,$W$5:$W$16,"&lt;="&amp;S2)&gt;=S2*3),36,IF(AND(S4="Current Account",SUMIFS(S5:S16,$W$5:$W$16,"&lt;="&amp;S2)&gt;=S2),12,0))</f>
        <v>0</v>
      </c>
      <c r="T18" s="621">
        <f>IF(AND(T4="Savings Account",SUMIFS(T5:T16,$W$5:$W$16,"&lt;="&amp;T2)&gt;=T2*3),36,IF(AND(T4="Current Account",SUMIFS(T5:T16,$W$5:$W$16,"&lt;="&amp;T2)&gt;=T2),12,0))</f>
        <v>0</v>
      </c>
      <c r="U18" s="621">
        <f>IF(AND(U4="Savings Account",SUMIFS(U5:U16,$W$5:$W$16,"&lt;="&amp;U2)&gt;=U2*3),36,IF(AND(U4="Current Account",SUMIFS(U5:U16,$W$5:$W$16,"&lt;="&amp;U2)&gt;=U2),12,0))</f>
        <v>0</v>
      </c>
      <c r="V18" s="621">
        <f>IF(AND(V4="Savings Account",SUMIFS(V5:V16,$W$5:$W$16,"&lt;="&amp;V2)&gt;=V2*3),36,IF(AND(V4="Current Account",SUMIFS(V5:V16,$W$5:$W$16,"&lt;="&amp;V2)&gt;=V2),12,0))</f>
        <v>0</v>
      </c>
    </row>
    <row r="19" spans="1:272" ht="51">
      <c r="A19" s="622" t="s">
        <v>204</v>
      </c>
      <c r="B19" s="621">
        <f>SUM(B18:F18)</f>
        <v>0</v>
      </c>
    </row>
    <row r="21" spans="1:272">
      <c r="A21" s="614"/>
      <c r="B21" s="614"/>
      <c r="C21" s="614"/>
      <c r="D21" s="614"/>
      <c r="E21" s="614"/>
      <c r="F21" s="614"/>
      <c r="G21" s="614"/>
      <c r="H21" s="614"/>
      <c r="I21" s="614"/>
      <c r="J21" s="614"/>
      <c r="K21" s="614"/>
      <c r="L21" s="614"/>
      <c r="M21" s="614"/>
      <c r="N21" s="614"/>
      <c r="O21" s="614"/>
      <c r="P21" s="614"/>
      <c r="Q21" s="614"/>
      <c r="R21" s="614"/>
      <c r="S21" s="614"/>
      <c r="T21" s="614"/>
      <c r="U21" s="614"/>
      <c r="V21" s="614"/>
      <c r="W21" s="614"/>
      <c r="X21" s="614"/>
      <c r="Y21" s="614"/>
      <c r="Z21" s="614"/>
      <c r="AA21" s="614"/>
      <c r="AB21" s="614"/>
      <c r="AC21" s="614"/>
      <c r="AD21" s="614"/>
      <c r="AE21" s="614"/>
      <c r="AF21" s="614"/>
      <c r="AG21" s="614"/>
      <c r="AH21" s="614"/>
      <c r="AI21" s="614"/>
      <c r="AJ21" s="614"/>
      <c r="AK21" s="614"/>
      <c r="AL21" s="614"/>
      <c r="AM21" s="614"/>
      <c r="AN21" s="614"/>
      <c r="AO21" s="614"/>
      <c r="AP21" s="614"/>
      <c r="AQ21" s="614"/>
      <c r="AR21" s="614"/>
      <c r="AS21" s="614"/>
      <c r="AT21" s="614"/>
      <c r="AU21" s="614"/>
      <c r="AV21" s="614"/>
      <c r="AW21" s="614"/>
      <c r="AX21" s="614"/>
      <c r="AY21" s="614"/>
      <c r="AZ21" s="614"/>
      <c r="BA21" s="614"/>
      <c r="BB21" s="614"/>
      <c r="BC21" s="614"/>
      <c r="BD21" s="614"/>
      <c r="BE21" s="614"/>
      <c r="BF21" s="614"/>
      <c r="BG21" s="614"/>
      <c r="BH21" s="614"/>
      <c r="BI21" s="614"/>
      <c r="BJ21" s="614"/>
      <c r="BK21" s="614"/>
      <c r="BL21" s="614"/>
      <c r="BM21" s="614"/>
      <c r="BN21" s="614"/>
      <c r="JA21" s="614"/>
      <c r="JB21" s="614"/>
      <c r="JC21" s="614"/>
      <c r="JD21" s="614"/>
      <c r="JE21" s="614"/>
      <c r="JF21" s="614"/>
      <c r="JG21" s="614"/>
      <c r="JH21" s="614"/>
      <c r="JI21" s="614"/>
      <c r="JJ21" s="614"/>
      <c r="JK21" s="614"/>
      <c r="JL21" s="614"/>
    </row>
    <row r="22" spans="1:272">
      <c r="A22" s="614"/>
      <c r="B22" s="614"/>
      <c r="C22" s="614"/>
      <c r="D22" s="614"/>
      <c r="E22" s="614"/>
      <c r="F22" s="614"/>
      <c r="G22" s="614"/>
      <c r="H22" s="614"/>
      <c r="I22" s="614"/>
      <c r="J22" s="614"/>
      <c r="K22" s="614"/>
      <c r="L22" s="614"/>
      <c r="M22" s="614"/>
      <c r="N22" s="614"/>
      <c r="O22" s="614"/>
      <c r="P22" s="614"/>
      <c r="Q22" s="614" t="s">
        <v>253</v>
      </c>
      <c r="R22" s="614"/>
      <c r="S22" s="614"/>
      <c r="T22" s="614"/>
      <c r="U22" s="614"/>
      <c r="V22" s="614"/>
      <c r="W22" s="614"/>
      <c r="X22" s="614"/>
      <c r="Y22" s="614"/>
      <c r="Z22" s="614"/>
      <c r="AA22" s="614"/>
      <c r="AB22" s="614"/>
      <c r="AC22" s="614"/>
      <c r="AD22" s="614"/>
      <c r="AE22" s="614"/>
      <c r="AF22" s="614"/>
      <c r="AG22" s="614"/>
      <c r="AH22" s="614"/>
      <c r="AI22" s="614"/>
      <c r="AJ22" s="614"/>
      <c r="AK22" s="614"/>
      <c r="AL22" s="614"/>
      <c r="AM22" s="614"/>
      <c r="AN22" s="614"/>
      <c r="AO22" s="614"/>
      <c r="AP22" s="614"/>
      <c r="AQ22" s="614"/>
      <c r="AR22" s="614"/>
      <c r="AS22" s="614"/>
      <c r="AT22" s="614"/>
      <c r="AU22" s="614"/>
      <c r="AV22" s="614"/>
      <c r="AW22" s="614"/>
      <c r="AX22" s="614"/>
      <c r="AY22" s="614"/>
      <c r="AZ22" s="614"/>
      <c r="BA22" s="614"/>
      <c r="BB22" s="614"/>
      <c r="BC22" s="614"/>
      <c r="BD22" s="614"/>
      <c r="BE22" s="614"/>
      <c r="BF22" s="614"/>
      <c r="BG22" s="614"/>
      <c r="BH22" s="614"/>
      <c r="BI22" s="614"/>
      <c r="BJ22" s="614"/>
      <c r="BK22" s="614"/>
      <c r="BL22" s="614"/>
      <c r="BM22" s="614"/>
      <c r="BN22" s="614"/>
      <c r="JA22" s="614"/>
      <c r="JB22" s="614"/>
      <c r="JC22" s="614"/>
      <c r="JD22" s="614"/>
      <c r="JE22" s="614"/>
      <c r="JF22" s="614"/>
      <c r="JG22" s="614"/>
      <c r="JH22" s="614"/>
      <c r="JI22" s="614"/>
      <c r="JJ22" s="614"/>
      <c r="JK22" s="614"/>
      <c r="JL22" s="614"/>
    </row>
    <row r="23" spans="1:272" ht="25.5">
      <c r="A23" s="614"/>
      <c r="B23" s="614"/>
      <c r="C23" s="614"/>
      <c r="D23" s="614"/>
      <c r="E23" s="614"/>
      <c r="F23" s="614"/>
      <c r="G23" s="614"/>
      <c r="H23" s="614"/>
      <c r="I23" s="614"/>
      <c r="J23" s="614"/>
      <c r="K23" s="614"/>
      <c r="L23" s="614"/>
      <c r="M23" s="614"/>
      <c r="N23" s="614"/>
      <c r="O23" s="614"/>
      <c r="P23" s="614"/>
      <c r="Q23" s="623" t="s">
        <v>254</v>
      </c>
      <c r="R23" s="623">
        <f>IF(R18&gt;=36,36,0)</f>
        <v>0</v>
      </c>
      <c r="S23" s="623">
        <f>IF(AND(OR(S4="Savings Account",S4=AI9),S18&gt;=36),36,IF(AND(OR(S4="Current Account",S4=AI10),S18&gt;=12),12,0))</f>
        <v>0</v>
      </c>
      <c r="T23" s="623">
        <f>IF(AND(OR(T4="Savings Account",T4=AI9),T18&gt;=36),36,IF(AND(OR(T4="Current Account",T4=AI10),T18&gt;=12),12,0))</f>
        <v>0</v>
      </c>
      <c r="U23" s="623">
        <f>IF(AND(OR(U4="Savings Account",U4=AI9),U18&gt;=36),36,IF(AND(OR(U4="Current Account",U4=AI10),U18&gt;=12),12,0))</f>
        <v>0</v>
      </c>
      <c r="V23" s="623">
        <f>IF(AND(OR(V4="Savings Account",V4=AI9),V18&gt;=36),36,IF(AND(OR(V4="Current Account",V4=AI10),V18&gt;=12),12,0))</f>
        <v>0</v>
      </c>
      <c r="W23" s="614"/>
      <c r="X23" s="614"/>
      <c r="Y23" s="614"/>
      <c r="Z23" s="614"/>
      <c r="AA23" s="614"/>
      <c r="AB23" s="614"/>
      <c r="AC23" s="614"/>
      <c r="AD23" s="614"/>
      <c r="AE23" s="614"/>
      <c r="AF23" s="614"/>
      <c r="AG23" s="614"/>
      <c r="AH23" s="614"/>
      <c r="AI23" s="614"/>
      <c r="AJ23" s="614"/>
      <c r="AK23" s="614"/>
      <c r="AL23" s="614"/>
      <c r="AM23" s="614"/>
      <c r="AN23" s="614"/>
      <c r="AO23" s="614"/>
      <c r="AP23" s="614"/>
      <c r="AQ23" s="614"/>
      <c r="AR23" s="614"/>
      <c r="AS23" s="614"/>
      <c r="AT23" s="614"/>
      <c r="AU23" s="614"/>
      <c r="AV23" s="614"/>
      <c r="AW23" s="614"/>
      <c r="AX23" s="614"/>
      <c r="AY23" s="614"/>
      <c r="AZ23" s="614"/>
      <c r="BA23" s="614"/>
      <c r="BB23" s="614"/>
      <c r="BC23" s="614"/>
      <c r="BD23" s="614"/>
      <c r="BE23" s="614"/>
      <c r="BF23" s="614"/>
      <c r="BG23" s="614"/>
      <c r="BH23" s="614"/>
      <c r="BI23" s="614"/>
      <c r="BJ23" s="614"/>
      <c r="BK23" s="614"/>
      <c r="BL23" s="614"/>
      <c r="BM23" s="614"/>
      <c r="BN23" s="614"/>
      <c r="IY23" s="614" t="s">
        <v>220</v>
      </c>
      <c r="IZ23" s="614">
        <f>COUNTIF(B24:Q26,0)</f>
        <v>0</v>
      </c>
      <c r="JA23" s="614" t="s">
        <v>255</v>
      </c>
      <c r="JB23" s="614" t="s">
        <v>256</v>
      </c>
      <c r="JC23" s="614" t="s">
        <v>257</v>
      </c>
      <c r="JD23" s="614"/>
      <c r="JE23" s="614" t="s">
        <v>258</v>
      </c>
      <c r="JF23" s="614"/>
      <c r="JG23" s="614"/>
      <c r="JH23" s="614"/>
      <c r="JI23" s="614"/>
      <c r="JJ23" s="614"/>
      <c r="JK23" s="614"/>
      <c r="JL23" s="614"/>
    </row>
    <row r="24" spans="1:272" ht="25.5">
      <c r="A24" s="614"/>
      <c r="B24" s="614"/>
      <c r="C24" s="614"/>
      <c r="D24" s="614"/>
      <c r="E24" s="614"/>
      <c r="F24" s="614"/>
      <c r="G24" s="614"/>
      <c r="H24" s="614"/>
      <c r="I24" s="614"/>
      <c r="J24" s="614"/>
      <c r="K24" s="614"/>
      <c r="L24" s="614"/>
      <c r="M24" s="614"/>
      <c r="N24" s="614"/>
      <c r="O24" s="614"/>
      <c r="P24" s="614"/>
      <c r="Q24" s="623" t="s">
        <v>442</v>
      </c>
      <c r="R24" s="623" t="str">
        <f>IF(AND(SUM(R5:R7)&gt;=9,SUM(R8:R10)&gt;=9,SUM(R11:R13)&gt;=9,SUM(R14:R16)&gt;=9),"Allowed","Not Allowed")</f>
        <v>Not Allowed</v>
      </c>
      <c r="S24" s="624">
        <f>IF(OR(S4="Current Account",S4=AI10),COUNTIFS(S5:S16,0,W5:W16,"&lt;="&amp;S2)+COUNTIFS(S5:S16,"",W5:W16,"&lt;="&amp;S2),IF(OR(S4="Savings Account",S4=AI9),COUNTIFS(S5:S16,2,W5:W16,"&lt;="&amp;S2)+COUNTIFS(S5:S16,"",W5:W16,"&lt;="&amp;S2)+COUNTIFS(S5:S16,1,W5:W16,"&lt;="&amp;S2)+COUNTIFS(S5:S16,0,W5:W16,"&lt;="&amp;S2),""))</f>
        <v>0</v>
      </c>
      <c r="T24" s="623">
        <f>IF(OR(T4="Current Account",T4=AI10),COUNTIF(T5:T16,0)+COUNTIF(T5:T16,""),IF(OR(T4="Savings Account",T4=AI9),COUNTIF(T5:T16,2)+COUNTIF(T5:T16,"")+COUNTIF(T5:T16,1)+COUNTIF(T5:T16,0),""))</f>
        <v>12</v>
      </c>
      <c r="U24" s="623">
        <f>IF(OR(U4="Current Account",U4=AI10),COUNTIF(U5:U16,0)+COUNTIF(U5:U16,""),IF(OR(U4="Savings Account",U4=AI9),COUNTIF(U5:U16,2)+COUNTIF(U5:U16,"")+COUNTIF(U5:U16,1)+COUNTIF(U5:U16,0),""))</f>
        <v>12</v>
      </c>
      <c r="V24" s="623">
        <f>IF(OR(V4="Current Account",V4=AI10),COUNTIF(V5:V16,0)+COUNTIF(V5:V16,""),IF(OR(V4="Savings Account",V4=AI9),COUNTIF(V5:V16,2)+COUNTIF(V5:V16,"")+COUNTIF(V5:V16,1)+COUNTIF(V5:V16,0),""))</f>
        <v>12</v>
      </c>
      <c r="W24" s="614"/>
      <c r="X24" s="614"/>
      <c r="Y24" s="614"/>
      <c r="Z24" s="614"/>
      <c r="AA24" s="614"/>
      <c r="AB24" s="614"/>
      <c r="AC24" s="614"/>
      <c r="AD24" s="614"/>
      <c r="AE24" s="614"/>
      <c r="AF24" s="614"/>
      <c r="AG24" s="614"/>
      <c r="AH24" s="614"/>
      <c r="AI24" s="614"/>
      <c r="AJ24" s="614"/>
      <c r="AK24" s="614"/>
      <c r="AL24" s="614"/>
      <c r="AM24" s="614"/>
      <c r="AN24" s="614"/>
      <c r="AO24" s="614"/>
      <c r="AP24" s="614"/>
      <c r="AQ24" s="614"/>
      <c r="AR24" s="614"/>
      <c r="AS24" s="614"/>
      <c r="AT24" s="614"/>
      <c r="AU24" s="614"/>
      <c r="AV24" s="614"/>
      <c r="AW24" s="614"/>
      <c r="AX24" s="614"/>
      <c r="AY24" s="614"/>
      <c r="AZ24" s="614"/>
      <c r="BA24" s="614"/>
      <c r="BB24" s="614"/>
      <c r="BC24" s="614"/>
      <c r="BD24" s="614"/>
      <c r="BE24" s="614"/>
      <c r="BF24" s="614"/>
      <c r="BG24" s="614"/>
      <c r="BH24" s="614"/>
      <c r="BI24" s="614"/>
      <c r="BJ24" s="614"/>
      <c r="BK24" s="614"/>
      <c r="BL24" s="614"/>
      <c r="BM24" s="614"/>
      <c r="BN24" s="614"/>
      <c r="IY24" s="614" t="s">
        <v>221</v>
      </c>
      <c r="IZ24" s="614">
        <f>COUNTIF(B29:Q31,0)</f>
        <v>0</v>
      </c>
      <c r="JA24" s="614" t="s">
        <v>260</v>
      </c>
      <c r="JB24" s="614"/>
      <c r="JC24" s="614">
        <f>COUNTIF(B24:Q26,0)</f>
        <v>0</v>
      </c>
      <c r="JD24" s="614"/>
      <c r="JE24" s="614">
        <f>SUM(B24:B26,D24:D26,F24:F26,Q24:Q26)</f>
        <v>0</v>
      </c>
      <c r="JF24" s="614"/>
      <c r="JG24" s="614"/>
      <c r="JH24" s="614"/>
      <c r="JI24" s="614"/>
      <c r="JJ24" s="614"/>
      <c r="JK24" s="614"/>
      <c r="JL24" s="614"/>
    </row>
    <row r="25" spans="1:272">
      <c r="A25" s="614"/>
      <c r="B25" s="614"/>
      <c r="C25" s="614"/>
      <c r="D25" s="614"/>
      <c r="E25" s="614"/>
      <c r="F25" s="614"/>
      <c r="G25" s="614"/>
      <c r="H25" s="614"/>
      <c r="I25" s="614"/>
      <c r="J25" s="614"/>
      <c r="K25" s="614"/>
      <c r="L25" s="614"/>
      <c r="M25" s="614"/>
      <c r="N25" s="614"/>
      <c r="O25" s="614"/>
      <c r="P25" s="614"/>
      <c r="Q25" s="623" t="s">
        <v>261</v>
      </c>
      <c r="R25" s="623">
        <f>COUNTIF(R5:R16,0)+COUNTIF(R5:R16,"")</f>
        <v>12</v>
      </c>
      <c r="S25" s="624">
        <f>COUNTIFS(S5:S16,0,W5:W16,"&gt;="&amp;S2)+COUNTIFS(S5:S16,"",W5:W16,"&gt;="&amp;S2)</f>
        <v>0</v>
      </c>
      <c r="T25" s="623">
        <f>COUNTIF(T5:T16,0)+COUNTIF(T5:T16,"")</f>
        <v>12</v>
      </c>
      <c r="U25" s="623">
        <f>COUNTIF(U5:U16,0)+COUNTIF(U5:U16,"")</f>
        <v>12</v>
      </c>
      <c r="V25" s="623">
        <f>COUNTIF(V5:V16,0)+COUNTIF(V5:V16,"")</f>
        <v>12</v>
      </c>
      <c r="W25" s="614"/>
      <c r="X25" s="614"/>
      <c r="Y25" s="614"/>
      <c r="Z25" s="614"/>
      <c r="AA25" s="614"/>
      <c r="AB25" s="614"/>
      <c r="AC25" s="614"/>
      <c r="AD25" s="614"/>
      <c r="AE25" s="614"/>
      <c r="AF25" s="614"/>
      <c r="AG25" s="614"/>
      <c r="AH25" s="614"/>
      <c r="AI25" s="614"/>
      <c r="AJ25" s="614"/>
      <c r="AK25" s="614"/>
      <c r="AL25" s="614"/>
      <c r="AM25" s="614"/>
      <c r="AN25" s="614"/>
      <c r="AO25" s="614"/>
      <c r="AP25" s="614"/>
      <c r="AQ25" s="614"/>
      <c r="AR25" s="614"/>
      <c r="AS25" s="614"/>
      <c r="AT25" s="614"/>
      <c r="AU25" s="614"/>
      <c r="AV25" s="614"/>
      <c r="AW25" s="614"/>
      <c r="AX25" s="614"/>
      <c r="AY25" s="614"/>
      <c r="AZ25" s="614"/>
      <c r="BA25" s="614"/>
      <c r="BB25" s="614"/>
      <c r="BC25" s="614"/>
      <c r="BD25" s="614"/>
      <c r="BE25" s="614"/>
      <c r="BF25" s="614"/>
      <c r="BG25" s="614"/>
      <c r="BH25" s="614"/>
      <c r="BI25" s="614"/>
      <c r="BJ25" s="614"/>
      <c r="BK25" s="614"/>
      <c r="BL25" s="614"/>
      <c r="BM25" s="614"/>
      <c r="BN25" s="614"/>
      <c r="IY25" s="614" t="s">
        <v>222</v>
      </c>
      <c r="IZ25" s="614">
        <f>COUNTIF(B36:Q38,0)</f>
        <v>0</v>
      </c>
      <c r="JA25" s="614" t="s">
        <v>262</v>
      </c>
      <c r="JB25" s="614"/>
      <c r="JC25" s="614">
        <f>COUNTIF(B24:Q26,1)</f>
        <v>0</v>
      </c>
      <c r="JD25" s="614"/>
      <c r="JE25" s="614"/>
      <c r="JF25" s="614"/>
      <c r="JG25" s="614"/>
      <c r="JH25" s="614"/>
      <c r="JI25" s="614"/>
      <c r="JJ25" s="614"/>
      <c r="JK25" s="614"/>
      <c r="JL25" s="614"/>
    </row>
    <row r="26" spans="1:272">
      <c r="A26" s="614"/>
      <c r="B26" s="614"/>
      <c r="C26" s="614"/>
      <c r="D26" s="614"/>
      <c r="E26" s="614"/>
      <c r="F26" s="614"/>
      <c r="G26" s="614"/>
      <c r="H26" s="614"/>
      <c r="I26" s="614"/>
      <c r="J26" s="614"/>
      <c r="K26" s="614"/>
      <c r="L26" s="614"/>
      <c r="M26" s="614"/>
      <c r="N26" s="614"/>
      <c r="O26" s="614"/>
      <c r="P26" s="614"/>
      <c r="Q26" s="623" t="s">
        <v>263</v>
      </c>
      <c r="R26" s="623" t="s">
        <v>581</v>
      </c>
      <c r="S26" s="623">
        <f>COUNTIF(S14:S16,"")+COUNTIF(S14:S16,0)</f>
        <v>3</v>
      </c>
      <c r="T26" s="623">
        <f>COUNTIF(T14:T16,"")+COUNTIF(T14:T16,0)</f>
        <v>3</v>
      </c>
      <c r="U26" s="623">
        <f>COUNTIF(U14:U16,"")+COUNTIF(U14:U16,0)</f>
        <v>3</v>
      </c>
      <c r="V26" s="623">
        <f>COUNTIF(V14:V16,"")+COUNTIF(V14:V16,0)</f>
        <v>3</v>
      </c>
      <c r="W26" s="614"/>
      <c r="X26" s="614"/>
      <c r="Y26" s="614"/>
      <c r="Z26" s="614"/>
      <c r="AA26" s="614"/>
      <c r="AB26" s="614"/>
      <c r="AC26" s="614"/>
      <c r="AD26" s="614"/>
      <c r="AE26" s="614"/>
      <c r="AF26" s="614"/>
      <c r="AG26" s="614"/>
      <c r="AH26" s="614"/>
      <c r="AI26" s="614"/>
      <c r="AJ26" s="614"/>
      <c r="AK26" s="614"/>
      <c r="AL26" s="614"/>
      <c r="AM26" s="614"/>
      <c r="AN26" s="614"/>
      <c r="AO26" s="614"/>
      <c r="AP26" s="614"/>
      <c r="AQ26" s="614"/>
      <c r="AR26" s="614"/>
      <c r="AS26" s="614"/>
      <c r="AT26" s="614"/>
      <c r="AU26" s="614"/>
      <c r="AV26" s="614"/>
      <c r="AW26" s="614"/>
      <c r="AX26" s="614"/>
      <c r="AY26" s="614"/>
      <c r="AZ26" s="614"/>
      <c r="BA26" s="614"/>
      <c r="BB26" s="614"/>
      <c r="BC26" s="614"/>
      <c r="BD26" s="614"/>
      <c r="BE26" s="614"/>
      <c r="BF26" s="614"/>
      <c r="BG26" s="614"/>
      <c r="BH26" s="614"/>
      <c r="BI26" s="614"/>
      <c r="BJ26" s="614"/>
      <c r="BK26" s="614"/>
      <c r="BL26" s="614"/>
      <c r="BM26" s="614"/>
      <c r="BN26" s="614"/>
      <c r="IZ26" s="614">
        <v>2</v>
      </c>
      <c r="JA26" s="614"/>
      <c r="JB26" s="614"/>
      <c r="JC26" s="614">
        <f>COUNTIF(B24:Q26,2)</f>
        <v>0</v>
      </c>
      <c r="JD26" s="614"/>
      <c r="JE26" s="614"/>
      <c r="JF26" s="614"/>
      <c r="JG26" s="614"/>
      <c r="JH26" s="614"/>
      <c r="JI26" s="614"/>
      <c r="JJ26" s="614"/>
      <c r="JK26" s="614"/>
      <c r="JL26" s="614"/>
    </row>
    <row r="27" spans="1:272">
      <c r="A27" s="614"/>
      <c r="B27" s="614"/>
      <c r="C27" s="614">
        <v>1</v>
      </c>
      <c r="D27" s="614"/>
      <c r="E27" s="614"/>
      <c r="F27" s="614"/>
      <c r="G27" s="614"/>
      <c r="H27" s="614"/>
      <c r="I27" s="614"/>
      <c r="J27" s="614"/>
      <c r="K27" s="614"/>
      <c r="L27" s="614"/>
      <c r="M27" s="614"/>
      <c r="N27" s="614"/>
      <c r="O27" s="614"/>
      <c r="P27" s="614"/>
      <c r="Q27" s="623" t="s">
        <v>264</v>
      </c>
      <c r="R27" s="623">
        <f>COUNTIF(R14:R16,0)+COUNTIF(R14:R16,"")</f>
        <v>3</v>
      </c>
      <c r="S27" s="623">
        <f>COUNTIF(S14:S16,0)+COUNTIF(S14:S16,"")</f>
        <v>3</v>
      </c>
      <c r="T27" s="623">
        <f>COUNTIF(T14:T16,0)+COUNTIF(T14:T16,"")</f>
        <v>3</v>
      </c>
      <c r="U27" s="623">
        <f>COUNTIF(U14:U16,0)+COUNTIF(U14:U16,"")</f>
        <v>3</v>
      </c>
      <c r="V27" s="623">
        <f>COUNTIF(V14:V16,0)+COUNTIF(V14:V16,"")</f>
        <v>3</v>
      </c>
      <c r="W27" s="614"/>
      <c r="X27" s="614"/>
      <c r="Y27" s="614"/>
      <c r="Z27" s="614"/>
      <c r="AA27" s="614"/>
      <c r="AB27" s="614"/>
      <c r="AC27" s="614"/>
      <c r="AD27" s="614"/>
      <c r="AE27" s="614"/>
      <c r="AF27" s="614"/>
      <c r="AG27" s="614"/>
      <c r="AH27" s="614"/>
      <c r="AI27" s="614"/>
      <c r="AJ27" s="614"/>
      <c r="AK27" s="614"/>
      <c r="AL27" s="614"/>
      <c r="AM27" s="614"/>
      <c r="AN27" s="614"/>
      <c r="AO27" s="614"/>
      <c r="AP27" s="614"/>
      <c r="AQ27" s="614"/>
      <c r="AR27" s="614"/>
      <c r="AS27" s="614"/>
      <c r="AT27" s="614"/>
      <c r="AU27" s="614"/>
      <c r="AV27" s="614"/>
      <c r="AW27" s="614"/>
      <c r="AX27" s="614"/>
      <c r="AY27" s="614"/>
      <c r="AZ27" s="614"/>
      <c r="BA27" s="614"/>
      <c r="BB27" s="614"/>
      <c r="BC27" s="614"/>
      <c r="BD27" s="614"/>
      <c r="BE27" s="614"/>
      <c r="BF27" s="614"/>
      <c r="BG27" s="614"/>
      <c r="BH27" s="614"/>
      <c r="BI27" s="614"/>
      <c r="BJ27" s="614"/>
      <c r="BK27" s="614"/>
      <c r="BL27" s="614"/>
      <c r="BM27" s="614"/>
      <c r="BN27" s="614"/>
      <c r="JA27" s="614"/>
      <c r="JB27" s="614"/>
      <c r="JC27" s="614"/>
      <c r="JD27" s="614">
        <v>1</v>
      </c>
      <c r="JE27" s="625" t="str">
        <f>IF(JE24&lt;36,"Cannot be done under Banking product as sum of business entries is less than 36","ok")</f>
        <v>Cannot be done under Banking product as sum of business entries is less than 36</v>
      </c>
      <c r="JF27" s="614"/>
      <c r="JG27" s="614"/>
      <c r="JH27" s="614"/>
      <c r="JI27" s="614"/>
      <c r="JJ27" s="614"/>
      <c r="JK27" s="614"/>
      <c r="JL27" s="614"/>
    </row>
    <row r="28" spans="1:272" ht="25.5">
      <c r="A28" s="614"/>
      <c r="B28" s="614"/>
      <c r="C28" s="614">
        <v>2</v>
      </c>
      <c r="D28" s="614"/>
      <c r="E28" s="614"/>
      <c r="F28" s="614"/>
      <c r="G28" s="614"/>
      <c r="H28" s="614"/>
      <c r="I28" s="614"/>
      <c r="J28" s="614"/>
      <c r="K28" s="614"/>
      <c r="L28" s="614"/>
      <c r="M28" s="614"/>
      <c r="N28" s="614"/>
      <c r="O28" s="614"/>
      <c r="P28" s="614"/>
      <c r="Q28" s="614" t="s">
        <v>549</v>
      </c>
      <c r="R28" s="614" t="str">
        <f>IF(AND(SUM(R5:R7)&gt;=9,SUM(R8:R10)&gt;=9,SUM(R11:R13)&gt;=9,SUM(R14:R16)&gt;=9),"&gt;9","&lt;9")</f>
        <v>&lt;9</v>
      </c>
      <c r="S28" s="614"/>
      <c r="T28" s="614"/>
      <c r="U28" s="614"/>
      <c r="V28" s="614"/>
      <c r="W28" s="614"/>
      <c r="X28" s="614"/>
      <c r="Y28" s="614"/>
      <c r="Z28" s="614"/>
      <c r="AA28" s="614"/>
      <c r="AB28" s="614"/>
      <c r="AC28" s="614"/>
      <c r="AD28" s="614"/>
      <c r="AE28" s="614"/>
      <c r="AF28" s="614"/>
      <c r="AG28" s="614"/>
      <c r="AH28" s="614"/>
      <c r="AI28" s="614"/>
      <c r="AJ28" s="614"/>
      <c r="AK28" s="614"/>
      <c r="AL28" s="614"/>
      <c r="AM28" s="614"/>
      <c r="AN28" s="614"/>
      <c r="AO28" s="614"/>
      <c r="AP28" s="614"/>
      <c r="AQ28" s="614"/>
      <c r="AR28" s="614"/>
      <c r="AS28" s="614"/>
      <c r="AT28" s="614"/>
      <c r="AU28" s="614"/>
      <c r="AV28" s="614"/>
      <c r="AW28" s="614"/>
      <c r="AX28" s="614"/>
      <c r="AY28" s="614"/>
      <c r="AZ28" s="614"/>
      <c r="BA28" s="614"/>
      <c r="BB28" s="614"/>
      <c r="BC28" s="614"/>
      <c r="BD28" s="614"/>
      <c r="BE28" s="614"/>
      <c r="BF28" s="614"/>
      <c r="BG28" s="614"/>
      <c r="BH28" s="614"/>
      <c r="BI28" s="614"/>
      <c r="BJ28" s="614"/>
      <c r="BK28" s="614"/>
      <c r="BL28" s="614"/>
      <c r="BM28" s="614"/>
      <c r="BN28" s="614"/>
      <c r="JA28" s="614"/>
      <c r="JB28" s="614"/>
      <c r="JC28" s="614"/>
      <c r="JD28" s="614">
        <v>2</v>
      </c>
      <c r="JE28" s="614" t="s">
        <v>358</v>
      </c>
      <c r="JF28" s="614"/>
      <c r="JG28" s="625" t="s">
        <v>479</v>
      </c>
      <c r="JH28" s="614"/>
      <c r="JI28" s="614"/>
      <c r="JJ28" s="614"/>
      <c r="JK28" s="614"/>
      <c r="JL28" s="614"/>
    </row>
    <row r="29" spans="1:272">
      <c r="A29" s="614"/>
      <c r="B29" s="614"/>
      <c r="C29" s="614">
        <v>3</v>
      </c>
      <c r="D29" s="614"/>
      <c r="E29" s="614"/>
      <c r="F29" s="614"/>
      <c r="G29" s="614"/>
      <c r="H29" s="614"/>
      <c r="I29" s="614"/>
      <c r="J29" s="614"/>
      <c r="K29" s="614"/>
      <c r="L29" s="614"/>
      <c r="M29" s="614"/>
      <c r="N29" s="614"/>
      <c r="O29" s="614"/>
      <c r="P29" s="614"/>
      <c r="Q29" s="614" t="s">
        <v>265</v>
      </c>
      <c r="R29" s="614"/>
      <c r="S29" s="614"/>
      <c r="T29" s="614"/>
      <c r="U29" s="614"/>
      <c r="V29" s="614"/>
      <c r="W29" s="614"/>
      <c r="X29" s="614"/>
      <c r="Y29" s="614"/>
      <c r="Z29" s="614"/>
      <c r="AA29" s="614"/>
      <c r="AB29" s="614"/>
      <c r="AC29" s="614"/>
      <c r="AD29" s="614"/>
      <c r="AE29" s="614"/>
      <c r="AF29" s="614"/>
      <c r="AG29" s="614"/>
      <c r="AH29" s="614"/>
      <c r="AI29" s="614"/>
      <c r="AJ29" s="614"/>
      <c r="AK29" s="614"/>
      <c r="AL29" s="614"/>
      <c r="AM29" s="614"/>
      <c r="AN29" s="614"/>
      <c r="AO29" s="614"/>
      <c r="AP29" s="614"/>
      <c r="AQ29" s="614"/>
      <c r="AR29" s="614"/>
      <c r="AS29" s="614"/>
      <c r="AT29" s="614"/>
      <c r="AU29" s="614"/>
      <c r="AV29" s="614"/>
      <c r="AW29" s="614"/>
      <c r="AX29" s="614"/>
      <c r="AY29" s="614"/>
      <c r="AZ29" s="614"/>
      <c r="BA29" s="614"/>
      <c r="BB29" s="614"/>
      <c r="BC29" s="614"/>
      <c r="BD29" s="614"/>
      <c r="BE29" s="614"/>
      <c r="BF29" s="614"/>
      <c r="BG29" s="614"/>
      <c r="BH29" s="614"/>
      <c r="BI29" s="614"/>
      <c r="BJ29" s="614"/>
      <c r="BK29" s="614"/>
      <c r="BL29" s="614"/>
      <c r="BM29" s="614"/>
      <c r="BN29" s="614"/>
      <c r="JA29" s="614"/>
      <c r="JB29" s="614"/>
      <c r="JC29" s="614"/>
      <c r="JD29" s="614">
        <v>3</v>
      </c>
      <c r="JE29" s="614" t="s">
        <v>357</v>
      </c>
      <c r="JF29" s="614"/>
      <c r="JG29" s="614"/>
      <c r="JH29" s="614"/>
      <c r="JI29" s="614"/>
      <c r="JJ29" s="614"/>
      <c r="JK29" s="614"/>
      <c r="JL29" s="614"/>
    </row>
    <row r="30" spans="1:272" ht="127.5">
      <c r="A30" s="614"/>
      <c r="B30" s="614"/>
      <c r="C30" s="614">
        <v>4</v>
      </c>
      <c r="D30" s="614"/>
      <c r="E30" s="614"/>
      <c r="F30" s="614"/>
      <c r="G30" s="614"/>
      <c r="H30" s="614"/>
      <c r="I30" s="614"/>
      <c r="J30" s="614"/>
      <c r="K30" s="614"/>
      <c r="L30" s="614"/>
      <c r="M30" s="614"/>
      <c r="N30" s="614"/>
      <c r="O30" s="614"/>
      <c r="P30" s="614"/>
      <c r="Q30" s="623" t="s">
        <v>254</v>
      </c>
      <c r="R30" s="626" t="str">
        <f>IF(R23=36,"Allowed","Not Allowed")</f>
        <v>Not Allowed</v>
      </c>
      <c r="S30" s="626" t="str">
        <f>IF(S4="","",IF(OR(S23=12,S23=36),"Allowed","Not Allowed"))</f>
        <v/>
      </c>
      <c r="T30" s="626" t="str">
        <f>IF(T4="","",IF(OR(T23=12,T23=36),"Allowed","Not Allowed"))</f>
        <v/>
      </c>
      <c r="U30" s="626" t="str">
        <f>IF(U4="","",IF(OR(U23=12,U23=36),"Allowed","Not Allowed"))</f>
        <v/>
      </c>
      <c r="V30" s="626" t="str">
        <f>IF(V4="","",IF(OR(V23=12,V23=36),"Allowed","Not Allowed"))</f>
        <v/>
      </c>
      <c r="W30" s="614"/>
      <c r="X30" s="614"/>
      <c r="Y30" s="614"/>
      <c r="Z30" s="614"/>
      <c r="AA30" s="614"/>
      <c r="AB30" s="614"/>
      <c r="AC30" s="614"/>
      <c r="AD30" s="614"/>
      <c r="AE30" s="614"/>
      <c r="AF30" s="614"/>
      <c r="AG30" s="614"/>
      <c r="AH30" s="614"/>
      <c r="AI30" s="614"/>
      <c r="AJ30" s="614"/>
      <c r="AK30" s="614"/>
      <c r="AL30" s="614"/>
      <c r="AM30" s="614"/>
      <c r="AN30" s="614"/>
      <c r="AO30" s="614"/>
      <c r="AP30" s="614"/>
      <c r="AQ30" s="614"/>
      <c r="AR30" s="614"/>
      <c r="AS30" s="614"/>
      <c r="AT30" s="614"/>
      <c r="AU30" s="614"/>
      <c r="AV30" s="614"/>
      <c r="AW30" s="614"/>
      <c r="AX30" s="614"/>
      <c r="AY30" s="614"/>
      <c r="AZ30" s="614"/>
      <c r="BA30" s="614"/>
      <c r="BB30" s="614"/>
      <c r="BC30" s="614"/>
      <c r="BD30" s="614"/>
      <c r="BE30" s="614"/>
      <c r="BF30" s="614"/>
      <c r="BG30" s="614"/>
      <c r="BH30" s="614"/>
      <c r="BI30" s="614"/>
      <c r="BJ30" s="614"/>
      <c r="BK30" s="614"/>
      <c r="BL30" s="614"/>
      <c r="BM30" s="614"/>
      <c r="BN30" s="614"/>
      <c r="JA30" s="614"/>
      <c r="JB30" s="614"/>
      <c r="JC30" s="614"/>
      <c r="JD30" s="614"/>
      <c r="JE30" s="614" t="str">
        <f>CONCATENATE("1. ",JE28,"2. ",JE29,IF(JE27="ok","","3. "),IF(JE27="ok","",JE27))</f>
        <v>1. Cannot be done2. ok3. Cannot be done under Banking product as sum of business entries is less than 36</v>
      </c>
      <c r="JF30" s="614"/>
      <c r="JG30" s="614"/>
      <c r="JH30" s="614"/>
      <c r="JI30" s="614"/>
      <c r="JJ30" s="614"/>
      <c r="JK30" s="614"/>
      <c r="JL30" s="614"/>
    </row>
    <row r="31" spans="1:272" ht="25.5">
      <c r="A31" s="614"/>
      <c r="B31" s="614"/>
      <c r="C31" s="614">
        <v>5</v>
      </c>
      <c r="D31" s="614"/>
      <c r="E31" s="614"/>
      <c r="F31" s="614"/>
      <c r="G31" s="614"/>
      <c r="H31" s="614"/>
      <c r="I31" s="614"/>
      <c r="J31" s="614"/>
      <c r="K31" s="614"/>
      <c r="L31" s="614"/>
      <c r="M31" s="614"/>
      <c r="N31" s="614"/>
      <c r="O31" s="614"/>
      <c r="P31" s="614"/>
      <c r="Q31" s="623" t="s">
        <v>442</v>
      </c>
      <c r="R31" s="627" t="str">
        <f>IF(AND(SUM(R5:R7)&gt;=9,SUM(R8:R10)&gt;=9,SUM(R11:R13)&gt;=9,SUM(R14:R16)&gt;=9),"Allowed","Not Allowed")</f>
        <v>Not Allowed</v>
      </c>
      <c r="S31" s="627" t="str">
        <f>IF(S4="","",IF(AND(S4="Savings Account",S23=36,S24&lt;=3),IF(S24=0,"Allowed","L1"),IF(AND(S4="Current Account",S23=12,S24&lt;=3),IF(S24=0,"Allowed","L1"),"Not Allowed")))</f>
        <v/>
      </c>
      <c r="T31" s="627" t="str">
        <f>IF(T4="","",IF(AND(S4="Savings Account",T23=36,T24&lt;=3),IF(T24=0,"Allowed","L1"),IF(AND(T4="Current Account",T23=12,T24&lt;=3),IF(T24=0,"Allowed","L1"),"Not Allowed")))</f>
        <v/>
      </c>
      <c r="U31" s="627" t="str">
        <f>IF(U4="","",IF(AND(S4="Savings Account",U23=36,U24&lt;=3),IF(U24=0,"Allowed","L1"),IF(AND(U4="Current Account",U23=12,U24&lt;=3),IF(U24=0,"Allowed","L1"),"Not Allowed")))</f>
        <v/>
      </c>
      <c r="V31" s="627" t="str">
        <f>IF(V4="","",IF(AND(S4="Savings Account",V23=36,V24&lt;=3),IF(V24=0,"Allowed","L1"),IF(AND(V4="Current Account",V23=12,V24&lt;=3),IF(V24=0,"Allowed","L1"),"Not Allowed")))</f>
        <v/>
      </c>
      <c r="W31" s="614"/>
      <c r="X31" s="614"/>
      <c r="Y31" s="614"/>
      <c r="Z31" s="614"/>
      <c r="AA31" s="614"/>
      <c r="AB31" s="614"/>
      <c r="AC31" s="614"/>
      <c r="AD31" s="614"/>
      <c r="AE31" s="614"/>
      <c r="AF31" s="614"/>
      <c r="AG31" s="614"/>
      <c r="AH31" s="614"/>
      <c r="AI31" s="614"/>
      <c r="AJ31" s="614"/>
      <c r="AK31" s="614"/>
      <c r="AL31" s="614"/>
      <c r="AM31" s="614"/>
      <c r="AN31" s="614"/>
      <c r="AO31" s="614"/>
      <c r="AP31" s="614"/>
      <c r="AQ31" s="614"/>
      <c r="AR31" s="614"/>
      <c r="AS31" s="614"/>
      <c r="AT31" s="614"/>
      <c r="AU31" s="614"/>
      <c r="AV31" s="614"/>
      <c r="AW31" s="614"/>
      <c r="AX31" s="614"/>
      <c r="AY31" s="614"/>
      <c r="AZ31" s="614"/>
      <c r="BA31" s="614"/>
      <c r="BB31" s="614"/>
      <c r="BC31" s="614"/>
      <c r="BD31" s="614"/>
      <c r="BE31" s="614"/>
      <c r="BF31" s="614"/>
      <c r="BG31" s="614"/>
      <c r="BH31" s="614"/>
      <c r="BI31" s="614"/>
      <c r="BJ31" s="614"/>
      <c r="BK31" s="614"/>
      <c r="BL31" s="614"/>
      <c r="BM31" s="614"/>
      <c r="BN31" s="614"/>
      <c r="JA31" s="614"/>
      <c r="JB31" s="614"/>
      <c r="JC31" s="614"/>
      <c r="JD31" s="614"/>
      <c r="JE31" s="614"/>
      <c r="JF31" s="614"/>
      <c r="JG31" s="614"/>
      <c r="JH31" s="614"/>
      <c r="JI31" s="614"/>
      <c r="JJ31" s="614"/>
      <c r="JK31" s="614"/>
      <c r="JL31" s="614"/>
    </row>
    <row r="32" spans="1:272">
      <c r="A32" s="614"/>
      <c r="B32" s="614"/>
      <c r="C32" s="614"/>
      <c r="D32" s="614"/>
      <c r="E32" s="614"/>
      <c r="F32" s="614"/>
      <c r="G32" s="614"/>
      <c r="H32" s="614"/>
      <c r="I32" s="614"/>
      <c r="J32" s="614"/>
      <c r="K32" s="614"/>
      <c r="L32" s="614"/>
      <c r="M32" s="614"/>
      <c r="N32" s="614"/>
      <c r="O32" s="614"/>
      <c r="P32" s="614"/>
      <c r="Q32" s="623" t="s">
        <v>261</v>
      </c>
      <c r="R32" s="627" t="str">
        <f>IF(R25=0,"Allowed",IF(R25&lt;=1,"Head Secured Credit","Not Allowed"))</f>
        <v>Not Allowed</v>
      </c>
      <c r="S32" s="627" t="str">
        <f>IF(S4="","",IF(OR(S31="Allowed",S31="L1"),S31,"Not Allowed"))</f>
        <v/>
      </c>
      <c r="T32" s="627" t="str">
        <f t="shared" ref="T32:V32" si="4">IF(T4="","",IF(OR(T31="Allowed",T31="L1"),T31,"Not Allowed"))</f>
        <v/>
      </c>
      <c r="U32" s="627" t="str">
        <f t="shared" si="4"/>
        <v/>
      </c>
      <c r="V32" s="627" t="str">
        <f t="shared" si="4"/>
        <v/>
      </c>
      <c r="W32" s="614"/>
      <c r="X32" s="614"/>
      <c r="Y32" s="614"/>
      <c r="Z32" s="614"/>
      <c r="AA32" s="614"/>
      <c r="AB32" s="614"/>
      <c r="AC32" s="614"/>
      <c r="AD32" s="614"/>
      <c r="AE32" s="614"/>
      <c r="AF32" s="614"/>
      <c r="AG32" s="614"/>
      <c r="AH32" s="614"/>
      <c r="AI32" s="614"/>
      <c r="AJ32" s="614"/>
      <c r="AK32" s="614"/>
      <c r="AL32" s="614"/>
      <c r="AM32" s="614"/>
      <c r="AN32" s="614"/>
      <c r="AO32" s="614"/>
      <c r="AP32" s="614"/>
      <c r="AQ32" s="614"/>
      <c r="AR32" s="614"/>
      <c r="AS32" s="614"/>
      <c r="AT32" s="614"/>
      <c r="AU32" s="614"/>
      <c r="AV32" s="614"/>
      <c r="AW32" s="614"/>
      <c r="AX32" s="614"/>
      <c r="AY32" s="614"/>
      <c r="AZ32" s="614"/>
      <c r="BA32" s="614"/>
      <c r="BB32" s="614"/>
      <c r="BC32" s="614"/>
      <c r="BD32" s="614"/>
      <c r="BE32" s="614"/>
      <c r="BF32" s="614"/>
      <c r="BG32" s="614"/>
      <c r="BH32" s="614"/>
      <c r="BI32" s="614"/>
      <c r="BJ32" s="614"/>
      <c r="BK32" s="614"/>
      <c r="BL32" s="614"/>
      <c r="BM32" s="614"/>
      <c r="BN32" s="614"/>
      <c r="JA32" s="614"/>
      <c r="JB32" s="614"/>
      <c r="JC32" s="614"/>
      <c r="JD32" s="614"/>
      <c r="JE32" s="614"/>
      <c r="JF32" s="614"/>
      <c r="JG32" s="614"/>
      <c r="JH32" s="614"/>
      <c r="JI32" s="614"/>
      <c r="JJ32" s="614"/>
      <c r="JK32" s="614"/>
      <c r="JL32" s="614"/>
    </row>
    <row r="33" spans="1:272">
      <c r="A33" s="614"/>
      <c r="B33" s="614"/>
      <c r="C33" s="614"/>
      <c r="D33" s="614"/>
      <c r="E33" s="614"/>
      <c r="F33" s="614"/>
      <c r="G33" s="614"/>
      <c r="H33" s="614"/>
      <c r="I33" s="614"/>
      <c r="J33" s="614"/>
      <c r="K33" s="614"/>
      <c r="L33" s="614"/>
      <c r="M33" s="614"/>
      <c r="N33" s="614"/>
      <c r="O33" s="614"/>
      <c r="P33" s="614"/>
      <c r="Q33" s="623" t="s">
        <v>263</v>
      </c>
      <c r="R33" s="626" t="s">
        <v>580</v>
      </c>
      <c r="S33" s="626" t="str">
        <f>IF(OR(S4="Current Account",S4=AI10),IF(S26&gt;0,"Not Allowed","Allowed"),IF(OR(S4="Savings Account",S4=AI9),"Allowed",""))</f>
        <v>Not Allowed</v>
      </c>
      <c r="T33" s="626" t="str">
        <f>IF(T4="Current Account",IF(T26&gt;0,"Not Allowed","Allowed"),IF(T4="Savings Account","Allowed",""))</f>
        <v/>
      </c>
      <c r="U33" s="626" t="str">
        <f>IF(U4="Current Account",IF(U26&gt;0,"Not Allowed","Allowed"),IF(U4="Savings Account","Allowed",""))</f>
        <v/>
      </c>
      <c r="V33" s="626" t="str">
        <f>IF(V4="Current Account",IF(V26&gt;0,"Not Allowed","Allowed"),IF(V4="Savings Account","Allowed",""))</f>
        <v/>
      </c>
      <c r="W33" s="614"/>
      <c r="X33" s="614"/>
      <c r="Y33" s="614"/>
      <c r="Z33" s="614"/>
      <c r="AA33" s="614"/>
      <c r="AB33" s="614"/>
      <c r="AC33" s="614"/>
      <c r="AD33" s="614"/>
      <c r="AE33" s="614"/>
      <c r="AF33" s="614"/>
      <c r="AG33" s="614"/>
      <c r="AH33" s="614"/>
      <c r="AI33" s="614"/>
      <c r="AJ33" s="614"/>
      <c r="AK33" s="614"/>
      <c r="AL33" s="614"/>
      <c r="AM33" s="614"/>
      <c r="AN33" s="614"/>
      <c r="AO33" s="614"/>
      <c r="AP33" s="614"/>
      <c r="AQ33" s="614"/>
      <c r="AR33" s="614"/>
      <c r="AS33" s="614"/>
      <c r="AT33" s="614"/>
      <c r="AU33" s="614"/>
      <c r="AV33" s="614"/>
      <c r="AW33" s="614"/>
      <c r="AX33" s="614"/>
      <c r="AY33" s="614"/>
      <c r="AZ33" s="614"/>
      <c r="BA33" s="614"/>
      <c r="BB33" s="614"/>
      <c r="BC33" s="614"/>
      <c r="BD33" s="614"/>
      <c r="BE33" s="614"/>
      <c r="BF33" s="614"/>
      <c r="BG33" s="614"/>
      <c r="BH33" s="614"/>
      <c r="BI33" s="614"/>
      <c r="BJ33" s="614"/>
      <c r="BK33" s="614"/>
      <c r="BL33" s="614"/>
      <c r="BM33" s="614"/>
      <c r="BN33" s="614"/>
      <c r="JA33" s="614"/>
      <c r="JB33" s="614"/>
      <c r="JC33" s="614"/>
      <c r="JD33" s="614"/>
      <c r="JE33" s="614"/>
      <c r="JF33" s="614"/>
      <c r="JG33" s="614"/>
      <c r="JH33" s="614"/>
      <c r="JI33" s="614"/>
      <c r="JJ33" s="614"/>
      <c r="JK33" s="614"/>
      <c r="JL33" s="614"/>
    </row>
    <row r="34" spans="1:272">
      <c r="A34" s="614"/>
      <c r="B34" s="614"/>
      <c r="C34" s="614"/>
      <c r="D34" s="614"/>
      <c r="E34" s="614"/>
      <c r="F34" s="614"/>
      <c r="G34" s="614"/>
      <c r="H34" s="614"/>
      <c r="I34" s="614"/>
      <c r="J34" s="614"/>
      <c r="K34" s="614"/>
      <c r="L34" s="614"/>
      <c r="M34" s="614"/>
      <c r="N34" s="614"/>
      <c r="O34" s="614"/>
      <c r="P34" s="614"/>
      <c r="Q34" s="623" t="s">
        <v>264</v>
      </c>
      <c r="R34" s="626" t="str">
        <f>IF(R27&gt;0,"Not Allowed","Allowed")</f>
        <v>Not Allowed</v>
      </c>
      <c r="S34" s="626" t="str">
        <f>IF(OR(S4="Current Account",S4=AI10),IF(S27&gt;0,"Not Allowed","Allowed"),IF(OR(S4="Savings Account",S4=AI9),"Allowed",""))</f>
        <v>Not Allowed</v>
      </c>
      <c r="T34" s="626" t="str">
        <f>IF(T4="Current Account",IF(T27&gt;0,"Not Allowed","Allowed"),IF(T4="Savings Account","Allowed",""))</f>
        <v/>
      </c>
      <c r="U34" s="626" t="str">
        <f>IF(U4="Current Account",IF(U27&gt;0,"Not Allowed","Allowed"),IF(U4="Savings Account","Allowed",""))</f>
        <v/>
      </c>
      <c r="V34" s="626" t="str">
        <f>IF(V4="Current Account",IF(V27&gt;0,"Not Allowed","Allowed"),IF(V4="Savings Account","Allowed",""))</f>
        <v/>
      </c>
      <c r="W34" s="614"/>
      <c r="X34" s="614"/>
      <c r="Y34" s="614"/>
      <c r="Z34" s="614"/>
      <c r="AA34" s="614"/>
      <c r="AB34" s="614"/>
      <c r="AC34" s="614"/>
      <c r="AD34" s="614"/>
      <c r="AE34" s="614"/>
      <c r="AF34" s="614"/>
      <c r="AG34" s="614"/>
      <c r="AH34" s="614"/>
      <c r="AI34" s="614"/>
      <c r="AJ34" s="614"/>
      <c r="AK34" s="614"/>
      <c r="AL34" s="614"/>
      <c r="AM34" s="614"/>
      <c r="AN34" s="614"/>
      <c r="AO34" s="614"/>
      <c r="AP34" s="614"/>
      <c r="AQ34" s="614"/>
      <c r="AR34" s="614"/>
      <c r="AS34" s="614"/>
      <c r="AT34" s="614"/>
      <c r="AU34" s="614"/>
      <c r="AV34" s="614"/>
      <c r="AW34" s="614"/>
      <c r="AX34" s="614"/>
      <c r="AY34" s="614"/>
      <c r="AZ34" s="614"/>
      <c r="BA34" s="614"/>
      <c r="BB34" s="614"/>
      <c r="BC34" s="614"/>
      <c r="BD34" s="614"/>
      <c r="BE34" s="614"/>
      <c r="BF34" s="614"/>
      <c r="BG34" s="614"/>
      <c r="BH34" s="614"/>
      <c r="BI34" s="614"/>
      <c r="BJ34" s="614"/>
      <c r="BK34" s="614"/>
      <c r="BL34" s="614"/>
      <c r="BM34" s="614"/>
      <c r="BN34" s="614"/>
      <c r="JA34" s="614"/>
      <c r="JB34" s="614"/>
      <c r="JC34" s="614"/>
      <c r="JD34" s="614"/>
      <c r="JE34" s="614"/>
      <c r="JF34" s="614"/>
      <c r="JG34" s="614"/>
      <c r="JH34" s="614"/>
      <c r="JI34" s="614"/>
      <c r="JJ34" s="614"/>
      <c r="JK34" s="614"/>
      <c r="JL34" s="614"/>
    </row>
    <row r="35" spans="1:272" ht="25.5">
      <c r="A35" s="614"/>
      <c r="B35" s="614"/>
      <c r="C35" s="614"/>
      <c r="D35" s="614"/>
      <c r="E35" s="614"/>
      <c r="F35" s="614"/>
      <c r="G35" s="614"/>
      <c r="H35" s="614"/>
      <c r="I35" s="614"/>
      <c r="J35" s="614"/>
      <c r="K35" s="614"/>
      <c r="L35" s="614"/>
      <c r="M35" s="614"/>
      <c r="N35" s="614"/>
      <c r="O35" s="614"/>
      <c r="P35" s="614"/>
      <c r="Q35" s="614" t="s">
        <v>365</v>
      </c>
      <c r="R35" s="614" t="str">
        <f>IF($B$1&gt;=1,"Consider","Not to be considered")</f>
        <v>Not to be considered</v>
      </c>
      <c r="S35" s="614" t="str">
        <f>IF($B$1&gt;=2,"Consider","Not to be considered")</f>
        <v>Not to be considered</v>
      </c>
      <c r="T35" s="614" t="str">
        <f>IF($B$1&gt;=3,"Consider","Not to be considered")</f>
        <v>Not to be considered</v>
      </c>
      <c r="U35" s="614" t="str">
        <f>IF($B$1&gt;=4,"Consider","Not to be considered")</f>
        <v>Not to be considered</v>
      </c>
      <c r="V35" s="614" t="str">
        <f>IF($B$1&gt;=5,"Consider","Not to be considered")</f>
        <v>Not to be considered</v>
      </c>
      <c r="W35" s="614"/>
      <c r="X35" s="614"/>
      <c r="Y35" s="614"/>
      <c r="Z35" s="614"/>
      <c r="AA35" s="614"/>
      <c r="AB35" s="614"/>
      <c r="AC35" s="614"/>
      <c r="AD35" s="614"/>
      <c r="AE35" s="614"/>
      <c r="AF35" s="614"/>
      <c r="AG35" s="614"/>
      <c r="AH35" s="614"/>
      <c r="AI35" s="614"/>
      <c r="AJ35" s="614"/>
      <c r="AK35" s="614"/>
      <c r="AL35" s="614"/>
      <c r="AM35" s="614"/>
      <c r="AN35" s="614"/>
      <c r="AO35" s="614"/>
      <c r="AP35" s="614"/>
      <c r="AQ35" s="614"/>
      <c r="AR35" s="614"/>
      <c r="AS35" s="614"/>
      <c r="AT35" s="614"/>
      <c r="AU35" s="614"/>
      <c r="AV35" s="614"/>
      <c r="AW35" s="614"/>
      <c r="AX35" s="614"/>
      <c r="AY35" s="614"/>
      <c r="AZ35" s="614"/>
      <c r="BA35" s="614"/>
      <c r="BB35" s="614"/>
      <c r="BC35" s="614"/>
      <c r="BD35" s="614"/>
      <c r="BE35" s="614"/>
      <c r="BF35" s="614"/>
      <c r="BG35" s="614"/>
      <c r="BH35" s="614"/>
      <c r="BI35" s="614"/>
      <c r="BJ35" s="614"/>
      <c r="BK35" s="614"/>
      <c r="BL35" s="614"/>
      <c r="BM35" s="614"/>
      <c r="BN35" s="614"/>
      <c r="JA35" s="614"/>
      <c r="JB35" s="614"/>
      <c r="JC35" s="614"/>
      <c r="JD35" s="614"/>
      <c r="JE35" s="614"/>
      <c r="JF35" s="614"/>
      <c r="JG35" s="614"/>
      <c r="JH35" s="614"/>
      <c r="JI35" s="614"/>
      <c r="JJ35" s="614"/>
      <c r="JK35" s="614"/>
      <c r="JL35" s="614"/>
    </row>
    <row r="36" spans="1:272">
      <c r="A36" s="614"/>
      <c r="B36" s="614"/>
      <c r="C36" s="614"/>
      <c r="D36" s="614"/>
      <c r="E36" s="614"/>
      <c r="F36" s="614"/>
      <c r="G36" s="614"/>
      <c r="H36" s="614"/>
      <c r="I36" s="614"/>
      <c r="J36" s="614"/>
      <c r="K36" s="614"/>
      <c r="L36" s="614"/>
      <c r="M36" s="614"/>
      <c r="N36" s="614"/>
      <c r="O36" s="614"/>
      <c r="P36" s="614"/>
      <c r="Q36" s="614" t="s">
        <v>444</v>
      </c>
      <c r="R36" s="614" t="str">
        <f>IF(R35="consider",COUNTIF(R30:R34,"Not Allowed"),"not")</f>
        <v>not</v>
      </c>
      <c r="S36" s="614" t="str">
        <f>IF(S35="consider",COUNTIF(S30:S34,"Not Allowed"),"not Consider")</f>
        <v>not Consider</v>
      </c>
      <c r="T36" s="614" t="str">
        <f t="shared" ref="T36:V36" si="5">IF(T35="consider",COUNTIF(T30:T34,"Not Allowed"),"not Consider")</f>
        <v>not Consider</v>
      </c>
      <c r="U36" s="614" t="str">
        <f t="shared" si="5"/>
        <v>not Consider</v>
      </c>
      <c r="V36" s="614" t="str">
        <f t="shared" si="5"/>
        <v>not Consider</v>
      </c>
      <c r="W36" s="614"/>
      <c r="X36" s="614"/>
      <c r="Y36" s="614"/>
      <c r="Z36" s="614"/>
      <c r="AA36" s="614"/>
      <c r="AB36" s="614"/>
      <c r="AC36" s="614"/>
      <c r="AD36" s="614"/>
      <c r="AE36" s="614"/>
      <c r="AF36" s="614"/>
      <c r="AG36" s="614"/>
      <c r="AH36" s="614"/>
      <c r="AI36" s="614"/>
      <c r="AJ36" s="614"/>
      <c r="AK36" s="614"/>
      <c r="AL36" s="614"/>
      <c r="AM36" s="614"/>
      <c r="AN36" s="614"/>
      <c r="AO36" s="614"/>
      <c r="AP36" s="614"/>
      <c r="AQ36" s="614"/>
      <c r="AR36" s="614"/>
      <c r="AS36" s="614"/>
      <c r="AT36" s="614"/>
      <c r="AU36" s="614"/>
      <c r="AV36" s="614"/>
      <c r="AW36" s="614"/>
      <c r="AX36" s="614"/>
      <c r="AY36" s="614"/>
      <c r="AZ36" s="614"/>
      <c r="BA36" s="614"/>
      <c r="BB36" s="614"/>
      <c r="BC36" s="614"/>
      <c r="BD36" s="614"/>
      <c r="BE36" s="614"/>
      <c r="BF36" s="614"/>
      <c r="BG36" s="614"/>
      <c r="BH36" s="614"/>
      <c r="BI36" s="614"/>
      <c r="BJ36" s="614"/>
      <c r="BK36" s="614"/>
      <c r="BL36" s="614"/>
      <c r="BM36" s="614"/>
      <c r="BN36" s="614"/>
      <c r="JA36" s="614"/>
      <c r="JB36" s="614"/>
      <c r="JC36" s="614"/>
      <c r="JD36" s="614"/>
      <c r="JE36" s="614"/>
      <c r="JF36" s="614"/>
      <c r="JG36" s="614"/>
      <c r="JH36" s="614"/>
      <c r="JI36" s="614"/>
      <c r="JJ36" s="614"/>
      <c r="JK36" s="614"/>
      <c r="JL36" s="614"/>
    </row>
    <row r="37" spans="1:272">
      <c r="A37" s="614"/>
      <c r="B37" s="614"/>
      <c r="C37" s="614"/>
      <c r="D37" s="614"/>
      <c r="E37" s="614"/>
      <c r="F37" s="614"/>
      <c r="G37" s="614"/>
      <c r="H37" s="614"/>
      <c r="I37" s="614"/>
      <c r="J37" s="614"/>
      <c r="K37" s="614"/>
      <c r="L37" s="614"/>
      <c r="M37" s="614"/>
      <c r="N37" s="614"/>
      <c r="O37" s="614"/>
      <c r="P37" s="614"/>
      <c r="Q37" s="614" t="s">
        <v>443</v>
      </c>
      <c r="R37" s="614" t="str">
        <f>IF(R35="consider",COUNTIF(R30:R34,"allowed"),"not consider")</f>
        <v>not consider</v>
      </c>
      <c r="S37" s="614" t="str">
        <f>IF(S35="consider",COUNTIF(S30:S34,"allowed"),"not consider")</f>
        <v>not consider</v>
      </c>
      <c r="T37" s="614" t="str">
        <f t="shared" ref="T37:V37" si="6">IF(T35="consider",COUNTIF(T30:T34,"allowed"),"not consider")</f>
        <v>not consider</v>
      </c>
      <c r="U37" s="614" t="str">
        <f t="shared" si="6"/>
        <v>not consider</v>
      </c>
      <c r="V37" s="614" t="str">
        <f t="shared" si="6"/>
        <v>not consider</v>
      </c>
      <c r="W37" s="614"/>
      <c r="X37" s="614"/>
      <c r="Y37" s="614"/>
      <c r="Z37" s="614"/>
      <c r="AA37" s="614"/>
      <c r="AB37" s="614"/>
      <c r="AC37" s="614"/>
      <c r="AD37" s="614"/>
      <c r="AE37" s="614"/>
      <c r="AF37" s="614"/>
      <c r="AG37" s="614"/>
      <c r="AH37" s="614"/>
      <c r="AI37" s="614"/>
      <c r="AJ37" s="614"/>
      <c r="AK37" s="614"/>
      <c r="AL37" s="614"/>
      <c r="AM37" s="614"/>
      <c r="AN37" s="614"/>
      <c r="AO37" s="614"/>
      <c r="AP37" s="614"/>
      <c r="AQ37" s="614"/>
      <c r="AR37" s="614"/>
      <c r="AS37" s="614"/>
      <c r="AT37" s="614"/>
      <c r="AU37" s="614"/>
      <c r="AV37" s="614"/>
      <c r="AW37" s="614"/>
      <c r="AX37" s="614"/>
      <c r="AY37" s="614"/>
      <c r="AZ37" s="614"/>
      <c r="BA37" s="614"/>
      <c r="BB37" s="614"/>
      <c r="BC37" s="614"/>
      <c r="BD37" s="614"/>
      <c r="BE37" s="614"/>
      <c r="BF37" s="614"/>
      <c r="BG37" s="614"/>
      <c r="BH37" s="614"/>
      <c r="BI37" s="614"/>
      <c r="BJ37" s="614"/>
      <c r="BK37" s="614"/>
      <c r="BL37" s="614"/>
      <c r="BM37" s="614"/>
      <c r="BN37" s="614"/>
      <c r="JA37" s="614"/>
      <c r="JB37" s="614"/>
      <c r="JC37" s="614"/>
      <c r="JD37" s="614"/>
      <c r="JE37" s="614"/>
      <c r="JF37" s="614"/>
      <c r="JG37" s="614"/>
      <c r="JH37" s="614"/>
      <c r="JI37" s="614"/>
      <c r="JJ37" s="614"/>
      <c r="JK37" s="614"/>
      <c r="JL37" s="614"/>
    </row>
    <row r="38" spans="1:272">
      <c r="A38" s="614"/>
      <c r="B38" s="614"/>
      <c r="C38" s="614"/>
      <c r="D38" s="614"/>
      <c r="E38" s="614"/>
      <c r="F38" s="614"/>
      <c r="G38" s="614"/>
      <c r="H38" s="614"/>
      <c r="I38" s="614"/>
      <c r="J38" s="614"/>
      <c r="K38" s="614"/>
      <c r="L38" s="614"/>
      <c r="M38" s="614"/>
      <c r="N38" s="614"/>
      <c r="O38" s="614"/>
      <c r="P38" s="614"/>
      <c r="Q38" s="614"/>
      <c r="R38" s="614" t="str">
        <f>IF(R37=5,"RAAC","Not RAAC")</f>
        <v>Not RAAC</v>
      </c>
      <c r="S38" s="614" t="str">
        <f>IF(OR(S37=5,S37="not consider"),"RAAC","Not RAAC")</f>
        <v>RAAC</v>
      </c>
      <c r="T38" s="614" t="str">
        <f>IF(OR(T37=5,T37="not consider"),"RAAC","Not RAAC")</f>
        <v>RAAC</v>
      </c>
      <c r="U38" s="614" t="str">
        <f>IF(OR(U37=5,U37="not consider"),"RAAC","Not RAAC")</f>
        <v>RAAC</v>
      </c>
      <c r="V38" s="614" t="str">
        <f>IF(OR(V37=5,V37="not consider"),"RAAC","Not RAAC")</f>
        <v>RAAC</v>
      </c>
      <c r="W38" s="614"/>
      <c r="X38" s="614"/>
      <c r="Y38" s="614"/>
      <c r="Z38" s="614"/>
      <c r="AA38" s="614"/>
      <c r="AB38" s="614"/>
      <c r="AC38" s="614"/>
      <c r="AD38" s="614"/>
      <c r="AE38" s="614"/>
      <c r="AF38" s="614"/>
      <c r="AG38" s="614"/>
      <c r="AH38" s="614"/>
      <c r="AI38" s="614"/>
      <c r="AJ38" s="614"/>
      <c r="AK38" s="614"/>
      <c r="AL38" s="614"/>
      <c r="AM38" s="614"/>
      <c r="AN38" s="614"/>
      <c r="AO38" s="614"/>
      <c r="AP38" s="614"/>
      <c r="AQ38" s="614"/>
      <c r="AR38" s="614"/>
      <c r="AS38" s="614"/>
      <c r="AT38" s="614"/>
      <c r="AU38" s="614"/>
      <c r="AV38" s="614"/>
      <c r="AW38" s="614"/>
      <c r="AX38" s="614"/>
      <c r="AY38" s="614"/>
      <c r="AZ38" s="614"/>
      <c r="BA38" s="614"/>
      <c r="BB38" s="614"/>
      <c r="BC38" s="614"/>
      <c r="BD38" s="614"/>
      <c r="BE38" s="614"/>
      <c r="BF38" s="614"/>
      <c r="BG38" s="614"/>
      <c r="BH38" s="614"/>
      <c r="BI38" s="614"/>
      <c r="BJ38" s="614"/>
      <c r="BK38" s="614"/>
      <c r="BL38" s="614"/>
      <c r="BM38" s="614"/>
      <c r="BN38" s="614"/>
      <c r="JA38" s="614"/>
      <c r="JB38" s="614"/>
      <c r="JC38" s="614"/>
      <c r="JD38" s="614"/>
      <c r="JE38" s="614"/>
      <c r="JF38" s="614"/>
      <c r="JG38" s="614"/>
      <c r="JH38" s="614"/>
      <c r="JI38" s="614"/>
      <c r="JJ38" s="614"/>
      <c r="JK38" s="614"/>
      <c r="JL38" s="614"/>
    </row>
    <row r="39" spans="1:272">
      <c r="A39" s="614"/>
      <c r="B39" s="614"/>
      <c r="C39" s="614"/>
      <c r="D39" s="614"/>
      <c r="E39" s="614"/>
      <c r="F39" s="614"/>
      <c r="G39" s="614"/>
      <c r="H39" s="614"/>
      <c r="I39" s="614"/>
      <c r="J39" s="614"/>
      <c r="K39" s="614"/>
      <c r="L39" s="614"/>
      <c r="M39" s="614"/>
      <c r="N39" s="614"/>
      <c r="O39" s="614"/>
      <c r="P39" s="614"/>
      <c r="Q39" s="614"/>
      <c r="R39" s="614"/>
      <c r="T39" s="614"/>
      <c r="U39" s="614"/>
      <c r="V39" s="614"/>
      <c r="W39" s="614"/>
      <c r="X39" s="614"/>
      <c r="Y39" s="614"/>
      <c r="Z39" s="614"/>
      <c r="AA39" s="614"/>
      <c r="AB39" s="614"/>
      <c r="AC39" s="614"/>
      <c r="AD39" s="614"/>
      <c r="AE39" s="614"/>
      <c r="AF39" s="614"/>
      <c r="AG39" s="614"/>
      <c r="AH39" s="614"/>
      <c r="AI39" s="614"/>
      <c r="AJ39" s="614"/>
      <c r="AK39" s="614"/>
      <c r="AL39" s="614"/>
      <c r="AM39" s="614"/>
      <c r="AN39" s="614"/>
      <c r="AO39" s="614"/>
      <c r="AP39" s="614"/>
      <c r="AQ39" s="614"/>
      <c r="AR39" s="614"/>
      <c r="AS39" s="614"/>
      <c r="AT39" s="614"/>
      <c r="AU39" s="614"/>
      <c r="AV39" s="614"/>
      <c r="AW39" s="614"/>
      <c r="AX39" s="614"/>
      <c r="AY39" s="614"/>
      <c r="AZ39" s="614"/>
      <c r="BA39" s="614"/>
      <c r="BB39" s="614"/>
      <c r="BC39" s="614"/>
      <c r="BD39" s="614"/>
      <c r="BE39" s="614"/>
      <c r="BF39" s="614"/>
      <c r="BG39" s="614"/>
      <c r="BH39" s="614"/>
      <c r="BI39" s="614"/>
      <c r="BJ39" s="614"/>
      <c r="BK39" s="614"/>
      <c r="BL39" s="614"/>
      <c r="BM39" s="614"/>
      <c r="BN39" s="614"/>
      <c r="JA39" s="614"/>
      <c r="JB39" s="614"/>
      <c r="JC39" s="614"/>
      <c r="JD39" s="614"/>
      <c r="JE39" s="614"/>
      <c r="JF39" s="614"/>
      <c r="JG39" s="614"/>
      <c r="JH39" s="614"/>
      <c r="JI39" s="614"/>
      <c r="JJ39" s="614"/>
      <c r="JK39" s="614"/>
      <c r="JL39" s="614"/>
    </row>
    <row r="40" spans="1:272">
      <c r="A40" s="614"/>
      <c r="B40" s="614"/>
      <c r="C40" s="614"/>
      <c r="D40" s="614"/>
      <c r="E40" s="614"/>
      <c r="F40" s="614"/>
      <c r="G40" s="614"/>
      <c r="H40" s="614"/>
      <c r="I40" s="614"/>
      <c r="J40" s="614"/>
      <c r="K40" s="614"/>
      <c r="L40" s="614"/>
      <c r="M40" s="614"/>
      <c r="N40" s="614"/>
      <c r="O40" s="614"/>
      <c r="P40" s="614"/>
      <c r="Q40" s="614" t="s">
        <v>451</v>
      </c>
      <c r="R40" s="614">
        <f>COUNTIF(R33:V34,"Not Allowed")</f>
        <v>3</v>
      </c>
      <c r="S40" s="614">
        <f>COUNTIF(S31:V32,"L1")+COUNTIF(R31,U1)</f>
        <v>0</v>
      </c>
      <c r="T40" s="614"/>
      <c r="U40" s="614"/>
      <c r="V40" s="614"/>
      <c r="W40" s="614"/>
      <c r="X40" s="614"/>
      <c r="Y40" s="614"/>
      <c r="Z40" s="614"/>
      <c r="AA40" s="614"/>
      <c r="AB40" s="614"/>
      <c r="AC40" s="614"/>
      <c r="AD40" s="614"/>
      <c r="AE40" s="614"/>
      <c r="AF40" s="614"/>
      <c r="AG40" s="614"/>
      <c r="AH40" s="614"/>
      <c r="AI40" s="614"/>
      <c r="AJ40" s="614"/>
      <c r="AK40" s="614"/>
      <c r="AL40" s="614"/>
      <c r="AM40" s="614"/>
      <c r="AN40" s="614"/>
      <c r="AO40" s="614"/>
      <c r="AP40" s="614"/>
      <c r="AQ40" s="614"/>
      <c r="AR40" s="614"/>
      <c r="AS40" s="614"/>
      <c r="AT40" s="614"/>
      <c r="AU40" s="614"/>
      <c r="AV40" s="614"/>
      <c r="AW40" s="614"/>
      <c r="AX40" s="614"/>
      <c r="AY40" s="614"/>
      <c r="AZ40" s="614"/>
      <c r="BA40" s="614"/>
      <c r="BB40" s="614"/>
      <c r="BC40" s="614"/>
      <c r="BD40" s="614"/>
      <c r="BE40" s="614"/>
      <c r="BF40" s="614"/>
      <c r="BG40" s="614"/>
      <c r="BH40" s="614"/>
      <c r="BI40" s="614"/>
      <c r="BJ40" s="614"/>
      <c r="BK40" s="614"/>
      <c r="BL40" s="614"/>
      <c r="BM40" s="614"/>
      <c r="BN40" s="614"/>
      <c r="JA40" s="614"/>
      <c r="JB40" s="614"/>
      <c r="JC40" s="614"/>
      <c r="JD40" s="614"/>
      <c r="JE40" s="614"/>
      <c r="JF40" s="614"/>
      <c r="JG40" s="614"/>
      <c r="JH40" s="614"/>
      <c r="JI40" s="614"/>
      <c r="JJ40" s="614"/>
      <c r="JK40" s="614"/>
      <c r="JL40" s="614"/>
    </row>
    <row r="41" spans="1:272" ht="15">
      <c r="A41" s="614"/>
      <c r="B41" s="614"/>
      <c r="C41" s="614"/>
      <c r="D41" s="614"/>
      <c r="E41" s="614"/>
      <c r="G41" s="628"/>
      <c r="H41" s="628"/>
      <c r="I41" s="628"/>
      <c r="J41" s="628"/>
      <c r="K41" s="628"/>
      <c r="L41" s="628"/>
      <c r="M41" s="628"/>
      <c r="N41" s="628"/>
      <c r="O41" s="628"/>
      <c r="P41" s="628"/>
      <c r="Q41" s="629" t="s">
        <v>266</v>
      </c>
      <c r="R41" s="613" t="str">
        <f>IF(R40&gt;0,"Cannot be Done",IF(COUNTIF(R38:V38,"RAAC")=5,"RAAC","Not a RAAC"))</f>
        <v>Cannot be Done</v>
      </c>
      <c r="S41" s="614"/>
      <c r="T41" s="614"/>
      <c r="U41" s="614"/>
      <c r="V41" s="614"/>
      <c r="W41" s="614"/>
      <c r="X41" s="614"/>
      <c r="Y41" s="614"/>
      <c r="Z41" s="614"/>
      <c r="AA41" s="614"/>
      <c r="AB41" s="614"/>
      <c r="AC41" s="614"/>
      <c r="AD41" s="614"/>
      <c r="AE41" s="614"/>
      <c r="AF41" s="614"/>
      <c r="AG41" s="614"/>
      <c r="AH41" s="614"/>
      <c r="AI41" s="614"/>
      <c r="AJ41" s="614"/>
      <c r="AK41" s="614"/>
      <c r="AL41" s="614"/>
      <c r="AM41" s="614"/>
      <c r="AN41" s="614"/>
      <c r="AO41" s="614"/>
      <c r="AP41" s="614"/>
      <c r="AQ41" s="614"/>
      <c r="AR41" s="614"/>
      <c r="AS41" s="614"/>
      <c r="AT41" s="614"/>
      <c r="AU41" s="614"/>
      <c r="AV41" s="614"/>
      <c r="AW41" s="614"/>
      <c r="AX41" s="614"/>
      <c r="AY41" s="614"/>
      <c r="AZ41" s="614"/>
      <c r="BA41" s="614"/>
      <c r="BB41" s="614"/>
      <c r="BC41" s="614"/>
      <c r="BD41" s="614"/>
      <c r="BE41" s="614"/>
      <c r="BF41" s="614"/>
      <c r="BG41" s="614"/>
      <c r="BH41" s="614"/>
      <c r="BI41" s="614"/>
      <c r="BJ41" s="614"/>
      <c r="BK41" s="614"/>
      <c r="BL41" s="614"/>
      <c r="BM41" s="614"/>
      <c r="BN41" s="614"/>
      <c r="JA41" s="614"/>
      <c r="JB41" s="614"/>
      <c r="JC41" s="614"/>
      <c r="JD41" s="614"/>
      <c r="JE41" s="614"/>
      <c r="JF41" s="614"/>
      <c r="JG41" s="614"/>
      <c r="JH41" s="614"/>
      <c r="JI41" s="614"/>
      <c r="JJ41" s="614"/>
      <c r="JK41" s="614"/>
      <c r="JL41" s="614"/>
    </row>
    <row r="42" spans="1:272" ht="15">
      <c r="A42" s="614"/>
      <c r="B42" s="614"/>
      <c r="C42" s="614"/>
      <c r="D42" s="614"/>
      <c r="E42" s="614"/>
      <c r="G42" s="614"/>
      <c r="H42" s="614"/>
      <c r="I42" s="614"/>
      <c r="J42" s="614"/>
      <c r="K42" s="614"/>
      <c r="L42" s="614"/>
      <c r="M42" s="614"/>
      <c r="N42" s="614"/>
      <c r="O42" s="614"/>
      <c r="P42" s="614"/>
      <c r="Q42" s="629" t="s">
        <v>267</v>
      </c>
      <c r="R42" s="613" t="str">
        <f>IF(R40&gt;0,"Cannot be Done",IF(AND(R31="ZCH",R37=4,COUNTIF(S38:V38,"RAAC")=4),"ZCH","Not at ZCH Level"))</f>
        <v>Cannot be Done</v>
      </c>
      <c r="S42" s="614"/>
      <c r="T42" s="614"/>
      <c r="U42" s="614"/>
      <c r="V42" s="614"/>
      <c r="W42" s="614"/>
      <c r="X42" s="614"/>
      <c r="Y42" s="614"/>
      <c r="Z42" s="614"/>
      <c r="AA42" s="614"/>
      <c r="AB42" s="614"/>
      <c r="AC42" s="614"/>
      <c r="AD42" s="614"/>
      <c r="AE42" s="614"/>
      <c r="AF42" s="614"/>
      <c r="AG42" s="614"/>
      <c r="AH42" s="614"/>
      <c r="AI42" s="614"/>
      <c r="AJ42" s="614"/>
      <c r="AK42" s="614"/>
      <c r="AL42" s="614"/>
      <c r="AM42" s="614"/>
      <c r="AN42" s="614"/>
      <c r="AO42" s="614"/>
      <c r="AP42" s="614"/>
      <c r="AQ42" s="614"/>
      <c r="AR42" s="614"/>
      <c r="AS42" s="614"/>
      <c r="AT42" s="614"/>
      <c r="AU42" s="614"/>
      <c r="AV42" s="614"/>
      <c r="AW42" s="614"/>
      <c r="AX42" s="614"/>
      <c r="AY42" s="614"/>
      <c r="AZ42" s="614"/>
      <c r="BA42" s="614"/>
      <c r="BB42" s="614"/>
      <c r="BC42" s="614"/>
      <c r="BD42" s="614"/>
      <c r="BE42" s="614"/>
      <c r="BF42" s="614"/>
      <c r="BG42" s="614"/>
      <c r="BH42" s="614"/>
      <c r="BI42" s="614"/>
      <c r="BJ42" s="614"/>
      <c r="BK42" s="614"/>
      <c r="BL42" s="614"/>
      <c r="BM42" s="614"/>
      <c r="BN42" s="614"/>
      <c r="JA42" s="614"/>
      <c r="JB42" s="614"/>
      <c r="JC42" s="614"/>
      <c r="JD42" s="614"/>
      <c r="JE42" s="614"/>
      <c r="JF42" s="614"/>
      <c r="JG42" s="614"/>
      <c r="JH42" s="614"/>
      <c r="JI42" s="614"/>
      <c r="JJ42" s="614"/>
      <c r="JK42" s="614"/>
      <c r="JL42" s="614"/>
    </row>
    <row r="43" spans="1:272" ht="15">
      <c r="A43" s="614"/>
      <c r="B43" s="614"/>
      <c r="C43" s="614"/>
      <c r="D43" s="614"/>
      <c r="E43" s="614"/>
      <c r="G43" s="614"/>
      <c r="H43" s="614"/>
      <c r="I43" s="614"/>
      <c r="J43" s="614"/>
      <c r="K43" s="614"/>
      <c r="L43" s="614"/>
      <c r="M43" s="614"/>
      <c r="N43" s="614"/>
      <c r="O43" s="614"/>
      <c r="P43" s="614"/>
      <c r="Q43" s="629" t="s">
        <v>268</v>
      </c>
      <c r="R43" s="613" t="str">
        <f>IF(R40&gt;0,"Cannot be Done",IF(OR(AND(S40&gt;0,R37&gt;=4),AND(R31="L1",R37=4)),"L1","Not at L1 Level"))</f>
        <v>Cannot be Done</v>
      </c>
      <c r="S43" s="614"/>
      <c r="T43" s="614"/>
      <c r="U43" s="614"/>
      <c r="V43" s="614"/>
      <c r="W43" s="614"/>
      <c r="X43" s="614"/>
      <c r="Y43" s="614"/>
      <c r="Z43" s="614"/>
      <c r="AA43" s="614"/>
      <c r="AB43" s="614"/>
      <c r="AC43" s="614"/>
      <c r="AD43" s="614"/>
      <c r="AE43" s="614"/>
      <c r="AF43" s="614"/>
      <c r="AG43" s="614"/>
      <c r="AH43" s="614"/>
      <c r="AI43" s="614"/>
      <c r="AJ43" s="614"/>
      <c r="AK43" s="614"/>
      <c r="AL43" s="614"/>
      <c r="AM43" s="614"/>
      <c r="AN43" s="614"/>
      <c r="AO43" s="614"/>
      <c r="AP43" s="614"/>
      <c r="AQ43" s="614"/>
      <c r="AR43" s="614"/>
      <c r="AS43" s="614"/>
      <c r="AT43" s="614"/>
      <c r="AU43" s="614"/>
      <c r="AV43" s="614"/>
      <c r="AW43" s="614"/>
      <c r="AX43" s="614"/>
      <c r="AY43" s="614"/>
      <c r="AZ43" s="614"/>
      <c r="BA43" s="614"/>
      <c r="BB43" s="614"/>
      <c r="BC43" s="614"/>
      <c r="BD43" s="614"/>
      <c r="BE43" s="614"/>
      <c r="BF43" s="614"/>
      <c r="BG43" s="614"/>
      <c r="BH43" s="614"/>
      <c r="BI43" s="614"/>
      <c r="BJ43" s="614"/>
      <c r="BK43" s="614"/>
      <c r="BL43" s="614"/>
      <c r="BM43" s="614"/>
      <c r="BN43" s="614"/>
      <c r="JA43" s="614"/>
      <c r="JB43" s="614"/>
      <c r="JC43" s="614"/>
      <c r="JD43" s="614"/>
      <c r="JE43" s="614"/>
      <c r="JF43" s="614"/>
      <c r="JG43" s="614"/>
      <c r="JH43" s="614"/>
      <c r="JI43" s="614"/>
      <c r="JJ43" s="614"/>
      <c r="JK43" s="614"/>
      <c r="JL43" s="614"/>
    </row>
    <row r="44" spans="1:272" ht="15">
      <c r="A44" s="614"/>
      <c r="B44" s="614"/>
      <c r="C44" s="614"/>
      <c r="D44" s="614"/>
      <c r="E44" s="614"/>
      <c r="F44" s="614"/>
      <c r="G44" s="630"/>
      <c r="H44" s="630"/>
      <c r="I44" s="630"/>
      <c r="J44" s="630"/>
      <c r="K44" s="630"/>
      <c r="L44" s="630"/>
      <c r="M44" s="630"/>
      <c r="N44" s="630"/>
      <c r="O44" s="630"/>
      <c r="P44" s="630"/>
      <c r="Q44" s="629" t="s">
        <v>478</v>
      </c>
      <c r="R44" s="613" t="str">
        <f>IF(R40&gt;0,"Cannot be Done",IF(AND(R32="Head Secured Credit",R37&gt;=3),"Head Secured Credit","Not at Head Secured Credit Level"))</f>
        <v>Cannot be Done</v>
      </c>
      <c r="S44" s="614"/>
      <c r="T44" s="614"/>
      <c r="U44" s="614"/>
      <c r="V44" s="614"/>
      <c r="W44" s="614"/>
      <c r="X44" s="614"/>
      <c r="Y44" s="614"/>
      <c r="Z44" s="614"/>
      <c r="AA44" s="614"/>
      <c r="AB44" s="614"/>
      <c r="AC44" s="614"/>
      <c r="AD44" s="614"/>
      <c r="AE44" s="614"/>
      <c r="AF44" s="614"/>
      <c r="AG44" s="614"/>
      <c r="AH44" s="614"/>
      <c r="AI44" s="614"/>
      <c r="AJ44" s="614"/>
      <c r="AK44" s="614"/>
      <c r="AL44" s="614"/>
      <c r="AM44" s="614"/>
      <c r="AN44" s="614"/>
      <c r="AO44" s="614"/>
      <c r="AP44" s="614"/>
      <c r="AQ44" s="614"/>
      <c r="AR44" s="614"/>
      <c r="AS44" s="614"/>
      <c r="AT44" s="614"/>
      <c r="AU44" s="614"/>
      <c r="AV44" s="614"/>
      <c r="AW44" s="614"/>
      <c r="AX44" s="614"/>
      <c r="AY44" s="614"/>
      <c r="AZ44" s="614"/>
      <c r="BA44" s="614"/>
      <c r="BB44" s="614"/>
      <c r="BC44" s="614"/>
      <c r="BD44" s="614"/>
      <c r="BE44" s="614"/>
      <c r="BF44" s="614"/>
      <c r="BG44" s="614"/>
      <c r="BH44" s="614"/>
      <c r="BI44" s="614"/>
      <c r="BJ44" s="614"/>
      <c r="BK44" s="614"/>
      <c r="BL44" s="614"/>
      <c r="BM44" s="614"/>
      <c r="BN44" s="614"/>
      <c r="JA44" s="614"/>
      <c r="JB44" s="614"/>
      <c r="JC44" s="614"/>
      <c r="JD44" s="614"/>
      <c r="JE44" s="614"/>
      <c r="JF44" s="614"/>
      <c r="JG44" s="614"/>
      <c r="JH44" s="614"/>
      <c r="JI44" s="614"/>
      <c r="JJ44" s="614"/>
      <c r="JK44" s="614"/>
      <c r="JL44" s="614"/>
    </row>
    <row r="45" spans="1:272" ht="15">
      <c r="A45" s="614"/>
      <c r="B45" s="614"/>
      <c r="C45" s="614"/>
      <c r="D45" s="614"/>
      <c r="E45" s="614"/>
      <c r="G45" s="614"/>
      <c r="H45" s="614"/>
      <c r="I45" s="614"/>
      <c r="J45" s="614"/>
      <c r="K45" s="614"/>
      <c r="L45" s="614"/>
      <c r="M45" s="614"/>
      <c r="N45" s="614"/>
      <c r="O45" s="614"/>
      <c r="P45" s="614"/>
      <c r="Q45" s="629" t="s">
        <v>314</v>
      </c>
      <c r="R45" s="613" t="str">
        <f>IF(R40&gt;0,"Cannot be Done",IF(AND(R32="Head-CPG",R37&gt;=3),"Head-CPG","Not at Head-CPG"))</f>
        <v>Cannot be Done</v>
      </c>
      <c r="S45" s="614"/>
      <c r="T45" s="614"/>
      <c r="U45" s="614"/>
      <c r="V45" s="614"/>
      <c r="W45" s="614"/>
      <c r="X45" s="614"/>
      <c r="Y45" s="614"/>
      <c r="Z45" s="614"/>
      <c r="AA45" s="614"/>
      <c r="AB45" s="614"/>
      <c r="AC45" s="614"/>
      <c r="AD45" s="614"/>
      <c r="AE45" s="614"/>
      <c r="AF45" s="614"/>
      <c r="AG45" s="614"/>
      <c r="AH45" s="614"/>
      <c r="AI45" s="614"/>
      <c r="AJ45" s="614"/>
      <c r="AK45" s="614"/>
      <c r="AL45" s="614"/>
      <c r="AM45" s="614"/>
      <c r="AN45" s="614"/>
      <c r="AO45" s="614"/>
      <c r="AP45" s="614"/>
      <c r="AQ45" s="614"/>
      <c r="AR45" s="614"/>
      <c r="AS45" s="614"/>
      <c r="AT45" s="614"/>
      <c r="AU45" s="614"/>
      <c r="AV45" s="614"/>
      <c r="AW45" s="614"/>
      <c r="AX45" s="614"/>
      <c r="AY45" s="614"/>
      <c r="AZ45" s="614"/>
      <c r="BA45" s="614"/>
      <c r="BB45" s="614"/>
      <c r="BC45" s="614"/>
      <c r="BD45" s="614"/>
      <c r="BE45" s="614"/>
      <c r="BF45" s="614"/>
      <c r="BG45" s="614"/>
      <c r="BH45" s="614"/>
      <c r="BI45" s="614"/>
      <c r="BJ45" s="614"/>
      <c r="BK45" s="614"/>
      <c r="BL45" s="614"/>
      <c r="BM45" s="614"/>
      <c r="BN45" s="614"/>
      <c r="JA45" s="614"/>
      <c r="JB45" s="614"/>
      <c r="JC45" s="614"/>
      <c r="JD45" s="614"/>
      <c r="JE45" s="614"/>
      <c r="JF45" s="614"/>
      <c r="JG45" s="614"/>
      <c r="JH45" s="614"/>
      <c r="JI45" s="614"/>
      <c r="JJ45" s="614"/>
      <c r="JK45" s="614"/>
      <c r="JL45" s="614"/>
    </row>
    <row r="46" spans="1:272">
      <c r="A46" s="614"/>
      <c r="B46" s="614"/>
      <c r="C46" s="614"/>
      <c r="D46" s="614"/>
      <c r="E46" s="614"/>
      <c r="F46" s="614"/>
      <c r="G46" s="614"/>
      <c r="H46" s="614"/>
      <c r="I46" s="614"/>
      <c r="J46" s="614"/>
      <c r="K46" s="614"/>
      <c r="L46" s="614"/>
      <c r="M46" s="614"/>
      <c r="N46" s="614"/>
      <c r="O46" s="614"/>
      <c r="P46" s="614"/>
      <c r="Q46" s="614"/>
      <c r="R46" s="614"/>
      <c r="S46" s="614"/>
      <c r="T46" s="614"/>
      <c r="U46" s="614"/>
      <c r="V46" s="614"/>
      <c r="W46" s="614"/>
      <c r="X46" s="614"/>
      <c r="Y46" s="614"/>
      <c r="Z46" s="614"/>
      <c r="AA46" s="614"/>
      <c r="AB46" s="614"/>
      <c r="AC46" s="614"/>
      <c r="AD46" s="614"/>
      <c r="AE46" s="614"/>
      <c r="AF46" s="614"/>
      <c r="AG46" s="614"/>
      <c r="AH46" s="614"/>
      <c r="AI46" s="614"/>
      <c r="AJ46" s="614"/>
      <c r="AK46" s="614"/>
      <c r="AL46" s="614"/>
      <c r="AM46" s="614"/>
      <c r="AN46" s="614"/>
      <c r="AO46" s="614"/>
      <c r="AP46" s="614"/>
      <c r="AQ46" s="614"/>
      <c r="AR46" s="614"/>
      <c r="AS46" s="614"/>
      <c r="AT46" s="614"/>
      <c r="AU46" s="614"/>
      <c r="AV46" s="614"/>
      <c r="AW46" s="614"/>
      <c r="AX46" s="614"/>
      <c r="AY46" s="614"/>
      <c r="AZ46" s="614"/>
      <c r="BA46" s="614"/>
      <c r="BB46" s="614"/>
      <c r="BC46" s="614"/>
      <c r="BD46" s="614"/>
      <c r="BE46" s="614"/>
      <c r="BF46" s="614"/>
      <c r="BG46" s="614"/>
      <c r="BH46" s="614"/>
      <c r="BI46" s="614"/>
      <c r="BJ46" s="614"/>
      <c r="BK46" s="614"/>
      <c r="BL46" s="614"/>
      <c r="BM46" s="614"/>
      <c r="BN46" s="614"/>
      <c r="JA46" s="614"/>
      <c r="JB46" s="614"/>
      <c r="JC46" s="614"/>
      <c r="JD46" s="614"/>
      <c r="JE46" s="614"/>
      <c r="JF46" s="614"/>
      <c r="JG46" s="614"/>
      <c r="JH46" s="614"/>
      <c r="JI46" s="614"/>
      <c r="JJ46" s="614"/>
      <c r="JK46" s="614"/>
      <c r="JL46" s="614"/>
    </row>
    <row r="47" spans="1:272">
      <c r="A47" s="614"/>
      <c r="B47" s="614"/>
      <c r="C47" s="614"/>
      <c r="D47" s="614"/>
      <c r="E47" s="614"/>
      <c r="F47" s="614"/>
      <c r="G47" s="614"/>
      <c r="H47" s="614"/>
      <c r="I47" s="614"/>
      <c r="J47" s="614"/>
      <c r="K47" s="614"/>
      <c r="L47" s="614"/>
      <c r="M47" s="614"/>
      <c r="N47" s="614"/>
      <c r="O47" s="614"/>
      <c r="P47" s="614"/>
      <c r="Q47" s="614"/>
      <c r="R47" s="614"/>
      <c r="S47" s="614"/>
      <c r="T47" s="614"/>
      <c r="U47" s="614"/>
      <c r="V47" s="614"/>
      <c r="W47" s="614"/>
      <c r="X47" s="614"/>
      <c r="Y47" s="614"/>
      <c r="Z47" s="614"/>
      <c r="AA47" s="614"/>
      <c r="AB47" s="614"/>
      <c r="AC47" s="614"/>
      <c r="AD47" s="614"/>
      <c r="AE47" s="614"/>
      <c r="AF47" s="614"/>
      <c r="AG47" s="614"/>
      <c r="AH47" s="614"/>
      <c r="AI47" s="614"/>
      <c r="AJ47" s="614"/>
      <c r="AK47" s="614"/>
      <c r="AL47" s="614"/>
      <c r="AM47" s="614"/>
      <c r="AN47" s="614"/>
      <c r="AO47" s="614"/>
      <c r="AP47" s="614"/>
      <c r="AQ47" s="614"/>
      <c r="AR47" s="614"/>
      <c r="AS47" s="614"/>
      <c r="AT47" s="614"/>
      <c r="AU47" s="614"/>
      <c r="AV47" s="614"/>
      <c r="AW47" s="614"/>
      <c r="AX47" s="614"/>
      <c r="AY47" s="614"/>
      <c r="AZ47" s="614"/>
      <c r="BA47" s="614"/>
      <c r="BB47" s="614"/>
      <c r="BC47" s="614"/>
      <c r="BD47" s="614"/>
      <c r="BE47" s="614"/>
      <c r="BF47" s="614"/>
      <c r="BG47" s="614"/>
      <c r="BH47" s="614"/>
      <c r="BI47" s="614"/>
      <c r="BJ47" s="614"/>
      <c r="BK47" s="614"/>
      <c r="BL47" s="614"/>
      <c r="BM47" s="614"/>
      <c r="BN47" s="614"/>
      <c r="JA47" s="614"/>
      <c r="JB47" s="614"/>
      <c r="JC47" s="614"/>
      <c r="JD47" s="614"/>
      <c r="JE47" s="614"/>
      <c r="JF47" s="614"/>
      <c r="JG47" s="614"/>
      <c r="JH47" s="614"/>
      <c r="JI47" s="614"/>
      <c r="JJ47" s="614"/>
      <c r="JK47" s="614"/>
      <c r="JL47" s="614"/>
    </row>
    <row r="48" spans="1:272">
      <c r="A48" s="614"/>
      <c r="B48" s="614"/>
      <c r="C48" s="614"/>
      <c r="D48" s="614"/>
      <c r="E48" s="614"/>
      <c r="F48" s="614"/>
      <c r="G48" s="614"/>
      <c r="H48" s="614"/>
      <c r="I48" s="614"/>
      <c r="J48" s="614"/>
      <c r="K48" s="614"/>
      <c r="L48" s="614"/>
      <c r="M48" s="614"/>
      <c r="N48" s="614"/>
      <c r="O48" s="614"/>
      <c r="P48" s="614"/>
      <c r="Q48" s="623"/>
      <c r="R48" s="623"/>
      <c r="S48" s="623"/>
      <c r="T48" s="623"/>
      <c r="U48" s="623"/>
      <c r="V48" s="623"/>
      <c r="W48" s="614"/>
      <c r="X48" s="614"/>
      <c r="Y48" s="614"/>
      <c r="Z48" s="614"/>
      <c r="AA48" s="614"/>
      <c r="AB48" s="614"/>
      <c r="AC48" s="614"/>
      <c r="AD48" s="614"/>
      <c r="AE48" s="614"/>
      <c r="AF48" s="614"/>
      <c r="AG48" s="614"/>
      <c r="AH48" s="614"/>
      <c r="AI48" s="614"/>
      <c r="AJ48" s="614"/>
      <c r="AK48" s="614"/>
      <c r="AL48" s="614"/>
      <c r="AM48" s="614"/>
      <c r="AN48" s="614"/>
      <c r="AO48" s="614"/>
      <c r="AP48" s="614"/>
      <c r="AQ48" s="614"/>
      <c r="AR48" s="614"/>
      <c r="AS48" s="614"/>
      <c r="AT48" s="614"/>
      <c r="AU48" s="614"/>
      <c r="AV48" s="614"/>
      <c r="AW48" s="614"/>
      <c r="AX48" s="614"/>
      <c r="AY48" s="614"/>
      <c r="AZ48" s="614"/>
      <c r="BA48" s="614"/>
      <c r="BB48" s="614"/>
      <c r="BC48" s="614"/>
      <c r="BD48" s="614"/>
      <c r="BE48" s="614"/>
      <c r="BF48" s="614"/>
      <c r="BG48" s="614"/>
      <c r="BH48" s="614"/>
      <c r="BI48" s="614"/>
      <c r="BJ48" s="614"/>
      <c r="BK48" s="614"/>
      <c r="BL48" s="614"/>
      <c r="BM48" s="614"/>
      <c r="BN48" s="614"/>
      <c r="JA48" s="614"/>
      <c r="JB48" s="614"/>
      <c r="JC48" s="614"/>
      <c r="JD48" s="614"/>
      <c r="JE48" s="614"/>
      <c r="JF48" s="614"/>
      <c r="JG48" s="614"/>
      <c r="JH48" s="614"/>
      <c r="JI48" s="614"/>
      <c r="JJ48" s="614"/>
      <c r="JK48" s="614"/>
      <c r="JL48" s="614"/>
    </row>
    <row r="49" spans="1:272">
      <c r="A49" s="614"/>
      <c r="B49" s="614"/>
      <c r="C49" s="614"/>
      <c r="D49" s="614"/>
      <c r="E49" s="614"/>
      <c r="F49" s="614"/>
      <c r="G49" s="614"/>
      <c r="H49" s="614"/>
      <c r="I49" s="614"/>
      <c r="J49" s="614"/>
      <c r="K49" s="614"/>
      <c r="L49" s="614"/>
      <c r="M49" s="614"/>
      <c r="N49" s="614"/>
      <c r="O49" s="614"/>
      <c r="P49" s="614"/>
      <c r="Q49" s="623"/>
      <c r="R49" s="623"/>
      <c r="S49" s="623"/>
      <c r="T49" s="623"/>
      <c r="U49" s="623"/>
      <c r="V49" s="623"/>
      <c r="W49" s="614"/>
      <c r="X49" s="614"/>
      <c r="Y49" s="614"/>
      <c r="Z49" s="614"/>
      <c r="AA49" s="614"/>
      <c r="AB49" s="614"/>
      <c r="AC49" s="614"/>
      <c r="AD49" s="614"/>
      <c r="AE49" s="614"/>
      <c r="AF49" s="614"/>
      <c r="AG49" s="614"/>
      <c r="AH49" s="614"/>
      <c r="AI49" s="614"/>
      <c r="AJ49" s="614"/>
      <c r="AK49" s="614"/>
      <c r="AL49" s="614"/>
      <c r="AM49" s="614"/>
      <c r="AN49" s="614"/>
      <c r="AO49" s="614"/>
      <c r="AP49" s="614"/>
      <c r="AQ49" s="614"/>
      <c r="AR49" s="614"/>
      <c r="AS49" s="614"/>
      <c r="AT49" s="614"/>
      <c r="AU49" s="614"/>
      <c r="AV49" s="614"/>
      <c r="AW49" s="614"/>
      <c r="AX49" s="614"/>
      <c r="AY49" s="614"/>
      <c r="AZ49" s="614"/>
      <c r="BA49" s="614"/>
      <c r="BB49" s="614"/>
      <c r="BC49" s="614"/>
      <c r="BD49" s="614"/>
      <c r="BE49" s="614"/>
      <c r="BF49" s="614"/>
      <c r="BG49" s="614"/>
      <c r="BH49" s="614"/>
      <c r="BI49" s="614"/>
      <c r="BJ49" s="614"/>
      <c r="BK49" s="614"/>
      <c r="BL49" s="614"/>
      <c r="BM49" s="614"/>
      <c r="BN49" s="614"/>
      <c r="JA49" s="614"/>
      <c r="JB49" s="614"/>
      <c r="JC49" s="614"/>
      <c r="JD49" s="614"/>
      <c r="JE49" s="614"/>
      <c r="JF49" s="614"/>
      <c r="JG49" s="614"/>
      <c r="JH49" s="614"/>
      <c r="JI49" s="614"/>
      <c r="JJ49" s="614"/>
      <c r="JK49" s="614"/>
      <c r="JL49" s="614"/>
    </row>
    <row r="50" spans="1:272">
      <c r="A50" s="614"/>
      <c r="B50" s="614"/>
      <c r="C50" s="614"/>
      <c r="D50" s="614"/>
      <c r="E50" s="614"/>
      <c r="F50" s="614"/>
      <c r="G50" s="614"/>
      <c r="H50" s="614"/>
      <c r="I50" s="614"/>
      <c r="J50" s="614"/>
      <c r="K50" s="614"/>
      <c r="L50" s="614"/>
      <c r="M50" s="614"/>
      <c r="N50" s="614"/>
      <c r="O50" s="614"/>
      <c r="P50" s="614"/>
      <c r="S50" s="614"/>
      <c r="T50" s="614"/>
      <c r="U50" s="614"/>
      <c r="V50" s="614"/>
      <c r="W50" s="614"/>
      <c r="X50" s="614"/>
      <c r="Y50" s="614"/>
      <c r="Z50" s="614"/>
      <c r="AA50" s="614"/>
      <c r="AB50" s="614"/>
      <c r="AC50" s="614"/>
      <c r="AD50" s="614"/>
      <c r="AE50" s="614"/>
      <c r="AF50" s="614"/>
      <c r="AG50" s="614"/>
      <c r="AH50" s="614"/>
      <c r="AI50" s="614"/>
      <c r="AJ50" s="614"/>
      <c r="AK50" s="614"/>
      <c r="AL50" s="614"/>
      <c r="AM50" s="614"/>
      <c r="AN50" s="614"/>
      <c r="AO50" s="614"/>
      <c r="AP50" s="614"/>
      <c r="AQ50" s="614"/>
      <c r="AR50" s="614"/>
      <c r="AS50" s="614"/>
      <c r="AT50" s="614"/>
      <c r="AU50" s="614"/>
      <c r="AV50" s="614"/>
      <c r="AW50" s="614"/>
      <c r="AX50" s="614"/>
      <c r="AY50" s="614"/>
      <c r="AZ50" s="614"/>
      <c r="BA50" s="614"/>
      <c r="BB50" s="614"/>
      <c r="BC50" s="614"/>
      <c r="BD50" s="614"/>
      <c r="BE50" s="614"/>
      <c r="BF50" s="614"/>
      <c r="BG50" s="614"/>
      <c r="BH50" s="614"/>
      <c r="BI50" s="614"/>
      <c r="BJ50" s="614"/>
      <c r="BK50" s="614"/>
      <c r="BL50" s="614"/>
      <c r="BM50" s="614"/>
      <c r="BN50" s="614"/>
      <c r="JA50" s="614"/>
      <c r="JB50" s="614"/>
      <c r="JC50" s="614"/>
      <c r="JD50" s="614"/>
      <c r="JE50" s="614"/>
      <c r="JF50" s="614"/>
      <c r="JG50" s="614"/>
      <c r="JH50" s="614"/>
      <c r="JI50" s="614"/>
      <c r="JJ50" s="614"/>
      <c r="JK50" s="614"/>
      <c r="JL50" s="614"/>
    </row>
    <row r="51" spans="1:272">
      <c r="A51" s="614"/>
      <c r="B51" s="614"/>
      <c r="C51" s="614"/>
      <c r="D51" s="614"/>
      <c r="E51" s="614"/>
      <c r="F51" s="614"/>
      <c r="G51" s="614"/>
      <c r="H51" s="614"/>
      <c r="I51" s="614"/>
      <c r="J51" s="614"/>
      <c r="K51" s="614"/>
      <c r="L51" s="614"/>
      <c r="M51" s="614"/>
      <c r="N51" s="614"/>
      <c r="O51" s="614"/>
      <c r="P51" s="614"/>
      <c r="Q51" s="631" t="s">
        <v>439</v>
      </c>
      <c r="R51" s="631"/>
      <c r="S51" s="631"/>
      <c r="T51" s="631"/>
      <c r="U51" s="631"/>
      <c r="V51" s="631"/>
      <c r="W51" s="614"/>
      <c r="X51" s="614"/>
      <c r="Y51" s="614"/>
      <c r="Z51" s="614"/>
      <c r="AA51" s="614"/>
      <c r="AB51" s="614"/>
      <c r="AC51" s="614"/>
      <c r="AD51" s="614"/>
      <c r="AE51" s="614"/>
      <c r="AF51" s="614"/>
      <c r="AG51" s="614"/>
      <c r="AH51" s="614"/>
      <c r="AI51" s="614"/>
      <c r="AJ51" s="614"/>
      <c r="AK51" s="614"/>
      <c r="AL51" s="614"/>
      <c r="AM51" s="614"/>
      <c r="AN51" s="614"/>
      <c r="AO51" s="614"/>
      <c r="AP51" s="614"/>
      <c r="AQ51" s="614"/>
      <c r="AR51" s="614"/>
      <c r="AS51" s="614"/>
      <c r="AT51" s="614"/>
      <c r="AU51" s="614"/>
      <c r="AV51" s="614"/>
      <c r="AW51" s="614"/>
      <c r="AX51" s="614"/>
      <c r="AY51" s="614"/>
      <c r="AZ51" s="614"/>
      <c r="BA51" s="614"/>
      <c r="BB51" s="614"/>
      <c r="BC51" s="614"/>
      <c r="BD51" s="614"/>
      <c r="BE51" s="614"/>
      <c r="BF51" s="614"/>
      <c r="BG51" s="614"/>
      <c r="BH51" s="614"/>
      <c r="BI51" s="614"/>
      <c r="BJ51" s="614"/>
      <c r="BK51" s="614"/>
      <c r="BL51" s="614"/>
      <c r="BM51" s="614"/>
      <c r="BN51" s="614"/>
      <c r="JA51" s="614"/>
      <c r="JB51" s="614"/>
      <c r="JC51" s="614"/>
      <c r="JD51" s="614"/>
      <c r="JE51" s="614"/>
      <c r="JF51" s="614"/>
      <c r="JG51" s="614"/>
      <c r="JH51" s="614"/>
      <c r="JI51" s="614"/>
      <c r="JJ51" s="614"/>
      <c r="JK51" s="614"/>
      <c r="JL51" s="614"/>
    </row>
    <row r="52" spans="1:272">
      <c r="A52" s="614"/>
      <c r="B52" s="614"/>
      <c r="C52" s="614"/>
      <c r="D52" s="614"/>
      <c r="E52" s="614"/>
      <c r="F52" s="614"/>
      <c r="G52" s="614"/>
      <c r="H52" s="614"/>
      <c r="I52" s="614"/>
      <c r="J52" s="614"/>
      <c r="K52" s="614"/>
      <c r="L52" s="614"/>
      <c r="M52" s="614"/>
      <c r="N52" s="614"/>
      <c r="O52" s="614"/>
      <c r="P52" s="614"/>
      <c r="Q52" s="623" t="s">
        <v>254</v>
      </c>
      <c r="R52" s="626" t="str">
        <f>IF(R23=36,"Allowed"," L1")</f>
        <v xml:space="preserve"> L1</v>
      </c>
      <c r="S52" s="626" t="str">
        <f>IF(S23&gt;=12,"Allowed",IF(S4="Current Account","L2P","L2"))</f>
        <v>L2</v>
      </c>
      <c r="T52" s="626" t="str">
        <f>IF(T23&gt;=12,"Allowed",IF(T4="Current Account","L2P","L2"))</f>
        <v>L2</v>
      </c>
      <c r="U52" s="626" t="str">
        <f>IF(U23&gt;=12,"Allowed",IF(U4="Current Account","L2P","L2"))</f>
        <v>L2</v>
      </c>
      <c r="V52" s="626" t="str">
        <f>IF(V23&gt;=12,"Allowed",IF(V4="Current Account","L2P","L2"))</f>
        <v>L2</v>
      </c>
      <c r="W52" s="614"/>
      <c r="X52" s="614"/>
      <c r="Y52" s="614"/>
      <c r="Z52" s="614"/>
      <c r="AA52" s="614"/>
      <c r="AB52" s="614"/>
      <c r="AC52" s="614"/>
      <c r="AD52" s="614"/>
      <c r="AE52" s="614"/>
      <c r="AF52" s="614"/>
      <c r="AG52" s="614"/>
      <c r="AH52" s="614"/>
      <c r="AI52" s="614"/>
      <c r="AJ52" s="614"/>
      <c r="AK52" s="614"/>
      <c r="AL52" s="614"/>
      <c r="AM52" s="614"/>
      <c r="AN52" s="614"/>
      <c r="AO52" s="614"/>
      <c r="AP52" s="614"/>
      <c r="AQ52" s="614"/>
      <c r="AR52" s="614"/>
      <c r="AS52" s="614"/>
      <c r="AT52" s="614"/>
      <c r="AU52" s="614"/>
      <c r="AV52" s="614"/>
      <c r="AW52" s="614"/>
      <c r="AX52" s="614"/>
      <c r="AY52" s="614"/>
      <c r="AZ52" s="614"/>
      <c r="BA52" s="614"/>
      <c r="BB52" s="614"/>
      <c r="BC52" s="614"/>
      <c r="BD52" s="614"/>
      <c r="BE52" s="614"/>
      <c r="BF52" s="614"/>
      <c r="BG52" s="614"/>
      <c r="BH52" s="614"/>
      <c r="BI52" s="614"/>
      <c r="BJ52" s="614"/>
      <c r="BK52" s="614"/>
      <c r="BL52" s="614"/>
      <c r="BM52" s="614"/>
      <c r="BN52" s="614"/>
      <c r="JA52" s="614"/>
      <c r="JB52" s="614"/>
      <c r="JC52" s="614"/>
      <c r="JD52" s="614"/>
      <c r="JE52" s="614"/>
      <c r="JF52" s="614"/>
      <c r="JG52" s="614"/>
      <c r="JH52" s="614"/>
      <c r="JI52" s="614"/>
      <c r="JJ52" s="614"/>
      <c r="JK52" s="614"/>
      <c r="JL52" s="614"/>
    </row>
    <row r="53" spans="1:272" ht="25.5">
      <c r="A53" s="614"/>
      <c r="B53" s="614"/>
      <c r="C53" s="614"/>
      <c r="D53" s="614"/>
      <c r="E53" s="614"/>
      <c r="F53" s="614"/>
      <c r="G53" s="614"/>
      <c r="H53" s="614"/>
      <c r="I53" s="614"/>
      <c r="J53" s="614"/>
      <c r="K53" s="614"/>
      <c r="L53" s="614"/>
      <c r="M53" s="614"/>
      <c r="N53" s="614"/>
      <c r="O53" s="614"/>
      <c r="P53" s="614"/>
      <c r="Q53" s="623" t="s">
        <v>442</v>
      </c>
      <c r="R53" s="626">
        <f>IF(R31="Allowed","Allowed""L1",)</f>
        <v>0</v>
      </c>
      <c r="S53" s="626" t="str">
        <f>IF(S24=0,"Allowed",IF(S4="Current Account","L2P","L2"))</f>
        <v>Allowed</v>
      </c>
      <c r="T53" s="626" t="str">
        <f>IF(T24=0,"Allowed",IF(T4="Current Account","L2P","L2"))</f>
        <v>L2</v>
      </c>
      <c r="U53" s="626" t="str">
        <f>IF(U24=0,"Allowed",IF(U4="Current Account","L2P","L2"))</f>
        <v>L2</v>
      </c>
      <c r="V53" s="626" t="str">
        <f>IF(V24=0,"Allowed",IF(V4="Current Account","L2P","L2"))</f>
        <v>L2</v>
      </c>
      <c r="W53" s="614"/>
      <c r="X53" s="614"/>
      <c r="Y53" s="614"/>
      <c r="Z53" s="614"/>
      <c r="AA53" s="614"/>
      <c r="AB53" s="614"/>
      <c r="AC53" s="614"/>
      <c r="AD53" s="614"/>
      <c r="AE53" s="614"/>
      <c r="AF53" s="614"/>
      <c r="AG53" s="614"/>
      <c r="AH53" s="614"/>
      <c r="AI53" s="614"/>
      <c r="AJ53" s="614"/>
      <c r="AK53" s="614"/>
      <c r="AL53" s="614"/>
      <c r="AM53" s="614"/>
      <c r="AN53" s="614"/>
      <c r="AO53" s="614"/>
      <c r="AP53" s="614"/>
      <c r="AQ53" s="614"/>
      <c r="AR53" s="614"/>
      <c r="AS53" s="614"/>
      <c r="AT53" s="614"/>
      <c r="AU53" s="614"/>
      <c r="AV53" s="614"/>
      <c r="AW53" s="614"/>
      <c r="AX53" s="614"/>
      <c r="AY53" s="614"/>
      <c r="AZ53" s="614"/>
      <c r="BA53" s="614"/>
      <c r="BB53" s="614"/>
      <c r="BC53" s="614"/>
      <c r="BD53" s="614"/>
      <c r="BE53" s="614"/>
      <c r="BF53" s="614"/>
      <c r="BG53" s="614"/>
      <c r="BH53" s="614"/>
      <c r="BI53" s="614"/>
      <c r="BJ53" s="614"/>
      <c r="BK53" s="614"/>
      <c r="BL53" s="614"/>
      <c r="BM53" s="614"/>
      <c r="BN53" s="614"/>
      <c r="JA53" s="614"/>
      <c r="JB53" s="614"/>
      <c r="JC53" s="614"/>
      <c r="JD53" s="614"/>
      <c r="JE53" s="614"/>
      <c r="JF53" s="614"/>
      <c r="JG53" s="614"/>
      <c r="JH53" s="614"/>
      <c r="JI53" s="614"/>
      <c r="JJ53" s="614"/>
      <c r="JK53" s="614"/>
      <c r="JL53" s="614"/>
    </row>
    <row r="54" spans="1:272">
      <c r="A54" s="614"/>
      <c r="B54" s="614"/>
      <c r="C54" s="614"/>
      <c r="D54" s="614"/>
      <c r="E54" s="614"/>
      <c r="F54" s="614"/>
      <c r="G54" s="614"/>
      <c r="H54" s="614"/>
      <c r="I54" s="614"/>
      <c r="J54" s="614"/>
      <c r="K54" s="614"/>
      <c r="L54" s="614"/>
      <c r="M54" s="614"/>
      <c r="N54" s="614"/>
      <c r="O54" s="614"/>
      <c r="P54" s="614"/>
      <c r="Q54" s="623"/>
      <c r="R54" s="626"/>
      <c r="S54" s="626"/>
      <c r="T54" s="626"/>
      <c r="U54" s="626"/>
      <c r="V54" s="626"/>
      <c r="W54" s="614"/>
      <c r="X54" s="614"/>
      <c r="Y54" s="614"/>
      <c r="Z54" s="614"/>
      <c r="AA54" s="614"/>
      <c r="AB54" s="614"/>
      <c r="AC54" s="614"/>
      <c r="AD54" s="614"/>
      <c r="AE54" s="614"/>
      <c r="AF54" s="614"/>
      <c r="AG54" s="614"/>
      <c r="AH54" s="614"/>
      <c r="AI54" s="614"/>
      <c r="AJ54" s="614"/>
      <c r="AK54" s="614"/>
      <c r="AL54" s="614"/>
      <c r="AM54" s="614"/>
      <c r="AN54" s="614"/>
      <c r="AO54" s="614"/>
      <c r="AP54" s="614"/>
      <c r="AQ54" s="614"/>
      <c r="AR54" s="614"/>
      <c r="AS54" s="614"/>
      <c r="AT54" s="614"/>
      <c r="AU54" s="614"/>
      <c r="AV54" s="614"/>
      <c r="AW54" s="614"/>
      <c r="AX54" s="614"/>
      <c r="AY54" s="614"/>
      <c r="AZ54" s="614"/>
      <c r="BA54" s="614"/>
      <c r="BB54" s="614"/>
      <c r="BC54" s="614"/>
      <c r="BD54" s="614"/>
      <c r="BE54" s="614"/>
      <c r="BF54" s="614"/>
      <c r="BG54" s="614"/>
      <c r="BH54" s="614"/>
      <c r="BI54" s="614"/>
      <c r="BJ54" s="614"/>
      <c r="BK54" s="614"/>
      <c r="BL54" s="614"/>
      <c r="BM54" s="614"/>
      <c r="BN54" s="614"/>
      <c r="JA54" s="614"/>
      <c r="JB54" s="614"/>
      <c r="JC54" s="614"/>
      <c r="JD54" s="614"/>
      <c r="JE54" s="614"/>
      <c r="JF54" s="614"/>
      <c r="JG54" s="614"/>
      <c r="JH54" s="614"/>
      <c r="JI54" s="614"/>
      <c r="JJ54" s="614"/>
      <c r="JK54" s="614"/>
      <c r="JL54" s="614"/>
    </row>
    <row r="55" spans="1:272">
      <c r="Q55" s="613" t="s">
        <v>452</v>
      </c>
      <c r="R55" s="613" t="str">
        <f>IF(COUNTIF(R52:R54,"L1")&gt;=1,"L1","RAAC")</f>
        <v>RAAC</v>
      </c>
      <c r="S55" s="613" t="str">
        <f>IF(S35="Consider",IF(COUNTIF(S52:S53,"L2P")&gt;=1,"L2P",IF(COUNTIF(S52:S53,"L2")&gt;=1,"L2","RAAC")),"RAAC")</f>
        <v>RAAC</v>
      </c>
      <c r="T55" s="613" t="str">
        <f>IF(T35="Consider",IF(COUNTIF(T52:T53,"L2P")&gt;=1,"L2P",IF(COUNTIF(T52:T53,"L2")&gt;=1,"L2","RAAC")),"RAAC")</f>
        <v>RAAC</v>
      </c>
      <c r="U55" s="613" t="str">
        <f>IF(U35="Consider",IF(COUNTIF(U52:U53,"L2P")&gt;=1,"L2P",IF(COUNTIF(U52:U53,"L2")&gt;=1,"L2","RAAC")),"RAAC")</f>
        <v>RAAC</v>
      </c>
      <c r="V55" s="613" t="str">
        <f>IF(V35="Consider",IF(COUNTIF(V52:V53,"L2P")&gt;=1,"L2P",IF(COUNTIF(V52:V53,"L2")&gt;=1,"L2","RAAC")),"RAAC")</f>
        <v>RAAC</v>
      </c>
    </row>
    <row r="57" spans="1:272">
      <c r="Q57" s="1175" t="s">
        <v>439</v>
      </c>
      <c r="R57" s="1175"/>
    </row>
    <row r="58" spans="1:272" ht="15">
      <c r="Q58" s="629" t="s">
        <v>266</v>
      </c>
      <c r="R58" s="628" t="str">
        <f>IF(COUNTIF(R55:V55,"RAAC")=5,"RAAC","Not at RAAC")</f>
        <v>RAAC</v>
      </c>
    </row>
    <row r="59" spans="1:272" ht="15">
      <c r="Q59" s="629" t="s">
        <v>453</v>
      </c>
      <c r="R59" s="614" t="str">
        <f>IF(OR(COUNTIF(R55:V55,"L1")&gt;=1,COUNTIF(R55:V55,"L2P")&gt;=1),"Not at L2",IF(COUNTIF(R55:V55,"L2")&gt;=1,"L2","Not at L2"))</f>
        <v>Not at L2</v>
      </c>
    </row>
    <row r="60" spans="1:272" ht="15">
      <c r="Q60" s="629" t="s">
        <v>267</v>
      </c>
      <c r="R60" s="614" t="str">
        <f>IF(OR(COUNTIF(R55:V55,"L1")&gt;=1,COUNTIF(R55:V55,"L2")&gt;=1),"Not at L2P",IF(COUNTIF(R55:V55,"L2P")&gt;=1,"L2P","Not at L2P"))</f>
        <v>Not at L2P</v>
      </c>
    </row>
    <row r="61" spans="1:272" ht="15">
      <c r="Q61" s="629" t="s">
        <v>268</v>
      </c>
      <c r="R61" s="613" t="str">
        <f>IF(COUNTIF(R55:V55,"L1")&gt;=1,"L1","Not at L1")</f>
        <v>Not at L1</v>
      </c>
    </row>
  </sheetData>
  <sheetProtection algorithmName="SHA-512" hashValue="ZMqiPg6QfeKEN1Mv8K/u/egnkNPE1ERxO1VlkrJRSS0PuAGOOe4fbZeKPv/I6r9aLM5PYh8QAUY61qdNSP0YIg==" saltValue="pfIZIONnirFbPKk2qZorww==" spinCount="100000" sheet="1" objects="1" scenarios="1" formatCells="0" formatColumns="0" formatRows="0"/>
  <mergeCells count="4">
    <mergeCell ref="A3:F3"/>
    <mergeCell ref="Q3:V3"/>
    <mergeCell ref="Q57:R57"/>
    <mergeCell ref="I3:N3"/>
  </mergeCells>
  <conditionalFormatting sqref="S5">
    <cfRule type="expression" dxfId="342" priority="9">
      <formula>$S$2&lt;W5</formula>
    </cfRule>
  </conditionalFormatting>
  <conditionalFormatting sqref="S6:S16">
    <cfRule type="expression" dxfId="341" priority="7">
      <formula>$S$2&lt;W6</formula>
    </cfRule>
  </conditionalFormatting>
  <conditionalFormatting sqref="T16">
    <cfRule type="expression" dxfId="340" priority="6">
      <formula>$T$2&lt;W16</formula>
    </cfRule>
  </conditionalFormatting>
  <conditionalFormatting sqref="T5:T15">
    <cfRule type="expression" dxfId="339" priority="5">
      <formula>$T$2&lt;W5</formula>
    </cfRule>
  </conditionalFormatting>
  <conditionalFormatting sqref="U16">
    <cfRule type="expression" dxfId="338" priority="4">
      <formula>$U$2&lt;W16</formula>
    </cfRule>
  </conditionalFormatting>
  <conditionalFormatting sqref="V16">
    <cfRule type="expression" dxfId="337" priority="3">
      <formula>$V$2&lt;W16</formula>
    </cfRule>
  </conditionalFormatting>
  <conditionalFormatting sqref="U5:U15">
    <cfRule type="expression" dxfId="336" priority="2">
      <formula>$U$2&lt;W5</formula>
    </cfRule>
  </conditionalFormatting>
  <conditionalFormatting sqref="V5:V15">
    <cfRule type="expression" dxfId="335" priority="1">
      <formula>$V$2&lt;W5</formula>
    </cfRule>
  </conditionalFormatting>
  <dataValidations count="7">
    <dataValidation allowBlank="1" showInputMessage="1" showErrorMessage="1" errorTitle="Error" error="Value has to be Whole number only." sqref="Q66:Q65536 Q55:Q57 Q46 A30:E65536 F46:P65536 F30:P40" xr:uid="{00000000-0002-0000-0900-000000000000}"/>
    <dataValidation type="whole" allowBlank="1" showInputMessage="1" showErrorMessage="1" errorTitle="Error" error="Value has to be Whole number only." sqref="B24:B26 D24:D26 F24:F26 B29 F29 D29" xr:uid="{00000000-0002-0000-0900-000001000000}">
      <formula1>0</formula1>
      <formula2>5000</formula2>
    </dataValidation>
    <dataValidation type="list" allowBlank="1" showInputMessage="1" showErrorMessage="1" sqref="B1" xr:uid="{00000000-0002-0000-0900-000002000000}">
      <formula1>$C$27:$C$31</formula1>
    </dataValidation>
    <dataValidation type="list" allowBlank="1" showInputMessage="1" showErrorMessage="1" sqref="S4" xr:uid="{00000000-0002-0000-0900-000003000000}">
      <formula1>IF($B$1&gt;1,$AI$7:$AI$8,$X$6)</formula1>
    </dataValidation>
    <dataValidation type="list" allowBlank="1" showInputMessage="1" showErrorMessage="1" sqref="T4" xr:uid="{00000000-0002-0000-0900-000004000000}">
      <formula1>IF($B$1&gt;2,$AI$7:$AI$8,$X$6)</formula1>
    </dataValidation>
    <dataValidation type="list" allowBlank="1" showInputMessage="1" showErrorMessage="1" sqref="U4:V4" xr:uid="{00000000-0002-0000-0900-000005000000}">
      <formula1>IF($B$1&gt;3,$AI$7:$AI$8,$X$6)</formula1>
    </dataValidation>
    <dataValidation type="list" allowBlank="1" showInputMessage="1" showErrorMessage="1" sqref="S2:V2" xr:uid="{00000000-0002-0000-0900-000006000000}">
      <formula1>$AJ$5:$AJ$11</formula1>
    </dataValidation>
  </dataValidations>
  <pageMargins left="0.78749999999999998" right="0.78749999999999998" top="1.0527777777777778" bottom="1.0527777777777778" header="0.78749999999999998" footer="0.78749999999999998"/>
  <pageSetup paperSize="9" firstPageNumber="0" orientation="portrait" horizontalDpi="300" verticalDpi="300" r:id="rId1"/>
  <headerFooter alignWithMargins="0">
    <oddHeader>&amp;C&amp;"Times New Roman,Regular"&amp;12&amp;A</oddHeader>
    <oddFooter>&amp;C&amp;"Times New Roman,Regular"&amp;12Page &amp;P</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AD8CA-EA85-447A-8C43-C6D0AC3A8363}">
  <sheetPr codeName="Sheet29">
    <tabColor theme="3" tint="-0.499984740745262"/>
  </sheetPr>
  <dimension ref="A1:ES10"/>
  <sheetViews>
    <sheetView workbookViewId="0">
      <selection activeCell="C24" sqref="C24"/>
    </sheetView>
  </sheetViews>
  <sheetFormatPr defaultRowHeight="12.75"/>
  <cols>
    <col min="1" max="1" width="2.375" style="330" customWidth="1"/>
    <col min="2" max="2" width="2.75" style="330" customWidth="1"/>
    <col min="3" max="3" width="22.5" style="330" customWidth="1"/>
    <col min="4" max="5" width="15.5" style="330" customWidth="1"/>
    <col min="6" max="6" width="31" style="330" customWidth="1"/>
    <col min="7" max="8" width="15.5" style="330" customWidth="1"/>
    <col min="9" max="9" width="8" style="330" customWidth="1"/>
    <col min="10" max="16384" width="9" style="330"/>
  </cols>
  <sheetData>
    <row r="1" spans="1:149" ht="13.5" thickBot="1"/>
    <row r="2" spans="1:149" ht="17.25" thickBot="1">
      <c r="A2" s="331"/>
      <c r="B2" s="898" t="s">
        <v>992</v>
      </c>
      <c r="C2" s="899"/>
      <c r="D2" s="899"/>
      <c r="E2" s="899"/>
      <c r="F2" s="899"/>
      <c r="G2" s="899"/>
      <c r="H2" s="900"/>
    </row>
    <row r="3" spans="1:149">
      <c r="B3" s="901" t="s">
        <v>876</v>
      </c>
      <c r="C3" s="902"/>
      <c r="D3" s="903"/>
      <c r="E3" s="903"/>
      <c r="F3" s="759" t="s">
        <v>863</v>
      </c>
      <c r="G3" s="903"/>
      <c r="H3" s="904"/>
    </row>
    <row r="4" spans="1:149" s="334" customFormat="1">
      <c r="A4" s="333"/>
      <c r="B4" s="905"/>
      <c r="C4" s="906"/>
      <c r="D4" s="906"/>
      <c r="E4" s="906"/>
      <c r="F4" s="906"/>
      <c r="G4" s="906"/>
      <c r="H4" s="907"/>
      <c r="J4" s="330"/>
      <c r="K4" s="330"/>
      <c r="L4" s="330"/>
      <c r="M4" s="330"/>
      <c r="N4" s="330"/>
      <c r="O4" s="330"/>
      <c r="P4" s="330"/>
      <c r="Q4" s="330"/>
      <c r="R4" s="330"/>
      <c r="S4" s="330"/>
      <c r="T4" s="330"/>
      <c r="U4" s="330"/>
      <c r="V4" s="330"/>
      <c r="W4" s="330"/>
      <c r="X4" s="330"/>
      <c r="Y4" s="330"/>
      <c r="Z4" s="330"/>
      <c r="AA4" s="330"/>
      <c r="AB4" s="330"/>
      <c r="AC4" s="330"/>
      <c r="AD4" s="330"/>
      <c r="AE4" s="330"/>
      <c r="AF4" s="330"/>
      <c r="AG4" s="330"/>
      <c r="AH4" s="330"/>
      <c r="AI4" s="330"/>
      <c r="AJ4" s="330"/>
      <c r="AK4" s="330"/>
      <c r="AL4" s="330"/>
      <c r="AM4" s="330"/>
      <c r="AN4" s="330"/>
      <c r="AO4" s="330"/>
      <c r="AP4" s="330"/>
      <c r="AQ4" s="330"/>
      <c r="AR4" s="330"/>
      <c r="AS4" s="330"/>
      <c r="AT4" s="330"/>
      <c r="AU4" s="330"/>
      <c r="AV4" s="330"/>
      <c r="AW4" s="330"/>
      <c r="AX4" s="330"/>
      <c r="AY4" s="330"/>
      <c r="AZ4" s="330"/>
      <c r="BA4" s="330"/>
      <c r="BB4" s="330"/>
      <c r="BC4" s="330"/>
      <c r="BD4" s="330"/>
      <c r="BE4" s="330"/>
      <c r="BF4" s="330"/>
      <c r="BG4" s="330"/>
      <c r="BH4" s="330"/>
      <c r="BI4" s="330"/>
      <c r="BJ4" s="330"/>
      <c r="BK4" s="330"/>
      <c r="BL4" s="330"/>
      <c r="BM4" s="330"/>
      <c r="BN4" s="330"/>
      <c r="BO4" s="330"/>
      <c r="BP4" s="330"/>
      <c r="BQ4" s="330"/>
      <c r="BR4" s="330"/>
      <c r="BS4" s="330"/>
      <c r="BT4" s="330"/>
      <c r="BU4" s="330"/>
      <c r="BV4" s="330"/>
      <c r="BW4" s="330"/>
      <c r="BX4" s="330"/>
      <c r="BY4" s="330"/>
      <c r="BZ4" s="330"/>
      <c r="CA4" s="330"/>
      <c r="CB4" s="330"/>
      <c r="CC4" s="330"/>
      <c r="CD4" s="330"/>
      <c r="CE4" s="330"/>
      <c r="CF4" s="330"/>
      <c r="CG4" s="330"/>
      <c r="CH4" s="330"/>
      <c r="CI4" s="330"/>
      <c r="CJ4" s="330"/>
      <c r="CK4" s="330"/>
      <c r="CL4" s="330"/>
      <c r="CM4" s="330"/>
      <c r="CN4" s="330"/>
      <c r="CO4" s="330"/>
      <c r="CP4" s="330"/>
      <c r="CQ4" s="330"/>
      <c r="CR4" s="330"/>
      <c r="CS4" s="330"/>
      <c r="CT4" s="330"/>
      <c r="CU4" s="330"/>
      <c r="CV4" s="330"/>
      <c r="CW4" s="330"/>
      <c r="CX4" s="330"/>
      <c r="CY4" s="330"/>
      <c r="CZ4" s="330"/>
      <c r="DA4" s="330"/>
      <c r="DB4" s="330"/>
      <c r="DC4" s="330"/>
      <c r="DD4" s="330"/>
      <c r="DE4" s="330"/>
      <c r="DF4" s="330"/>
      <c r="DG4" s="330"/>
      <c r="DH4" s="330"/>
      <c r="DI4" s="330"/>
      <c r="DJ4" s="330"/>
      <c r="DK4" s="330"/>
      <c r="DL4" s="330"/>
      <c r="DM4" s="330"/>
      <c r="DN4" s="330"/>
      <c r="DO4" s="330"/>
      <c r="DP4" s="330"/>
      <c r="DQ4" s="330"/>
      <c r="DR4" s="330"/>
      <c r="DS4" s="330"/>
      <c r="DT4" s="330"/>
      <c r="DU4" s="330"/>
      <c r="DV4" s="330"/>
      <c r="DW4" s="330"/>
      <c r="DX4" s="330"/>
      <c r="DY4" s="330"/>
      <c r="DZ4" s="330"/>
      <c r="EA4" s="330"/>
      <c r="EB4" s="330"/>
      <c r="EC4" s="330"/>
      <c r="ED4" s="330"/>
      <c r="EE4" s="330"/>
      <c r="EF4" s="330"/>
      <c r="EG4" s="330"/>
      <c r="EH4" s="330"/>
      <c r="EI4" s="330"/>
      <c r="EJ4" s="330"/>
      <c r="EK4" s="330"/>
      <c r="EL4" s="330"/>
      <c r="EM4" s="330"/>
      <c r="EN4" s="330"/>
      <c r="EO4" s="330"/>
      <c r="EP4" s="330"/>
      <c r="EQ4" s="330"/>
      <c r="ER4" s="330"/>
      <c r="ES4" s="330"/>
    </row>
    <row r="5" spans="1:149">
      <c r="B5" s="892"/>
      <c r="C5" s="336" t="s">
        <v>993</v>
      </c>
      <c r="D5" s="895"/>
      <c r="E5" s="896"/>
      <c r="F5" s="760"/>
      <c r="G5" s="895"/>
      <c r="H5" s="897"/>
    </row>
    <row r="6" spans="1:149">
      <c r="B6" s="893"/>
      <c r="C6" s="336" t="s">
        <v>994</v>
      </c>
      <c r="D6" s="895"/>
      <c r="E6" s="896"/>
      <c r="F6" s="760"/>
      <c r="G6" s="895"/>
      <c r="H6" s="897"/>
    </row>
    <row r="7" spans="1:149">
      <c r="B7" s="893"/>
      <c r="C7" s="341" t="s">
        <v>866</v>
      </c>
      <c r="D7" s="895"/>
      <c r="E7" s="896"/>
      <c r="F7" s="760"/>
      <c r="G7" s="895"/>
      <c r="H7" s="897"/>
    </row>
    <row r="8" spans="1:149">
      <c r="B8" s="893"/>
      <c r="C8" s="762" t="s">
        <v>997</v>
      </c>
      <c r="D8" s="895"/>
      <c r="E8" s="896"/>
      <c r="F8" s="760"/>
      <c r="G8" s="895"/>
      <c r="H8" s="897"/>
    </row>
    <row r="9" spans="1:149">
      <c r="B9" s="894"/>
      <c r="C9" s="762" t="s">
        <v>995</v>
      </c>
      <c r="D9" s="895"/>
      <c r="E9" s="896"/>
      <c r="F9" s="763"/>
      <c r="G9" s="895"/>
      <c r="H9" s="897"/>
    </row>
    <row r="10" spans="1:149" s="334" customFormat="1" ht="13.5" thickBot="1">
      <c r="B10" s="889"/>
      <c r="C10" s="890"/>
      <c r="D10" s="890"/>
      <c r="E10" s="890"/>
      <c r="F10" s="890"/>
      <c r="G10" s="890"/>
      <c r="H10" s="891"/>
      <c r="J10" s="330"/>
      <c r="K10" s="330"/>
      <c r="L10" s="330"/>
      <c r="M10" s="330"/>
      <c r="N10" s="330"/>
      <c r="O10" s="330"/>
      <c r="P10" s="330"/>
      <c r="Q10" s="330"/>
      <c r="R10" s="330"/>
      <c r="S10" s="330"/>
      <c r="T10" s="330"/>
      <c r="U10" s="330"/>
      <c r="V10" s="330"/>
      <c r="W10" s="330"/>
      <c r="X10" s="330"/>
      <c r="Y10" s="330"/>
      <c r="Z10" s="330"/>
      <c r="AA10" s="330"/>
      <c r="AB10" s="330"/>
      <c r="AC10" s="330"/>
      <c r="AD10" s="330"/>
      <c r="AE10" s="330"/>
      <c r="AF10" s="330"/>
      <c r="AG10" s="330"/>
      <c r="AH10" s="330"/>
      <c r="AI10" s="330"/>
      <c r="AJ10" s="330"/>
      <c r="AK10" s="330"/>
      <c r="AL10" s="330"/>
      <c r="AM10" s="330"/>
      <c r="AN10" s="330"/>
      <c r="AO10" s="330"/>
      <c r="AP10" s="330"/>
      <c r="AQ10" s="330"/>
      <c r="AR10" s="330"/>
      <c r="AS10" s="330"/>
      <c r="AT10" s="330"/>
      <c r="AU10" s="330"/>
      <c r="AV10" s="330"/>
      <c r="AW10" s="330"/>
      <c r="AX10" s="330"/>
      <c r="AY10" s="330"/>
      <c r="AZ10" s="330"/>
      <c r="BA10" s="330"/>
      <c r="BB10" s="330"/>
      <c r="BC10" s="330"/>
      <c r="BD10" s="330"/>
      <c r="BE10" s="330"/>
      <c r="BF10" s="330"/>
      <c r="BG10" s="330"/>
      <c r="BH10" s="330"/>
      <c r="BI10" s="330"/>
      <c r="BJ10" s="330"/>
      <c r="BK10" s="330"/>
      <c r="BL10" s="330"/>
      <c r="BM10" s="330"/>
      <c r="BN10" s="330"/>
      <c r="BO10" s="330"/>
      <c r="BP10" s="330"/>
      <c r="BQ10" s="330"/>
      <c r="BR10" s="330"/>
      <c r="BS10" s="330"/>
      <c r="BT10" s="330"/>
      <c r="BU10" s="330"/>
      <c r="BV10" s="330"/>
      <c r="BW10" s="330"/>
      <c r="BX10" s="330"/>
      <c r="BY10" s="330"/>
      <c r="BZ10" s="330"/>
      <c r="CA10" s="330"/>
      <c r="CB10" s="330"/>
      <c r="CC10" s="330"/>
      <c r="CD10" s="330"/>
      <c r="CE10" s="330"/>
      <c r="CF10" s="330"/>
      <c r="CG10" s="330"/>
      <c r="CH10" s="330"/>
      <c r="CI10" s="330"/>
      <c r="CJ10" s="330"/>
      <c r="CK10" s="330"/>
      <c r="CL10" s="330"/>
      <c r="CM10" s="330"/>
      <c r="CN10" s="330"/>
      <c r="CO10" s="330"/>
      <c r="CP10" s="330"/>
      <c r="CQ10" s="330"/>
      <c r="CR10" s="330"/>
      <c r="CS10" s="330"/>
      <c r="CT10" s="330"/>
      <c r="CU10" s="330"/>
      <c r="CV10" s="330"/>
      <c r="CW10" s="330"/>
      <c r="CX10" s="330"/>
      <c r="CY10" s="330"/>
      <c r="CZ10" s="330"/>
      <c r="DA10" s="330"/>
      <c r="DB10" s="330"/>
      <c r="DC10" s="330"/>
      <c r="DD10" s="330"/>
      <c r="DE10" s="330"/>
      <c r="DF10" s="330"/>
      <c r="DG10" s="330"/>
      <c r="DH10" s="330"/>
      <c r="DI10" s="330"/>
      <c r="DJ10" s="330"/>
      <c r="DK10" s="330"/>
      <c r="DL10" s="330"/>
      <c r="DM10" s="330"/>
      <c r="DN10" s="330"/>
      <c r="DO10" s="330"/>
      <c r="DP10" s="330"/>
      <c r="DQ10" s="330"/>
      <c r="DR10" s="330"/>
      <c r="DS10" s="330"/>
      <c r="DT10" s="330"/>
      <c r="DU10" s="330"/>
      <c r="DV10" s="330"/>
      <c r="DW10" s="330"/>
      <c r="DX10" s="330"/>
      <c r="DY10" s="330"/>
      <c r="DZ10" s="330"/>
      <c r="EA10" s="330"/>
      <c r="EB10" s="330"/>
      <c r="EC10" s="330"/>
      <c r="ED10" s="330"/>
      <c r="EE10" s="330"/>
      <c r="EF10" s="330"/>
      <c r="EG10" s="330"/>
      <c r="EH10" s="330"/>
      <c r="EI10" s="330"/>
      <c r="EJ10" s="330"/>
      <c r="EK10" s="330"/>
      <c r="EL10" s="330"/>
      <c r="EM10" s="330"/>
      <c r="EN10" s="330"/>
      <c r="EO10" s="330"/>
      <c r="EP10" s="330"/>
      <c r="EQ10" s="330"/>
      <c r="ER10" s="330"/>
      <c r="ES10" s="330"/>
    </row>
  </sheetData>
  <mergeCells count="17">
    <mergeCell ref="B2:H2"/>
    <mergeCell ref="B3:C3"/>
    <mergeCell ref="D3:E3"/>
    <mergeCell ref="G3:H3"/>
    <mergeCell ref="B4:H4"/>
    <mergeCell ref="B10:H10"/>
    <mergeCell ref="B5:B9"/>
    <mergeCell ref="D6:E6"/>
    <mergeCell ref="G6:H6"/>
    <mergeCell ref="D7:E7"/>
    <mergeCell ref="G7:H7"/>
    <mergeCell ref="D5:E5"/>
    <mergeCell ref="G5:H5"/>
    <mergeCell ref="D9:E9"/>
    <mergeCell ref="D8:E8"/>
    <mergeCell ref="G8:H8"/>
    <mergeCell ref="G9:H9"/>
  </mergeCells>
  <dataValidations count="1">
    <dataValidation type="list" allowBlank="1" showInputMessage="1" showErrorMessage="1" sqref="D7:H7" xr:uid="{788861F7-54C6-469C-AB96-5C638D5E3F49}">
      <formula1>"Return Submitted and verified, Return Processed and Refund Paid, Successfully e-Verified, ITR Processed, e-Return for this PAN and Acknowledgement Number has been Digitally signed, Return Processed with No Demand and No Refund,No Records found "</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A8C8A-EE8E-4195-979F-ED5FCDE78FDA}">
  <sheetPr codeName="Sheet16">
    <tabColor theme="3" tint="-0.499984740745262"/>
  </sheetPr>
  <dimension ref="A1:AH23"/>
  <sheetViews>
    <sheetView workbookViewId="0"/>
  </sheetViews>
  <sheetFormatPr defaultRowHeight="12.75"/>
  <cols>
    <col min="1" max="1" width="2.625" style="230" customWidth="1"/>
    <col min="2" max="2" width="3.125" style="231" customWidth="1"/>
    <col min="3" max="3" width="8.875" style="231" bestFit="1" customWidth="1"/>
    <col min="4" max="4" width="26.875" style="231" customWidth="1"/>
    <col min="5" max="5" width="11.125" style="231" customWidth="1"/>
    <col min="6" max="6" width="13.625" style="231" customWidth="1"/>
    <col min="7" max="7" width="20.625" style="231" customWidth="1"/>
    <col min="8" max="8" width="5.5" style="231" bestFit="1" customWidth="1"/>
    <col min="9" max="9" width="10.625" style="231" customWidth="1"/>
    <col min="10" max="10" width="5.5" style="231" bestFit="1" customWidth="1"/>
    <col min="11" max="11" width="10.625" style="231" customWidth="1"/>
    <col min="12" max="12" width="5.5" style="231" bestFit="1" customWidth="1"/>
    <col min="13" max="13" width="10.625" style="231" customWidth="1"/>
    <col min="14" max="14" width="5.5" style="231" bestFit="1" customWidth="1"/>
    <col min="15" max="15" width="10.625" style="231" customWidth="1"/>
    <col min="16" max="16" width="5.5" style="231" bestFit="1" customWidth="1"/>
    <col min="17" max="17" width="10.625" style="231" customWidth="1"/>
    <col min="18" max="18" width="5.5" style="231" bestFit="1" customWidth="1"/>
    <col min="19" max="19" width="10.625" style="231" customWidth="1"/>
    <col min="20" max="20" width="5.5" style="231" bestFit="1" customWidth="1"/>
    <col min="21" max="21" width="10.625" style="231" customWidth="1"/>
    <col min="22" max="22" width="5.5" style="231" customWidth="1"/>
    <col min="23" max="23" width="10.625" style="231" customWidth="1"/>
    <col min="24" max="24" width="5.5" style="231" customWidth="1"/>
    <col min="25" max="25" width="10.625" style="231" customWidth="1"/>
    <col min="26" max="26" width="5.5" style="231" customWidth="1"/>
    <col min="27" max="27" width="10.625" style="231" customWidth="1"/>
    <col min="28" max="28" width="5.5" style="231" customWidth="1"/>
    <col min="29" max="29" width="10.625" style="231" customWidth="1"/>
    <col min="30" max="30" width="5.5" style="231" customWidth="1"/>
    <col min="31" max="31" width="10.625" style="231" customWidth="1"/>
    <col min="32" max="32" width="5.5" style="231" customWidth="1"/>
    <col min="33" max="33" width="10.625" style="231" customWidth="1"/>
    <col min="34" max="34" width="33" style="231" customWidth="1"/>
    <col min="35" max="237" width="9" style="231"/>
    <col min="238" max="238" width="1.5" style="231" customWidth="1"/>
    <col min="239" max="239" width="3.125" style="231" customWidth="1"/>
    <col min="240" max="240" width="9.625" style="231" customWidth="1"/>
    <col min="241" max="241" width="18.125" style="231" customWidth="1"/>
    <col min="242" max="243" width="10.25" style="231" customWidth="1"/>
    <col min="244" max="244" width="8.5" style="231" customWidth="1"/>
    <col min="245" max="245" width="8.875" style="231" bestFit="1" customWidth="1"/>
    <col min="246" max="247" width="6.75" style="231" customWidth="1"/>
    <col min="248" max="248" width="3.5" style="231" customWidth="1"/>
    <col min="249" max="249" width="8.5" style="231" customWidth="1"/>
    <col min="250" max="250" width="13.25" style="231" customWidth="1"/>
    <col min="251" max="251" width="4.5" style="231" customWidth="1"/>
    <col min="252" max="252" width="8.5" style="231" customWidth="1"/>
    <col min="253" max="253" width="12" style="231" customWidth="1"/>
    <col min="254" max="254" width="4.5" style="231" customWidth="1"/>
    <col min="255" max="255" width="8.5" style="231" customWidth="1"/>
    <col min="256" max="256" width="11" style="231" customWidth="1"/>
    <col min="257" max="257" width="4.5" style="231" customWidth="1"/>
    <col min="258" max="258" width="8.5" style="231" customWidth="1"/>
    <col min="259" max="259" width="11.125" style="231" customWidth="1"/>
    <col min="260" max="260" width="4.5" style="231" customWidth="1"/>
    <col min="261" max="261" width="8.5" style="231" customWidth="1"/>
    <col min="262" max="262" width="11.125" style="231" customWidth="1"/>
    <col min="263" max="263" width="4.5" style="231" customWidth="1"/>
    <col min="264" max="264" width="8.5" style="231" customWidth="1"/>
    <col min="265" max="265" width="11.125" style="231" customWidth="1"/>
    <col min="266" max="266" width="4.5" style="231" customWidth="1"/>
    <col min="267" max="267" width="8.5" style="231" customWidth="1"/>
    <col min="268" max="268" width="11.125" style="231" customWidth="1"/>
    <col min="269" max="269" width="4.5" style="231" customWidth="1"/>
    <col min="270" max="270" width="8.5" style="231" customWidth="1"/>
    <col min="271" max="271" width="11.125" style="231" customWidth="1"/>
    <col min="272" max="272" width="4.5" style="231" customWidth="1"/>
    <col min="273" max="273" width="8.5" style="231" customWidth="1"/>
    <col min="274" max="274" width="11.125" style="231" customWidth="1"/>
    <col min="275" max="275" width="4.5" style="231" customWidth="1"/>
    <col min="276" max="276" width="8.5" style="231" customWidth="1"/>
    <col min="277" max="277" width="11.125" style="231" customWidth="1"/>
    <col min="278" max="278" width="4.5" style="231" customWidth="1"/>
    <col min="279" max="279" width="8.5" style="231" customWidth="1"/>
    <col min="280" max="280" width="11.125" style="231" customWidth="1"/>
    <col min="281" max="281" width="4.5" style="231" customWidth="1"/>
    <col min="282" max="282" width="8.5" style="231" customWidth="1"/>
    <col min="283" max="283" width="11.125" style="231" customWidth="1"/>
    <col min="284" max="284" width="4.5" style="231" customWidth="1"/>
    <col min="285" max="285" width="8.5" style="231" customWidth="1"/>
    <col min="286" max="286" width="11.125" style="231" customWidth="1"/>
    <col min="287" max="287" width="4.5" style="231" customWidth="1"/>
    <col min="288" max="288" width="8.5" style="231" customWidth="1"/>
    <col min="289" max="289" width="11.125" style="231" customWidth="1"/>
    <col min="290" max="290" width="33" style="231" customWidth="1"/>
    <col min="291" max="493" width="9" style="231"/>
    <col min="494" max="494" width="1.5" style="231" customWidth="1"/>
    <col min="495" max="495" width="3.125" style="231" customWidth="1"/>
    <col min="496" max="496" width="9.625" style="231" customWidth="1"/>
    <col min="497" max="497" width="18.125" style="231" customWidth="1"/>
    <col min="498" max="499" width="10.25" style="231" customWidth="1"/>
    <col min="500" max="500" width="8.5" style="231" customWidth="1"/>
    <col min="501" max="501" width="8.875" style="231" bestFit="1" customWidth="1"/>
    <col min="502" max="503" width="6.75" style="231" customWidth="1"/>
    <col min="504" max="504" width="3.5" style="231" customWidth="1"/>
    <col min="505" max="505" width="8.5" style="231" customWidth="1"/>
    <col min="506" max="506" width="13.25" style="231" customWidth="1"/>
    <col min="507" max="507" width="4.5" style="231" customWidth="1"/>
    <col min="508" max="508" width="8.5" style="231" customWidth="1"/>
    <col min="509" max="509" width="12" style="231" customWidth="1"/>
    <col min="510" max="510" width="4.5" style="231" customWidth="1"/>
    <col min="511" max="511" width="8.5" style="231" customWidth="1"/>
    <col min="512" max="512" width="11" style="231" customWidth="1"/>
    <col min="513" max="513" width="4.5" style="231" customWidth="1"/>
    <col min="514" max="514" width="8.5" style="231" customWidth="1"/>
    <col min="515" max="515" width="11.125" style="231" customWidth="1"/>
    <col min="516" max="516" width="4.5" style="231" customWidth="1"/>
    <col min="517" max="517" width="8.5" style="231" customWidth="1"/>
    <col min="518" max="518" width="11.125" style="231" customWidth="1"/>
    <col min="519" max="519" width="4.5" style="231" customWidth="1"/>
    <col min="520" max="520" width="8.5" style="231" customWidth="1"/>
    <col min="521" max="521" width="11.125" style="231" customWidth="1"/>
    <col min="522" max="522" width="4.5" style="231" customWidth="1"/>
    <col min="523" max="523" width="8.5" style="231" customWidth="1"/>
    <col min="524" max="524" width="11.125" style="231" customWidth="1"/>
    <col min="525" max="525" width="4.5" style="231" customWidth="1"/>
    <col min="526" max="526" width="8.5" style="231" customWidth="1"/>
    <col min="527" max="527" width="11.125" style="231" customWidth="1"/>
    <col min="528" max="528" width="4.5" style="231" customWidth="1"/>
    <col min="529" max="529" width="8.5" style="231" customWidth="1"/>
    <col min="530" max="530" width="11.125" style="231" customWidth="1"/>
    <col min="531" max="531" width="4.5" style="231" customWidth="1"/>
    <col min="532" max="532" width="8.5" style="231" customWidth="1"/>
    <col min="533" max="533" width="11.125" style="231" customWidth="1"/>
    <col min="534" max="534" width="4.5" style="231" customWidth="1"/>
    <col min="535" max="535" width="8.5" style="231" customWidth="1"/>
    <col min="536" max="536" width="11.125" style="231" customWidth="1"/>
    <col min="537" max="537" width="4.5" style="231" customWidth="1"/>
    <col min="538" max="538" width="8.5" style="231" customWidth="1"/>
    <col min="539" max="539" width="11.125" style="231" customWidth="1"/>
    <col min="540" max="540" width="4.5" style="231" customWidth="1"/>
    <col min="541" max="541" width="8.5" style="231" customWidth="1"/>
    <col min="542" max="542" width="11.125" style="231" customWidth="1"/>
    <col min="543" max="543" width="4.5" style="231" customWidth="1"/>
    <col min="544" max="544" width="8.5" style="231" customWidth="1"/>
    <col min="545" max="545" width="11.125" style="231" customWidth="1"/>
    <col min="546" max="546" width="33" style="231" customWidth="1"/>
    <col min="547" max="749" width="9" style="231"/>
    <col min="750" max="750" width="1.5" style="231" customWidth="1"/>
    <col min="751" max="751" width="3.125" style="231" customWidth="1"/>
    <col min="752" max="752" width="9.625" style="231" customWidth="1"/>
    <col min="753" max="753" width="18.125" style="231" customWidth="1"/>
    <col min="754" max="755" width="10.25" style="231" customWidth="1"/>
    <col min="756" max="756" width="8.5" style="231" customWidth="1"/>
    <col min="757" max="757" width="8.875" style="231" bestFit="1" customWidth="1"/>
    <col min="758" max="759" width="6.75" style="231" customWidth="1"/>
    <col min="760" max="760" width="3.5" style="231" customWidth="1"/>
    <col min="761" max="761" width="8.5" style="231" customWidth="1"/>
    <col min="762" max="762" width="13.25" style="231" customWidth="1"/>
    <col min="763" max="763" width="4.5" style="231" customWidth="1"/>
    <col min="764" max="764" width="8.5" style="231" customWidth="1"/>
    <col min="765" max="765" width="12" style="231" customWidth="1"/>
    <col min="766" max="766" width="4.5" style="231" customWidth="1"/>
    <col min="767" max="767" width="8.5" style="231" customWidth="1"/>
    <col min="768" max="768" width="11" style="231" customWidth="1"/>
    <col min="769" max="769" width="4.5" style="231" customWidth="1"/>
    <col min="770" max="770" width="8.5" style="231" customWidth="1"/>
    <col min="771" max="771" width="11.125" style="231" customWidth="1"/>
    <col min="772" max="772" width="4.5" style="231" customWidth="1"/>
    <col min="773" max="773" width="8.5" style="231" customWidth="1"/>
    <col min="774" max="774" width="11.125" style="231" customWidth="1"/>
    <col min="775" max="775" width="4.5" style="231" customWidth="1"/>
    <col min="776" max="776" width="8.5" style="231" customWidth="1"/>
    <col min="777" max="777" width="11.125" style="231" customWidth="1"/>
    <col min="778" max="778" width="4.5" style="231" customWidth="1"/>
    <col min="779" max="779" width="8.5" style="231" customWidth="1"/>
    <col min="780" max="780" width="11.125" style="231" customWidth="1"/>
    <col min="781" max="781" width="4.5" style="231" customWidth="1"/>
    <col min="782" max="782" width="8.5" style="231" customWidth="1"/>
    <col min="783" max="783" width="11.125" style="231" customWidth="1"/>
    <col min="784" max="784" width="4.5" style="231" customWidth="1"/>
    <col min="785" max="785" width="8.5" style="231" customWidth="1"/>
    <col min="786" max="786" width="11.125" style="231" customWidth="1"/>
    <col min="787" max="787" width="4.5" style="231" customWidth="1"/>
    <col min="788" max="788" width="8.5" style="231" customWidth="1"/>
    <col min="789" max="789" width="11.125" style="231" customWidth="1"/>
    <col min="790" max="790" width="4.5" style="231" customWidth="1"/>
    <col min="791" max="791" width="8.5" style="231" customWidth="1"/>
    <col min="792" max="792" width="11.125" style="231" customWidth="1"/>
    <col min="793" max="793" width="4.5" style="231" customWidth="1"/>
    <col min="794" max="794" width="8.5" style="231" customWidth="1"/>
    <col min="795" max="795" width="11.125" style="231" customWidth="1"/>
    <col min="796" max="796" width="4.5" style="231" customWidth="1"/>
    <col min="797" max="797" width="8.5" style="231" customWidth="1"/>
    <col min="798" max="798" width="11.125" style="231" customWidth="1"/>
    <col min="799" max="799" width="4.5" style="231" customWidth="1"/>
    <col min="800" max="800" width="8.5" style="231" customWidth="1"/>
    <col min="801" max="801" width="11.125" style="231" customWidth="1"/>
    <col min="802" max="802" width="33" style="231" customWidth="1"/>
    <col min="803" max="1005" width="9" style="231"/>
    <col min="1006" max="1006" width="1.5" style="231" customWidth="1"/>
    <col min="1007" max="1007" width="3.125" style="231" customWidth="1"/>
    <col min="1008" max="1008" width="9.625" style="231" customWidth="1"/>
    <col min="1009" max="1009" width="18.125" style="231" customWidth="1"/>
    <col min="1010" max="1011" width="10.25" style="231" customWidth="1"/>
    <col min="1012" max="1012" width="8.5" style="231" customWidth="1"/>
    <col min="1013" max="1013" width="8.875" style="231" bestFit="1" customWidth="1"/>
    <col min="1014" max="1015" width="6.75" style="231" customWidth="1"/>
    <col min="1016" max="1016" width="3.5" style="231" customWidth="1"/>
    <col min="1017" max="1017" width="8.5" style="231" customWidth="1"/>
    <col min="1018" max="1018" width="13.25" style="231" customWidth="1"/>
    <col min="1019" max="1019" width="4.5" style="231" customWidth="1"/>
    <col min="1020" max="1020" width="8.5" style="231" customWidth="1"/>
    <col min="1021" max="1021" width="12" style="231" customWidth="1"/>
    <col min="1022" max="1022" width="4.5" style="231" customWidth="1"/>
    <col min="1023" max="1023" width="8.5" style="231" customWidth="1"/>
    <col min="1024" max="1024" width="11" style="231" customWidth="1"/>
    <col min="1025" max="1025" width="4.5" style="231" customWidth="1"/>
    <col min="1026" max="1026" width="8.5" style="231" customWidth="1"/>
    <col min="1027" max="1027" width="11.125" style="231" customWidth="1"/>
    <col min="1028" max="1028" width="4.5" style="231" customWidth="1"/>
    <col min="1029" max="1029" width="8.5" style="231" customWidth="1"/>
    <col min="1030" max="1030" width="11.125" style="231" customWidth="1"/>
    <col min="1031" max="1031" width="4.5" style="231" customWidth="1"/>
    <col min="1032" max="1032" width="8.5" style="231" customWidth="1"/>
    <col min="1033" max="1033" width="11.125" style="231" customWidth="1"/>
    <col min="1034" max="1034" width="4.5" style="231" customWidth="1"/>
    <col min="1035" max="1035" width="8.5" style="231" customWidth="1"/>
    <col min="1036" max="1036" width="11.125" style="231" customWidth="1"/>
    <col min="1037" max="1037" width="4.5" style="231" customWidth="1"/>
    <col min="1038" max="1038" width="8.5" style="231" customWidth="1"/>
    <col min="1039" max="1039" width="11.125" style="231" customWidth="1"/>
    <col min="1040" max="1040" width="4.5" style="231" customWidth="1"/>
    <col min="1041" max="1041" width="8.5" style="231" customWidth="1"/>
    <col min="1042" max="1042" width="11.125" style="231" customWidth="1"/>
    <col min="1043" max="1043" width="4.5" style="231" customWidth="1"/>
    <col min="1044" max="1044" width="8.5" style="231" customWidth="1"/>
    <col min="1045" max="1045" width="11.125" style="231" customWidth="1"/>
    <col min="1046" max="1046" width="4.5" style="231" customWidth="1"/>
    <col min="1047" max="1047" width="8.5" style="231" customWidth="1"/>
    <col min="1048" max="1048" width="11.125" style="231" customWidth="1"/>
    <col min="1049" max="1049" width="4.5" style="231" customWidth="1"/>
    <col min="1050" max="1050" width="8.5" style="231" customWidth="1"/>
    <col min="1051" max="1051" width="11.125" style="231" customWidth="1"/>
    <col min="1052" max="1052" width="4.5" style="231" customWidth="1"/>
    <col min="1053" max="1053" width="8.5" style="231" customWidth="1"/>
    <col min="1054" max="1054" width="11.125" style="231" customWidth="1"/>
    <col min="1055" max="1055" width="4.5" style="231" customWidth="1"/>
    <col min="1056" max="1056" width="8.5" style="231" customWidth="1"/>
    <col min="1057" max="1057" width="11.125" style="231" customWidth="1"/>
    <col min="1058" max="1058" width="33" style="231" customWidth="1"/>
    <col min="1059" max="1261" width="9" style="231"/>
    <col min="1262" max="1262" width="1.5" style="231" customWidth="1"/>
    <col min="1263" max="1263" width="3.125" style="231" customWidth="1"/>
    <col min="1264" max="1264" width="9.625" style="231" customWidth="1"/>
    <col min="1265" max="1265" width="18.125" style="231" customWidth="1"/>
    <col min="1266" max="1267" width="10.25" style="231" customWidth="1"/>
    <col min="1268" max="1268" width="8.5" style="231" customWidth="1"/>
    <col min="1269" max="1269" width="8.875" style="231" bestFit="1" customWidth="1"/>
    <col min="1270" max="1271" width="6.75" style="231" customWidth="1"/>
    <col min="1272" max="1272" width="3.5" style="231" customWidth="1"/>
    <col min="1273" max="1273" width="8.5" style="231" customWidth="1"/>
    <col min="1274" max="1274" width="13.25" style="231" customWidth="1"/>
    <col min="1275" max="1275" width="4.5" style="231" customWidth="1"/>
    <col min="1276" max="1276" width="8.5" style="231" customWidth="1"/>
    <col min="1277" max="1277" width="12" style="231" customWidth="1"/>
    <col min="1278" max="1278" width="4.5" style="231" customWidth="1"/>
    <col min="1279" max="1279" width="8.5" style="231" customWidth="1"/>
    <col min="1280" max="1280" width="11" style="231" customWidth="1"/>
    <col min="1281" max="1281" width="4.5" style="231" customWidth="1"/>
    <col min="1282" max="1282" width="8.5" style="231" customWidth="1"/>
    <col min="1283" max="1283" width="11.125" style="231" customWidth="1"/>
    <col min="1284" max="1284" width="4.5" style="231" customWidth="1"/>
    <col min="1285" max="1285" width="8.5" style="231" customWidth="1"/>
    <col min="1286" max="1286" width="11.125" style="231" customWidth="1"/>
    <col min="1287" max="1287" width="4.5" style="231" customWidth="1"/>
    <col min="1288" max="1288" width="8.5" style="231" customWidth="1"/>
    <col min="1289" max="1289" width="11.125" style="231" customWidth="1"/>
    <col min="1290" max="1290" width="4.5" style="231" customWidth="1"/>
    <col min="1291" max="1291" width="8.5" style="231" customWidth="1"/>
    <col min="1292" max="1292" width="11.125" style="231" customWidth="1"/>
    <col min="1293" max="1293" width="4.5" style="231" customWidth="1"/>
    <col min="1294" max="1294" width="8.5" style="231" customWidth="1"/>
    <col min="1295" max="1295" width="11.125" style="231" customWidth="1"/>
    <col min="1296" max="1296" width="4.5" style="231" customWidth="1"/>
    <col min="1297" max="1297" width="8.5" style="231" customWidth="1"/>
    <col min="1298" max="1298" width="11.125" style="231" customWidth="1"/>
    <col min="1299" max="1299" width="4.5" style="231" customWidth="1"/>
    <col min="1300" max="1300" width="8.5" style="231" customWidth="1"/>
    <col min="1301" max="1301" width="11.125" style="231" customWidth="1"/>
    <col min="1302" max="1302" width="4.5" style="231" customWidth="1"/>
    <col min="1303" max="1303" width="8.5" style="231" customWidth="1"/>
    <col min="1304" max="1304" width="11.125" style="231" customWidth="1"/>
    <col min="1305" max="1305" width="4.5" style="231" customWidth="1"/>
    <col min="1306" max="1306" width="8.5" style="231" customWidth="1"/>
    <col min="1307" max="1307" width="11.125" style="231" customWidth="1"/>
    <col min="1308" max="1308" width="4.5" style="231" customWidth="1"/>
    <col min="1309" max="1309" width="8.5" style="231" customWidth="1"/>
    <col min="1310" max="1310" width="11.125" style="231" customWidth="1"/>
    <col min="1311" max="1311" width="4.5" style="231" customWidth="1"/>
    <col min="1312" max="1312" width="8.5" style="231" customWidth="1"/>
    <col min="1313" max="1313" width="11.125" style="231" customWidth="1"/>
    <col min="1314" max="1314" width="33" style="231" customWidth="1"/>
    <col min="1315" max="1517" width="9" style="231"/>
    <col min="1518" max="1518" width="1.5" style="231" customWidth="1"/>
    <col min="1519" max="1519" width="3.125" style="231" customWidth="1"/>
    <col min="1520" max="1520" width="9.625" style="231" customWidth="1"/>
    <col min="1521" max="1521" width="18.125" style="231" customWidth="1"/>
    <col min="1522" max="1523" width="10.25" style="231" customWidth="1"/>
    <col min="1524" max="1524" width="8.5" style="231" customWidth="1"/>
    <col min="1525" max="1525" width="8.875" style="231" bestFit="1" customWidth="1"/>
    <col min="1526" max="1527" width="6.75" style="231" customWidth="1"/>
    <col min="1528" max="1528" width="3.5" style="231" customWidth="1"/>
    <col min="1529" max="1529" width="8.5" style="231" customWidth="1"/>
    <col min="1530" max="1530" width="13.25" style="231" customWidth="1"/>
    <col min="1531" max="1531" width="4.5" style="231" customWidth="1"/>
    <col min="1532" max="1532" width="8.5" style="231" customWidth="1"/>
    <col min="1533" max="1533" width="12" style="231" customWidth="1"/>
    <col min="1534" max="1534" width="4.5" style="231" customWidth="1"/>
    <col min="1535" max="1535" width="8.5" style="231" customWidth="1"/>
    <col min="1536" max="1536" width="11" style="231" customWidth="1"/>
    <col min="1537" max="1537" width="4.5" style="231" customWidth="1"/>
    <col min="1538" max="1538" width="8.5" style="231" customWidth="1"/>
    <col min="1539" max="1539" width="11.125" style="231" customWidth="1"/>
    <col min="1540" max="1540" width="4.5" style="231" customWidth="1"/>
    <col min="1541" max="1541" width="8.5" style="231" customWidth="1"/>
    <col min="1542" max="1542" width="11.125" style="231" customWidth="1"/>
    <col min="1543" max="1543" width="4.5" style="231" customWidth="1"/>
    <col min="1544" max="1544" width="8.5" style="231" customWidth="1"/>
    <col min="1545" max="1545" width="11.125" style="231" customWidth="1"/>
    <col min="1546" max="1546" width="4.5" style="231" customWidth="1"/>
    <col min="1547" max="1547" width="8.5" style="231" customWidth="1"/>
    <col min="1548" max="1548" width="11.125" style="231" customWidth="1"/>
    <col min="1549" max="1549" width="4.5" style="231" customWidth="1"/>
    <col min="1550" max="1550" width="8.5" style="231" customWidth="1"/>
    <col min="1551" max="1551" width="11.125" style="231" customWidth="1"/>
    <col min="1552" max="1552" width="4.5" style="231" customWidth="1"/>
    <col min="1553" max="1553" width="8.5" style="231" customWidth="1"/>
    <col min="1554" max="1554" width="11.125" style="231" customWidth="1"/>
    <col min="1555" max="1555" width="4.5" style="231" customWidth="1"/>
    <col min="1556" max="1556" width="8.5" style="231" customWidth="1"/>
    <col min="1557" max="1557" width="11.125" style="231" customWidth="1"/>
    <col min="1558" max="1558" width="4.5" style="231" customWidth="1"/>
    <col min="1559" max="1559" width="8.5" style="231" customWidth="1"/>
    <col min="1560" max="1560" width="11.125" style="231" customWidth="1"/>
    <col min="1561" max="1561" width="4.5" style="231" customWidth="1"/>
    <col min="1562" max="1562" width="8.5" style="231" customWidth="1"/>
    <col min="1563" max="1563" width="11.125" style="231" customWidth="1"/>
    <col min="1564" max="1564" width="4.5" style="231" customWidth="1"/>
    <col min="1565" max="1565" width="8.5" style="231" customWidth="1"/>
    <col min="1566" max="1566" width="11.125" style="231" customWidth="1"/>
    <col min="1567" max="1567" width="4.5" style="231" customWidth="1"/>
    <col min="1568" max="1568" width="8.5" style="231" customWidth="1"/>
    <col min="1569" max="1569" width="11.125" style="231" customWidth="1"/>
    <col min="1570" max="1570" width="33" style="231" customWidth="1"/>
    <col min="1571" max="1773" width="9" style="231"/>
    <col min="1774" max="1774" width="1.5" style="231" customWidth="1"/>
    <col min="1775" max="1775" width="3.125" style="231" customWidth="1"/>
    <col min="1776" max="1776" width="9.625" style="231" customWidth="1"/>
    <col min="1777" max="1777" width="18.125" style="231" customWidth="1"/>
    <col min="1778" max="1779" width="10.25" style="231" customWidth="1"/>
    <col min="1780" max="1780" width="8.5" style="231" customWidth="1"/>
    <col min="1781" max="1781" width="8.875" style="231" bestFit="1" customWidth="1"/>
    <col min="1782" max="1783" width="6.75" style="231" customWidth="1"/>
    <col min="1784" max="1784" width="3.5" style="231" customWidth="1"/>
    <col min="1785" max="1785" width="8.5" style="231" customWidth="1"/>
    <col min="1786" max="1786" width="13.25" style="231" customWidth="1"/>
    <col min="1787" max="1787" width="4.5" style="231" customWidth="1"/>
    <col min="1788" max="1788" width="8.5" style="231" customWidth="1"/>
    <col min="1789" max="1789" width="12" style="231" customWidth="1"/>
    <col min="1790" max="1790" width="4.5" style="231" customWidth="1"/>
    <col min="1791" max="1791" width="8.5" style="231" customWidth="1"/>
    <col min="1792" max="1792" width="11" style="231" customWidth="1"/>
    <col min="1793" max="1793" width="4.5" style="231" customWidth="1"/>
    <col min="1794" max="1794" width="8.5" style="231" customWidth="1"/>
    <col min="1795" max="1795" width="11.125" style="231" customWidth="1"/>
    <col min="1796" max="1796" width="4.5" style="231" customWidth="1"/>
    <col min="1797" max="1797" width="8.5" style="231" customWidth="1"/>
    <col min="1798" max="1798" width="11.125" style="231" customWidth="1"/>
    <col min="1799" max="1799" width="4.5" style="231" customWidth="1"/>
    <col min="1800" max="1800" width="8.5" style="231" customWidth="1"/>
    <col min="1801" max="1801" width="11.125" style="231" customWidth="1"/>
    <col min="1802" max="1802" width="4.5" style="231" customWidth="1"/>
    <col min="1803" max="1803" width="8.5" style="231" customWidth="1"/>
    <col min="1804" max="1804" width="11.125" style="231" customWidth="1"/>
    <col min="1805" max="1805" width="4.5" style="231" customWidth="1"/>
    <col min="1806" max="1806" width="8.5" style="231" customWidth="1"/>
    <col min="1807" max="1807" width="11.125" style="231" customWidth="1"/>
    <col min="1808" max="1808" width="4.5" style="231" customWidth="1"/>
    <col min="1809" max="1809" width="8.5" style="231" customWidth="1"/>
    <col min="1810" max="1810" width="11.125" style="231" customWidth="1"/>
    <col min="1811" max="1811" width="4.5" style="231" customWidth="1"/>
    <col min="1812" max="1812" width="8.5" style="231" customWidth="1"/>
    <col min="1813" max="1813" width="11.125" style="231" customWidth="1"/>
    <col min="1814" max="1814" width="4.5" style="231" customWidth="1"/>
    <col min="1815" max="1815" width="8.5" style="231" customWidth="1"/>
    <col min="1816" max="1816" width="11.125" style="231" customWidth="1"/>
    <col min="1817" max="1817" width="4.5" style="231" customWidth="1"/>
    <col min="1818" max="1818" width="8.5" style="231" customWidth="1"/>
    <col min="1819" max="1819" width="11.125" style="231" customWidth="1"/>
    <col min="1820" max="1820" width="4.5" style="231" customWidth="1"/>
    <col min="1821" max="1821" width="8.5" style="231" customWidth="1"/>
    <col min="1822" max="1822" width="11.125" style="231" customWidth="1"/>
    <col min="1823" max="1823" width="4.5" style="231" customWidth="1"/>
    <col min="1824" max="1824" width="8.5" style="231" customWidth="1"/>
    <col min="1825" max="1825" width="11.125" style="231" customWidth="1"/>
    <col min="1826" max="1826" width="33" style="231" customWidth="1"/>
    <col min="1827" max="2029" width="9" style="231"/>
    <col min="2030" max="2030" width="1.5" style="231" customWidth="1"/>
    <col min="2031" max="2031" width="3.125" style="231" customWidth="1"/>
    <col min="2032" max="2032" width="9.625" style="231" customWidth="1"/>
    <col min="2033" max="2033" width="18.125" style="231" customWidth="1"/>
    <col min="2034" max="2035" width="10.25" style="231" customWidth="1"/>
    <col min="2036" max="2036" width="8.5" style="231" customWidth="1"/>
    <col min="2037" max="2037" width="8.875" style="231" bestFit="1" customWidth="1"/>
    <col min="2038" max="2039" width="6.75" style="231" customWidth="1"/>
    <col min="2040" max="2040" width="3.5" style="231" customWidth="1"/>
    <col min="2041" max="2041" width="8.5" style="231" customWidth="1"/>
    <col min="2042" max="2042" width="13.25" style="231" customWidth="1"/>
    <col min="2043" max="2043" width="4.5" style="231" customWidth="1"/>
    <col min="2044" max="2044" width="8.5" style="231" customWidth="1"/>
    <col min="2045" max="2045" width="12" style="231" customWidth="1"/>
    <col min="2046" max="2046" width="4.5" style="231" customWidth="1"/>
    <col min="2047" max="2047" width="8.5" style="231" customWidth="1"/>
    <col min="2048" max="2048" width="11" style="231" customWidth="1"/>
    <col min="2049" max="2049" width="4.5" style="231" customWidth="1"/>
    <col min="2050" max="2050" width="8.5" style="231" customWidth="1"/>
    <col min="2051" max="2051" width="11.125" style="231" customWidth="1"/>
    <col min="2052" max="2052" width="4.5" style="231" customWidth="1"/>
    <col min="2053" max="2053" width="8.5" style="231" customWidth="1"/>
    <col min="2054" max="2054" width="11.125" style="231" customWidth="1"/>
    <col min="2055" max="2055" width="4.5" style="231" customWidth="1"/>
    <col min="2056" max="2056" width="8.5" style="231" customWidth="1"/>
    <col min="2057" max="2057" width="11.125" style="231" customWidth="1"/>
    <col min="2058" max="2058" width="4.5" style="231" customWidth="1"/>
    <col min="2059" max="2059" width="8.5" style="231" customWidth="1"/>
    <col min="2060" max="2060" width="11.125" style="231" customWidth="1"/>
    <col min="2061" max="2061" width="4.5" style="231" customWidth="1"/>
    <col min="2062" max="2062" width="8.5" style="231" customWidth="1"/>
    <col min="2063" max="2063" width="11.125" style="231" customWidth="1"/>
    <col min="2064" max="2064" width="4.5" style="231" customWidth="1"/>
    <col min="2065" max="2065" width="8.5" style="231" customWidth="1"/>
    <col min="2066" max="2066" width="11.125" style="231" customWidth="1"/>
    <col min="2067" max="2067" width="4.5" style="231" customWidth="1"/>
    <col min="2068" max="2068" width="8.5" style="231" customWidth="1"/>
    <col min="2069" max="2069" width="11.125" style="231" customWidth="1"/>
    <col min="2070" max="2070" width="4.5" style="231" customWidth="1"/>
    <col min="2071" max="2071" width="8.5" style="231" customWidth="1"/>
    <col min="2072" max="2072" width="11.125" style="231" customWidth="1"/>
    <col min="2073" max="2073" width="4.5" style="231" customWidth="1"/>
    <col min="2074" max="2074" width="8.5" style="231" customWidth="1"/>
    <col min="2075" max="2075" width="11.125" style="231" customWidth="1"/>
    <col min="2076" max="2076" width="4.5" style="231" customWidth="1"/>
    <col min="2077" max="2077" width="8.5" style="231" customWidth="1"/>
    <col min="2078" max="2078" width="11.125" style="231" customWidth="1"/>
    <col min="2079" max="2079" width="4.5" style="231" customWidth="1"/>
    <col min="2080" max="2080" width="8.5" style="231" customWidth="1"/>
    <col min="2081" max="2081" width="11.125" style="231" customWidth="1"/>
    <col min="2082" max="2082" width="33" style="231" customWidth="1"/>
    <col min="2083" max="2285" width="9" style="231"/>
    <col min="2286" max="2286" width="1.5" style="231" customWidth="1"/>
    <col min="2287" max="2287" width="3.125" style="231" customWidth="1"/>
    <col min="2288" max="2288" width="9.625" style="231" customWidth="1"/>
    <col min="2289" max="2289" width="18.125" style="231" customWidth="1"/>
    <col min="2290" max="2291" width="10.25" style="231" customWidth="1"/>
    <col min="2292" max="2292" width="8.5" style="231" customWidth="1"/>
    <col min="2293" max="2293" width="8.875" style="231" bestFit="1" customWidth="1"/>
    <col min="2294" max="2295" width="6.75" style="231" customWidth="1"/>
    <col min="2296" max="2296" width="3.5" style="231" customWidth="1"/>
    <col min="2297" max="2297" width="8.5" style="231" customWidth="1"/>
    <col min="2298" max="2298" width="13.25" style="231" customWidth="1"/>
    <col min="2299" max="2299" width="4.5" style="231" customWidth="1"/>
    <col min="2300" max="2300" width="8.5" style="231" customWidth="1"/>
    <col min="2301" max="2301" width="12" style="231" customWidth="1"/>
    <col min="2302" max="2302" width="4.5" style="231" customWidth="1"/>
    <col min="2303" max="2303" width="8.5" style="231" customWidth="1"/>
    <col min="2304" max="2304" width="11" style="231" customWidth="1"/>
    <col min="2305" max="2305" width="4.5" style="231" customWidth="1"/>
    <col min="2306" max="2306" width="8.5" style="231" customWidth="1"/>
    <col min="2307" max="2307" width="11.125" style="231" customWidth="1"/>
    <col min="2308" max="2308" width="4.5" style="231" customWidth="1"/>
    <col min="2309" max="2309" width="8.5" style="231" customWidth="1"/>
    <col min="2310" max="2310" width="11.125" style="231" customWidth="1"/>
    <col min="2311" max="2311" width="4.5" style="231" customWidth="1"/>
    <col min="2312" max="2312" width="8.5" style="231" customWidth="1"/>
    <col min="2313" max="2313" width="11.125" style="231" customWidth="1"/>
    <col min="2314" max="2314" width="4.5" style="231" customWidth="1"/>
    <col min="2315" max="2315" width="8.5" style="231" customWidth="1"/>
    <col min="2316" max="2316" width="11.125" style="231" customWidth="1"/>
    <col min="2317" max="2317" width="4.5" style="231" customWidth="1"/>
    <col min="2318" max="2318" width="8.5" style="231" customWidth="1"/>
    <col min="2319" max="2319" width="11.125" style="231" customWidth="1"/>
    <col min="2320" max="2320" width="4.5" style="231" customWidth="1"/>
    <col min="2321" max="2321" width="8.5" style="231" customWidth="1"/>
    <col min="2322" max="2322" width="11.125" style="231" customWidth="1"/>
    <col min="2323" max="2323" width="4.5" style="231" customWidth="1"/>
    <col min="2324" max="2324" width="8.5" style="231" customWidth="1"/>
    <col min="2325" max="2325" width="11.125" style="231" customWidth="1"/>
    <col min="2326" max="2326" width="4.5" style="231" customWidth="1"/>
    <col min="2327" max="2327" width="8.5" style="231" customWidth="1"/>
    <col min="2328" max="2328" width="11.125" style="231" customWidth="1"/>
    <col min="2329" max="2329" width="4.5" style="231" customWidth="1"/>
    <col min="2330" max="2330" width="8.5" style="231" customWidth="1"/>
    <col min="2331" max="2331" width="11.125" style="231" customWidth="1"/>
    <col min="2332" max="2332" width="4.5" style="231" customWidth="1"/>
    <col min="2333" max="2333" width="8.5" style="231" customWidth="1"/>
    <col min="2334" max="2334" width="11.125" style="231" customWidth="1"/>
    <col min="2335" max="2335" width="4.5" style="231" customWidth="1"/>
    <col min="2336" max="2336" width="8.5" style="231" customWidth="1"/>
    <col min="2337" max="2337" width="11.125" style="231" customWidth="1"/>
    <col min="2338" max="2338" width="33" style="231" customWidth="1"/>
    <col min="2339" max="2541" width="9" style="231"/>
    <col min="2542" max="2542" width="1.5" style="231" customWidth="1"/>
    <col min="2543" max="2543" width="3.125" style="231" customWidth="1"/>
    <col min="2544" max="2544" width="9.625" style="231" customWidth="1"/>
    <col min="2545" max="2545" width="18.125" style="231" customWidth="1"/>
    <col min="2546" max="2547" width="10.25" style="231" customWidth="1"/>
    <col min="2548" max="2548" width="8.5" style="231" customWidth="1"/>
    <col min="2549" max="2549" width="8.875" style="231" bestFit="1" customWidth="1"/>
    <col min="2550" max="2551" width="6.75" style="231" customWidth="1"/>
    <col min="2552" max="2552" width="3.5" style="231" customWidth="1"/>
    <col min="2553" max="2553" width="8.5" style="231" customWidth="1"/>
    <col min="2554" max="2554" width="13.25" style="231" customWidth="1"/>
    <col min="2555" max="2555" width="4.5" style="231" customWidth="1"/>
    <col min="2556" max="2556" width="8.5" style="231" customWidth="1"/>
    <col min="2557" max="2557" width="12" style="231" customWidth="1"/>
    <col min="2558" max="2558" width="4.5" style="231" customWidth="1"/>
    <col min="2559" max="2559" width="8.5" style="231" customWidth="1"/>
    <col min="2560" max="2560" width="11" style="231" customWidth="1"/>
    <col min="2561" max="2561" width="4.5" style="231" customWidth="1"/>
    <col min="2562" max="2562" width="8.5" style="231" customWidth="1"/>
    <col min="2563" max="2563" width="11.125" style="231" customWidth="1"/>
    <col min="2564" max="2564" width="4.5" style="231" customWidth="1"/>
    <col min="2565" max="2565" width="8.5" style="231" customWidth="1"/>
    <col min="2566" max="2566" width="11.125" style="231" customWidth="1"/>
    <col min="2567" max="2567" width="4.5" style="231" customWidth="1"/>
    <col min="2568" max="2568" width="8.5" style="231" customWidth="1"/>
    <col min="2569" max="2569" width="11.125" style="231" customWidth="1"/>
    <col min="2570" max="2570" width="4.5" style="231" customWidth="1"/>
    <col min="2571" max="2571" width="8.5" style="231" customWidth="1"/>
    <col min="2572" max="2572" width="11.125" style="231" customWidth="1"/>
    <col min="2573" max="2573" width="4.5" style="231" customWidth="1"/>
    <col min="2574" max="2574" width="8.5" style="231" customWidth="1"/>
    <col min="2575" max="2575" width="11.125" style="231" customWidth="1"/>
    <col min="2576" max="2576" width="4.5" style="231" customWidth="1"/>
    <col min="2577" max="2577" width="8.5" style="231" customWidth="1"/>
    <col min="2578" max="2578" width="11.125" style="231" customWidth="1"/>
    <col min="2579" max="2579" width="4.5" style="231" customWidth="1"/>
    <col min="2580" max="2580" width="8.5" style="231" customWidth="1"/>
    <col min="2581" max="2581" width="11.125" style="231" customWidth="1"/>
    <col min="2582" max="2582" width="4.5" style="231" customWidth="1"/>
    <col min="2583" max="2583" width="8.5" style="231" customWidth="1"/>
    <col min="2584" max="2584" width="11.125" style="231" customWidth="1"/>
    <col min="2585" max="2585" width="4.5" style="231" customWidth="1"/>
    <col min="2586" max="2586" width="8.5" style="231" customWidth="1"/>
    <col min="2587" max="2587" width="11.125" style="231" customWidth="1"/>
    <col min="2588" max="2588" width="4.5" style="231" customWidth="1"/>
    <col min="2589" max="2589" width="8.5" style="231" customWidth="1"/>
    <col min="2590" max="2590" width="11.125" style="231" customWidth="1"/>
    <col min="2591" max="2591" width="4.5" style="231" customWidth="1"/>
    <col min="2592" max="2592" width="8.5" style="231" customWidth="1"/>
    <col min="2593" max="2593" width="11.125" style="231" customWidth="1"/>
    <col min="2594" max="2594" width="33" style="231" customWidth="1"/>
    <col min="2595" max="2797" width="9" style="231"/>
    <col min="2798" max="2798" width="1.5" style="231" customWidth="1"/>
    <col min="2799" max="2799" width="3.125" style="231" customWidth="1"/>
    <col min="2800" max="2800" width="9.625" style="231" customWidth="1"/>
    <col min="2801" max="2801" width="18.125" style="231" customWidth="1"/>
    <col min="2802" max="2803" width="10.25" style="231" customWidth="1"/>
    <col min="2804" max="2804" width="8.5" style="231" customWidth="1"/>
    <col min="2805" max="2805" width="8.875" style="231" bestFit="1" customWidth="1"/>
    <col min="2806" max="2807" width="6.75" style="231" customWidth="1"/>
    <col min="2808" max="2808" width="3.5" style="231" customWidth="1"/>
    <col min="2809" max="2809" width="8.5" style="231" customWidth="1"/>
    <col min="2810" max="2810" width="13.25" style="231" customWidth="1"/>
    <col min="2811" max="2811" width="4.5" style="231" customWidth="1"/>
    <col min="2812" max="2812" width="8.5" style="231" customWidth="1"/>
    <col min="2813" max="2813" width="12" style="231" customWidth="1"/>
    <col min="2814" max="2814" width="4.5" style="231" customWidth="1"/>
    <col min="2815" max="2815" width="8.5" style="231" customWidth="1"/>
    <col min="2816" max="2816" width="11" style="231" customWidth="1"/>
    <col min="2817" max="2817" width="4.5" style="231" customWidth="1"/>
    <col min="2818" max="2818" width="8.5" style="231" customWidth="1"/>
    <col min="2819" max="2819" width="11.125" style="231" customWidth="1"/>
    <col min="2820" max="2820" width="4.5" style="231" customWidth="1"/>
    <col min="2821" max="2821" width="8.5" style="231" customWidth="1"/>
    <col min="2822" max="2822" width="11.125" style="231" customWidth="1"/>
    <col min="2823" max="2823" width="4.5" style="231" customWidth="1"/>
    <col min="2824" max="2824" width="8.5" style="231" customWidth="1"/>
    <col min="2825" max="2825" width="11.125" style="231" customWidth="1"/>
    <col min="2826" max="2826" width="4.5" style="231" customWidth="1"/>
    <col min="2827" max="2827" width="8.5" style="231" customWidth="1"/>
    <col min="2828" max="2828" width="11.125" style="231" customWidth="1"/>
    <col min="2829" max="2829" width="4.5" style="231" customWidth="1"/>
    <col min="2830" max="2830" width="8.5" style="231" customWidth="1"/>
    <col min="2831" max="2831" width="11.125" style="231" customWidth="1"/>
    <col min="2832" max="2832" width="4.5" style="231" customWidth="1"/>
    <col min="2833" max="2833" width="8.5" style="231" customWidth="1"/>
    <col min="2834" max="2834" width="11.125" style="231" customWidth="1"/>
    <col min="2835" max="2835" width="4.5" style="231" customWidth="1"/>
    <col min="2836" max="2836" width="8.5" style="231" customWidth="1"/>
    <col min="2837" max="2837" width="11.125" style="231" customWidth="1"/>
    <col min="2838" max="2838" width="4.5" style="231" customWidth="1"/>
    <col min="2839" max="2839" width="8.5" style="231" customWidth="1"/>
    <col min="2840" max="2840" width="11.125" style="231" customWidth="1"/>
    <col min="2841" max="2841" width="4.5" style="231" customWidth="1"/>
    <col min="2842" max="2842" width="8.5" style="231" customWidth="1"/>
    <col min="2843" max="2843" width="11.125" style="231" customWidth="1"/>
    <col min="2844" max="2844" width="4.5" style="231" customWidth="1"/>
    <col min="2845" max="2845" width="8.5" style="231" customWidth="1"/>
    <col min="2846" max="2846" width="11.125" style="231" customWidth="1"/>
    <col min="2847" max="2847" width="4.5" style="231" customWidth="1"/>
    <col min="2848" max="2848" width="8.5" style="231" customWidth="1"/>
    <col min="2849" max="2849" width="11.125" style="231" customWidth="1"/>
    <col min="2850" max="2850" width="33" style="231" customWidth="1"/>
    <col min="2851" max="3053" width="9" style="231"/>
    <col min="3054" max="3054" width="1.5" style="231" customWidth="1"/>
    <col min="3055" max="3055" width="3.125" style="231" customWidth="1"/>
    <col min="3056" max="3056" width="9.625" style="231" customWidth="1"/>
    <col min="3057" max="3057" width="18.125" style="231" customWidth="1"/>
    <col min="3058" max="3059" width="10.25" style="231" customWidth="1"/>
    <col min="3060" max="3060" width="8.5" style="231" customWidth="1"/>
    <col min="3061" max="3061" width="8.875" style="231" bestFit="1" customWidth="1"/>
    <col min="3062" max="3063" width="6.75" style="231" customWidth="1"/>
    <col min="3064" max="3064" width="3.5" style="231" customWidth="1"/>
    <col min="3065" max="3065" width="8.5" style="231" customWidth="1"/>
    <col min="3066" max="3066" width="13.25" style="231" customWidth="1"/>
    <col min="3067" max="3067" width="4.5" style="231" customWidth="1"/>
    <col min="3068" max="3068" width="8.5" style="231" customWidth="1"/>
    <col min="3069" max="3069" width="12" style="231" customWidth="1"/>
    <col min="3070" max="3070" width="4.5" style="231" customWidth="1"/>
    <col min="3071" max="3071" width="8.5" style="231" customWidth="1"/>
    <col min="3072" max="3072" width="11" style="231" customWidth="1"/>
    <col min="3073" max="3073" width="4.5" style="231" customWidth="1"/>
    <col min="3074" max="3074" width="8.5" style="231" customWidth="1"/>
    <col min="3075" max="3075" width="11.125" style="231" customWidth="1"/>
    <col min="3076" max="3076" width="4.5" style="231" customWidth="1"/>
    <col min="3077" max="3077" width="8.5" style="231" customWidth="1"/>
    <col min="3078" max="3078" width="11.125" style="231" customWidth="1"/>
    <col min="3079" max="3079" width="4.5" style="231" customWidth="1"/>
    <col min="3080" max="3080" width="8.5" style="231" customWidth="1"/>
    <col min="3081" max="3081" width="11.125" style="231" customWidth="1"/>
    <col min="3082" max="3082" width="4.5" style="231" customWidth="1"/>
    <col min="3083" max="3083" width="8.5" style="231" customWidth="1"/>
    <col min="3084" max="3084" width="11.125" style="231" customWidth="1"/>
    <col min="3085" max="3085" width="4.5" style="231" customWidth="1"/>
    <col min="3086" max="3086" width="8.5" style="231" customWidth="1"/>
    <col min="3087" max="3087" width="11.125" style="231" customWidth="1"/>
    <col min="3088" max="3088" width="4.5" style="231" customWidth="1"/>
    <col min="3089" max="3089" width="8.5" style="231" customWidth="1"/>
    <col min="3090" max="3090" width="11.125" style="231" customWidth="1"/>
    <col min="3091" max="3091" width="4.5" style="231" customWidth="1"/>
    <col min="3092" max="3092" width="8.5" style="231" customWidth="1"/>
    <col min="3093" max="3093" width="11.125" style="231" customWidth="1"/>
    <col min="3094" max="3094" width="4.5" style="231" customWidth="1"/>
    <col min="3095" max="3095" width="8.5" style="231" customWidth="1"/>
    <col min="3096" max="3096" width="11.125" style="231" customWidth="1"/>
    <col min="3097" max="3097" width="4.5" style="231" customWidth="1"/>
    <col min="3098" max="3098" width="8.5" style="231" customWidth="1"/>
    <col min="3099" max="3099" width="11.125" style="231" customWidth="1"/>
    <col min="3100" max="3100" width="4.5" style="231" customWidth="1"/>
    <col min="3101" max="3101" width="8.5" style="231" customWidth="1"/>
    <col min="3102" max="3102" width="11.125" style="231" customWidth="1"/>
    <col min="3103" max="3103" width="4.5" style="231" customWidth="1"/>
    <col min="3104" max="3104" width="8.5" style="231" customWidth="1"/>
    <col min="3105" max="3105" width="11.125" style="231" customWidth="1"/>
    <col min="3106" max="3106" width="33" style="231" customWidth="1"/>
    <col min="3107" max="3309" width="9" style="231"/>
    <col min="3310" max="3310" width="1.5" style="231" customWidth="1"/>
    <col min="3311" max="3311" width="3.125" style="231" customWidth="1"/>
    <col min="3312" max="3312" width="9.625" style="231" customWidth="1"/>
    <col min="3313" max="3313" width="18.125" style="231" customWidth="1"/>
    <col min="3314" max="3315" width="10.25" style="231" customWidth="1"/>
    <col min="3316" max="3316" width="8.5" style="231" customWidth="1"/>
    <col min="3317" max="3317" width="8.875" style="231" bestFit="1" customWidth="1"/>
    <col min="3318" max="3319" width="6.75" style="231" customWidth="1"/>
    <col min="3320" max="3320" width="3.5" style="231" customWidth="1"/>
    <col min="3321" max="3321" width="8.5" style="231" customWidth="1"/>
    <col min="3322" max="3322" width="13.25" style="231" customWidth="1"/>
    <col min="3323" max="3323" width="4.5" style="231" customWidth="1"/>
    <col min="3324" max="3324" width="8.5" style="231" customWidth="1"/>
    <col min="3325" max="3325" width="12" style="231" customWidth="1"/>
    <col min="3326" max="3326" width="4.5" style="231" customWidth="1"/>
    <col min="3327" max="3327" width="8.5" style="231" customWidth="1"/>
    <col min="3328" max="3328" width="11" style="231" customWidth="1"/>
    <col min="3329" max="3329" width="4.5" style="231" customWidth="1"/>
    <col min="3330" max="3330" width="8.5" style="231" customWidth="1"/>
    <col min="3331" max="3331" width="11.125" style="231" customWidth="1"/>
    <col min="3332" max="3332" width="4.5" style="231" customWidth="1"/>
    <col min="3333" max="3333" width="8.5" style="231" customWidth="1"/>
    <col min="3334" max="3334" width="11.125" style="231" customWidth="1"/>
    <col min="3335" max="3335" width="4.5" style="231" customWidth="1"/>
    <col min="3336" max="3336" width="8.5" style="231" customWidth="1"/>
    <col min="3337" max="3337" width="11.125" style="231" customWidth="1"/>
    <col min="3338" max="3338" width="4.5" style="231" customWidth="1"/>
    <col min="3339" max="3339" width="8.5" style="231" customWidth="1"/>
    <col min="3340" max="3340" width="11.125" style="231" customWidth="1"/>
    <col min="3341" max="3341" width="4.5" style="231" customWidth="1"/>
    <col min="3342" max="3342" width="8.5" style="231" customWidth="1"/>
    <col min="3343" max="3343" width="11.125" style="231" customWidth="1"/>
    <col min="3344" max="3344" width="4.5" style="231" customWidth="1"/>
    <col min="3345" max="3345" width="8.5" style="231" customWidth="1"/>
    <col min="3346" max="3346" width="11.125" style="231" customWidth="1"/>
    <col min="3347" max="3347" width="4.5" style="231" customWidth="1"/>
    <col min="3348" max="3348" width="8.5" style="231" customWidth="1"/>
    <col min="3349" max="3349" width="11.125" style="231" customWidth="1"/>
    <col min="3350" max="3350" width="4.5" style="231" customWidth="1"/>
    <col min="3351" max="3351" width="8.5" style="231" customWidth="1"/>
    <col min="3352" max="3352" width="11.125" style="231" customWidth="1"/>
    <col min="3353" max="3353" width="4.5" style="231" customWidth="1"/>
    <col min="3354" max="3354" width="8.5" style="231" customWidth="1"/>
    <col min="3355" max="3355" width="11.125" style="231" customWidth="1"/>
    <col min="3356" max="3356" width="4.5" style="231" customWidth="1"/>
    <col min="3357" max="3357" width="8.5" style="231" customWidth="1"/>
    <col min="3358" max="3358" width="11.125" style="231" customWidth="1"/>
    <col min="3359" max="3359" width="4.5" style="231" customWidth="1"/>
    <col min="3360" max="3360" width="8.5" style="231" customWidth="1"/>
    <col min="3361" max="3361" width="11.125" style="231" customWidth="1"/>
    <col min="3362" max="3362" width="33" style="231" customWidth="1"/>
    <col min="3363" max="3565" width="9" style="231"/>
    <col min="3566" max="3566" width="1.5" style="231" customWidth="1"/>
    <col min="3567" max="3567" width="3.125" style="231" customWidth="1"/>
    <col min="3568" max="3568" width="9.625" style="231" customWidth="1"/>
    <col min="3569" max="3569" width="18.125" style="231" customWidth="1"/>
    <col min="3570" max="3571" width="10.25" style="231" customWidth="1"/>
    <col min="3572" max="3572" width="8.5" style="231" customWidth="1"/>
    <col min="3573" max="3573" width="8.875" style="231" bestFit="1" customWidth="1"/>
    <col min="3574" max="3575" width="6.75" style="231" customWidth="1"/>
    <col min="3576" max="3576" width="3.5" style="231" customWidth="1"/>
    <col min="3577" max="3577" width="8.5" style="231" customWidth="1"/>
    <col min="3578" max="3578" width="13.25" style="231" customWidth="1"/>
    <col min="3579" max="3579" width="4.5" style="231" customWidth="1"/>
    <col min="3580" max="3580" width="8.5" style="231" customWidth="1"/>
    <col min="3581" max="3581" width="12" style="231" customWidth="1"/>
    <col min="3582" max="3582" width="4.5" style="231" customWidth="1"/>
    <col min="3583" max="3583" width="8.5" style="231" customWidth="1"/>
    <col min="3584" max="3584" width="11" style="231" customWidth="1"/>
    <col min="3585" max="3585" width="4.5" style="231" customWidth="1"/>
    <col min="3586" max="3586" width="8.5" style="231" customWidth="1"/>
    <col min="3587" max="3587" width="11.125" style="231" customWidth="1"/>
    <col min="3588" max="3588" width="4.5" style="231" customWidth="1"/>
    <col min="3589" max="3589" width="8.5" style="231" customWidth="1"/>
    <col min="3590" max="3590" width="11.125" style="231" customWidth="1"/>
    <col min="3591" max="3591" width="4.5" style="231" customWidth="1"/>
    <col min="3592" max="3592" width="8.5" style="231" customWidth="1"/>
    <col min="3593" max="3593" width="11.125" style="231" customWidth="1"/>
    <col min="3594" max="3594" width="4.5" style="231" customWidth="1"/>
    <col min="3595" max="3595" width="8.5" style="231" customWidth="1"/>
    <col min="3596" max="3596" width="11.125" style="231" customWidth="1"/>
    <col min="3597" max="3597" width="4.5" style="231" customWidth="1"/>
    <col min="3598" max="3598" width="8.5" style="231" customWidth="1"/>
    <col min="3599" max="3599" width="11.125" style="231" customWidth="1"/>
    <col min="3600" max="3600" width="4.5" style="231" customWidth="1"/>
    <col min="3601" max="3601" width="8.5" style="231" customWidth="1"/>
    <col min="3602" max="3602" width="11.125" style="231" customWidth="1"/>
    <col min="3603" max="3603" width="4.5" style="231" customWidth="1"/>
    <col min="3604" max="3604" width="8.5" style="231" customWidth="1"/>
    <col min="3605" max="3605" width="11.125" style="231" customWidth="1"/>
    <col min="3606" max="3606" width="4.5" style="231" customWidth="1"/>
    <col min="3607" max="3607" width="8.5" style="231" customWidth="1"/>
    <col min="3608" max="3608" width="11.125" style="231" customWidth="1"/>
    <col min="3609" max="3609" width="4.5" style="231" customWidth="1"/>
    <col min="3610" max="3610" width="8.5" style="231" customWidth="1"/>
    <col min="3611" max="3611" width="11.125" style="231" customWidth="1"/>
    <col min="3612" max="3612" width="4.5" style="231" customWidth="1"/>
    <col min="3613" max="3613" width="8.5" style="231" customWidth="1"/>
    <col min="3614" max="3614" width="11.125" style="231" customWidth="1"/>
    <col min="3615" max="3615" width="4.5" style="231" customWidth="1"/>
    <col min="3616" max="3616" width="8.5" style="231" customWidth="1"/>
    <col min="3617" max="3617" width="11.125" style="231" customWidth="1"/>
    <col min="3618" max="3618" width="33" style="231" customWidth="1"/>
    <col min="3619" max="3821" width="9" style="231"/>
    <col min="3822" max="3822" width="1.5" style="231" customWidth="1"/>
    <col min="3823" max="3823" width="3.125" style="231" customWidth="1"/>
    <col min="3824" max="3824" width="9.625" style="231" customWidth="1"/>
    <col min="3825" max="3825" width="18.125" style="231" customWidth="1"/>
    <col min="3826" max="3827" width="10.25" style="231" customWidth="1"/>
    <col min="3828" max="3828" width="8.5" style="231" customWidth="1"/>
    <col min="3829" max="3829" width="8.875" style="231" bestFit="1" customWidth="1"/>
    <col min="3830" max="3831" width="6.75" style="231" customWidth="1"/>
    <col min="3832" max="3832" width="3.5" style="231" customWidth="1"/>
    <col min="3833" max="3833" width="8.5" style="231" customWidth="1"/>
    <col min="3834" max="3834" width="13.25" style="231" customWidth="1"/>
    <col min="3835" max="3835" width="4.5" style="231" customWidth="1"/>
    <col min="3836" max="3836" width="8.5" style="231" customWidth="1"/>
    <col min="3837" max="3837" width="12" style="231" customWidth="1"/>
    <col min="3838" max="3838" width="4.5" style="231" customWidth="1"/>
    <col min="3839" max="3839" width="8.5" style="231" customWidth="1"/>
    <col min="3840" max="3840" width="11" style="231" customWidth="1"/>
    <col min="3841" max="3841" width="4.5" style="231" customWidth="1"/>
    <col min="3842" max="3842" width="8.5" style="231" customWidth="1"/>
    <col min="3843" max="3843" width="11.125" style="231" customWidth="1"/>
    <col min="3844" max="3844" width="4.5" style="231" customWidth="1"/>
    <col min="3845" max="3845" width="8.5" style="231" customWidth="1"/>
    <col min="3846" max="3846" width="11.125" style="231" customWidth="1"/>
    <col min="3847" max="3847" width="4.5" style="231" customWidth="1"/>
    <col min="3848" max="3848" width="8.5" style="231" customWidth="1"/>
    <col min="3849" max="3849" width="11.125" style="231" customWidth="1"/>
    <col min="3850" max="3850" width="4.5" style="231" customWidth="1"/>
    <col min="3851" max="3851" width="8.5" style="231" customWidth="1"/>
    <col min="3852" max="3852" width="11.125" style="231" customWidth="1"/>
    <col min="3853" max="3853" width="4.5" style="231" customWidth="1"/>
    <col min="3854" max="3854" width="8.5" style="231" customWidth="1"/>
    <col min="3855" max="3855" width="11.125" style="231" customWidth="1"/>
    <col min="3856" max="3856" width="4.5" style="231" customWidth="1"/>
    <col min="3857" max="3857" width="8.5" style="231" customWidth="1"/>
    <col min="3858" max="3858" width="11.125" style="231" customWidth="1"/>
    <col min="3859" max="3859" width="4.5" style="231" customWidth="1"/>
    <col min="3860" max="3860" width="8.5" style="231" customWidth="1"/>
    <col min="3861" max="3861" width="11.125" style="231" customWidth="1"/>
    <col min="3862" max="3862" width="4.5" style="231" customWidth="1"/>
    <col min="3863" max="3863" width="8.5" style="231" customWidth="1"/>
    <col min="3864" max="3864" width="11.125" style="231" customWidth="1"/>
    <col min="3865" max="3865" width="4.5" style="231" customWidth="1"/>
    <col min="3866" max="3866" width="8.5" style="231" customWidth="1"/>
    <col min="3867" max="3867" width="11.125" style="231" customWidth="1"/>
    <col min="3868" max="3868" width="4.5" style="231" customWidth="1"/>
    <col min="3869" max="3869" width="8.5" style="231" customWidth="1"/>
    <col min="3870" max="3870" width="11.125" style="231" customWidth="1"/>
    <col min="3871" max="3871" width="4.5" style="231" customWidth="1"/>
    <col min="3872" max="3872" width="8.5" style="231" customWidth="1"/>
    <col min="3873" max="3873" width="11.125" style="231" customWidth="1"/>
    <col min="3874" max="3874" width="33" style="231" customWidth="1"/>
    <col min="3875" max="4077" width="9" style="231"/>
    <col min="4078" max="4078" width="1.5" style="231" customWidth="1"/>
    <col min="4079" max="4079" width="3.125" style="231" customWidth="1"/>
    <col min="4080" max="4080" width="9.625" style="231" customWidth="1"/>
    <col min="4081" max="4081" width="18.125" style="231" customWidth="1"/>
    <col min="4082" max="4083" width="10.25" style="231" customWidth="1"/>
    <col min="4084" max="4084" width="8.5" style="231" customWidth="1"/>
    <col min="4085" max="4085" width="8.875" style="231" bestFit="1" customWidth="1"/>
    <col min="4086" max="4087" width="6.75" style="231" customWidth="1"/>
    <col min="4088" max="4088" width="3.5" style="231" customWidth="1"/>
    <col min="4089" max="4089" width="8.5" style="231" customWidth="1"/>
    <col min="4090" max="4090" width="13.25" style="231" customWidth="1"/>
    <col min="4091" max="4091" width="4.5" style="231" customWidth="1"/>
    <col min="4092" max="4092" width="8.5" style="231" customWidth="1"/>
    <col min="4093" max="4093" width="12" style="231" customWidth="1"/>
    <col min="4094" max="4094" width="4.5" style="231" customWidth="1"/>
    <col min="4095" max="4095" width="8.5" style="231" customWidth="1"/>
    <col min="4096" max="4096" width="11" style="231" customWidth="1"/>
    <col min="4097" max="4097" width="4.5" style="231" customWidth="1"/>
    <col min="4098" max="4098" width="8.5" style="231" customWidth="1"/>
    <col min="4099" max="4099" width="11.125" style="231" customWidth="1"/>
    <col min="4100" max="4100" width="4.5" style="231" customWidth="1"/>
    <col min="4101" max="4101" width="8.5" style="231" customWidth="1"/>
    <col min="4102" max="4102" width="11.125" style="231" customWidth="1"/>
    <col min="4103" max="4103" width="4.5" style="231" customWidth="1"/>
    <col min="4104" max="4104" width="8.5" style="231" customWidth="1"/>
    <col min="4105" max="4105" width="11.125" style="231" customWidth="1"/>
    <col min="4106" max="4106" width="4.5" style="231" customWidth="1"/>
    <col min="4107" max="4107" width="8.5" style="231" customWidth="1"/>
    <col min="4108" max="4108" width="11.125" style="231" customWidth="1"/>
    <col min="4109" max="4109" width="4.5" style="231" customWidth="1"/>
    <col min="4110" max="4110" width="8.5" style="231" customWidth="1"/>
    <col min="4111" max="4111" width="11.125" style="231" customWidth="1"/>
    <col min="4112" max="4112" width="4.5" style="231" customWidth="1"/>
    <col min="4113" max="4113" width="8.5" style="231" customWidth="1"/>
    <col min="4114" max="4114" width="11.125" style="231" customWidth="1"/>
    <col min="4115" max="4115" width="4.5" style="231" customWidth="1"/>
    <col min="4116" max="4116" width="8.5" style="231" customWidth="1"/>
    <col min="4117" max="4117" width="11.125" style="231" customWidth="1"/>
    <col min="4118" max="4118" width="4.5" style="231" customWidth="1"/>
    <col min="4119" max="4119" width="8.5" style="231" customWidth="1"/>
    <col min="4120" max="4120" width="11.125" style="231" customWidth="1"/>
    <col min="4121" max="4121" width="4.5" style="231" customWidth="1"/>
    <col min="4122" max="4122" width="8.5" style="231" customWidth="1"/>
    <col min="4123" max="4123" width="11.125" style="231" customWidth="1"/>
    <col min="4124" max="4124" width="4.5" style="231" customWidth="1"/>
    <col min="4125" max="4125" width="8.5" style="231" customWidth="1"/>
    <col min="4126" max="4126" width="11.125" style="231" customWidth="1"/>
    <col min="4127" max="4127" width="4.5" style="231" customWidth="1"/>
    <col min="4128" max="4128" width="8.5" style="231" customWidth="1"/>
    <col min="4129" max="4129" width="11.125" style="231" customWidth="1"/>
    <col min="4130" max="4130" width="33" style="231" customWidth="1"/>
    <col min="4131" max="4333" width="9" style="231"/>
    <col min="4334" max="4334" width="1.5" style="231" customWidth="1"/>
    <col min="4335" max="4335" width="3.125" style="231" customWidth="1"/>
    <col min="4336" max="4336" width="9.625" style="231" customWidth="1"/>
    <col min="4337" max="4337" width="18.125" style="231" customWidth="1"/>
    <col min="4338" max="4339" width="10.25" style="231" customWidth="1"/>
    <col min="4340" max="4340" width="8.5" style="231" customWidth="1"/>
    <col min="4341" max="4341" width="8.875" style="231" bestFit="1" customWidth="1"/>
    <col min="4342" max="4343" width="6.75" style="231" customWidth="1"/>
    <col min="4344" max="4344" width="3.5" style="231" customWidth="1"/>
    <col min="4345" max="4345" width="8.5" style="231" customWidth="1"/>
    <col min="4346" max="4346" width="13.25" style="231" customWidth="1"/>
    <col min="4347" max="4347" width="4.5" style="231" customWidth="1"/>
    <col min="4348" max="4348" width="8.5" style="231" customWidth="1"/>
    <col min="4349" max="4349" width="12" style="231" customWidth="1"/>
    <col min="4350" max="4350" width="4.5" style="231" customWidth="1"/>
    <col min="4351" max="4351" width="8.5" style="231" customWidth="1"/>
    <col min="4352" max="4352" width="11" style="231" customWidth="1"/>
    <col min="4353" max="4353" width="4.5" style="231" customWidth="1"/>
    <col min="4354" max="4354" width="8.5" style="231" customWidth="1"/>
    <col min="4355" max="4355" width="11.125" style="231" customWidth="1"/>
    <col min="4356" max="4356" width="4.5" style="231" customWidth="1"/>
    <col min="4357" max="4357" width="8.5" style="231" customWidth="1"/>
    <col min="4358" max="4358" width="11.125" style="231" customWidth="1"/>
    <col min="4359" max="4359" width="4.5" style="231" customWidth="1"/>
    <col min="4360" max="4360" width="8.5" style="231" customWidth="1"/>
    <col min="4361" max="4361" width="11.125" style="231" customWidth="1"/>
    <col min="4362" max="4362" width="4.5" style="231" customWidth="1"/>
    <col min="4363" max="4363" width="8.5" style="231" customWidth="1"/>
    <col min="4364" max="4364" width="11.125" style="231" customWidth="1"/>
    <col min="4365" max="4365" width="4.5" style="231" customWidth="1"/>
    <col min="4366" max="4366" width="8.5" style="231" customWidth="1"/>
    <col min="4367" max="4367" width="11.125" style="231" customWidth="1"/>
    <col min="4368" max="4368" width="4.5" style="231" customWidth="1"/>
    <col min="4369" max="4369" width="8.5" style="231" customWidth="1"/>
    <col min="4370" max="4370" width="11.125" style="231" customWidth="1"/>
    <col min="4371" max="4371" width="4.5" style="231" customWidth="1"/>
    <col min="4372" max="4372" width="8.5" style="231" customWidth="1"/>
    <col min="4373" max="4373" width="11.125" style="231" customWidth="1"/>
    <col min="4374" max="4374" width="4.5" style="231" customWidth="1"/>
    <col min="4375" max="4375" width="8.5" style="231" customWidth="1"/>
    <col min="4376" max="4376" width="11.125" style="231" customWidth="1"/>
    <col min="4377" max="4377" width="4.5" style="231" customWidth="1"/>
    <col min="4378" max="4378" width="8.5" style="231" customWidth="1"/>
    <col min="4379" max="4379" width="11.125" style="231" customWidth="1"/>
    <col min="4380" max="4380" width="4.5" style="231" customWidth="1"/>
    <col min="4381" max="4381" width="8.5" style="231" customWidth="1"/>
    <col min="4382" max="4382" width="11.125" style="231" customWidth="1"/>
    <col min="4383" max="4383" width="4.5" style="231" customWidth="1"/>
    <col min="4384" max="4384" width="8.5" style="231" customWidth="1"/>
    <col min="4385" max="4385" width="11.125" style="231" customWidth="1"/>
    <col min="4386" max="4386" width="33" style="231" customWidth="1"/>
    <col min="4387" max="4589" width="9" style="231"/>
    <col min="4590" max="4590" width="1.5" style="231" customWidth="1"/>
    <col min="4591" max="4591" width="3.125" style="231" customWidth="1"/>
    <col min="4592" max="4592" width="9.625" style="231" customWidth="1"/>
    <col min="4593" max="4593" width="18.125" style="231" customWidth="1"/>
    <col min="4594" max="4595" width="10.25" style="231" customWidth="1"/>
    <col min="4596" max="4596" width="8.5" style="231" customWidth="1"/>
    <col min="4597" max="4597" width="8.875" style="231" bestFit="1" customWidth="1"/>
    <col min="4598" max="4599" width="6.75" style="231" customWidth="1"/>
    <col min="4600" max="4600" width="3.5" style="231" customWidth="1"/>
    <col min="4601" max="4601" width="8.5" style="231" customWidth="1"/>
    <col min="4602" max="4602" width="13.25" style="231" customWidth="1"/>
    <col min="4603" max="4603" width="4.5" style="231" customWidth="1"/>
    <col min="4604" max="4604" width="8.5" style="231" customWidth="1"/>
    <col min="4605" max="4605" width="12" style="231" customWidth="1"/>
    <col min="4606" max="4606" width="4.5" style="231" customWidth="1"/>
    <col min="4607" max="4607" width="8.5" style="231" customWidth="1"/>
    <col min="4608" max="4608" width="11" style="231" customWidth="1"/>
    <col min="4609" max="4609" width="4.5" style="231" customWidth="1"/>
    <col min="4610" max="4610" width="8.5" style="231" customWidth="1"/>
    <col min="4611" max="4611" width="11.125" style="231" customWidth="1"/>
    <col min="4612" max="4612" width="4.5" style="231" customWidth="1"/>
    <col min="4613" max="4613" width="8.5" style="231" customWidth="1"/>
    <col min="4614" max="4614" width="11.125" style="231" customWidth="1"/>
    <col min="4615" max="4615" width="4.5" style="231" customWidth="1"/>
    <col min="4616" max="4616" width="8.5" style="231" customWidth="1"/>
    <col min="4617" max="4617" width="11.125" style="231" customWidth="1"/>
    <col min="4618" max="4618" width="4.5" style="231" customWidth="1"/>
    <col min="4619" max="4619" width="8.5" style="231" customWidth="1"/>
    <col min="4620" max="4620" width="11.125" style="231" customWidth="1"/>
    <col min="4621" max="4621" width="4.5" style="231" customWidth="1"/>
    <col min="4622" max="4622" width="8.5" style="231" customWidth="1"/>
    <col min="4623" max="4623" width="11.125" style="231" customWidth="1"/>
    <col min="4624" max="4624" width="4.5" style="231" customWidth="1"/>
    <col min="4625" max="4625" width="8.5" style="231" customWidth="1"/>
    <col min="4626" max="4626" width="11.125" style="231" customWidth="1"/>
    <col min="4627" max="4627" width="4.5" style="231" customWidth="1"/>
    <col min="4628" max="4628" width="8.5" style="231" customWidth="1"/>
    <col min="4629" max="4629" width="11.125" style="231" customWidth="1"/>
    <col min="4630" max="4630" width="4.5" style="231" customWidth="1"/>
    <col min="4631" max="4631" width="8.5" style="231" customWidth="1"/>
    <col min="4632" max="4632" width="11.125" style="231" customWidth="1"/>
    <col min="4633" max="4633" width="4.5" style="231" customWidth="1"/>
    <col min="4634" max="4634" width="8.5" style="231" customWidth="1"/>
    <col min="4635" max="4635" width="11.125" style="231" customWidth="1"/>
    <col min="4636" max="4636" width="4.5" style="231" customWidth="1"/>
    <col min="4637" max="4637" width="8.5" style="231" customWidth="1"/>
    <col min="4638" max="4638" width="11.125" style="231" customWidth="1"/>
    <col min="4639" max="4639" width="4.5" style="231" customWidth="1"/>
    <col min="4640" max="4640" width="8.5" style="231" customWidth="1"/>
    <col min="4641" max="4641" width="11.125" style="231" customWidth="1"/>
    <col min="4642" max="4642" width="33" style="231" customWidth="1"/>
    <col min="4643" max="4845" width="9" style="231"/>
    <col min="4846" max="4846" width="1.5" style="231" customWidth="1"/>
    <col min="4847" max="4847" width="3.125" style="231" customWidth="1"/>
    <col min="4848" max="4848" width="9.625" style="231" customWidth="1"/>
    <col min="4849" max="4849" width="18.125" style="231" customWidth="1"/>
    <col min="4850" max="4851" width="10.25" style="231" customWidth="1"/>
    <col min="4852" max="4852" width="8.5" style="231" customWidth="1"/>
    <col min="4853" max="4853" width="8.875" style="231" bestFit="1" customWidth="1"/>
    <col min="4854" max="4855" width="6.75" style="231" customWidth="1"/>
    <col min="4856" max="4856" width="3.5" style="231" customWidth="1"/>
    <col min="4857" max="4857" width="8.5" style="231" customWidth="1"/>
    <col min="4858" max="4858" width="13.25" style="231" customWidth="1"/>
    <col min="4859" max="4859" width="4.5" style="231" customWidth="1"/>
    <col min="4860" max="4860" width="8.5" style="231" customWidth="1"/>
    <col min="4861" max="4861" width="12" style="231" customWidth="1"/>
    <col min="4862" max="4862" width="4.5" style="231" customWidth="1"/>
    <col min="4863" max="4863" width="8.5" style="231" customWidth="1"/>
    <col min="4864" max="4864" width="11" style="231" customWidth="1"/>
    <col min="4865" max="4865" width="4.5" style="231" customWidth="1"/>
    <col min="4866" max="4866" width="8.5" style="231" customWidth="1"/>
    <col min="4867" max="4867" width="11.125" style="231" customWidth="1"/>
    <col min="4868" max="4868" width="4.5" style="231" customWidth="1"/>
    <col min="4869" max="4869" width="8.5" style="231" customWidth="1"/>
    <col min="4870" max="4870" width="11.125" style="231" customWidth="1"/>
    <col min="4871" max="4871" width="4.5" style="231" customWidth="1"/>
    <col min="4872" max="4872" width="8.5" style="231" customWidth="1"/>
    <col min="4873" max="4873" width="11.125" style="231" customWidth="1"/>
    <col min="4874" max="4874" width="4.5" style="231" customWidth="1"/>
    <col min="4875" max="4875" width="8.5" style="231" customWidth="1"/>
    <col min="4876" max="4876" width="11.125" style="231" customWidth="1"/>
    <col min="4877" max="4877" width="4.5" style="231" customWidth="1"/>
    <col min="4878" max="4878" width="8.5" style="231" customWidth="1"/>
    <col min="4879" max="4879" width="11.125" style="231" customWidth="1"/>
    <col min="4880" max="4880" width="4.5" style="231" customWidth="1"/>
    <col min="4881" max="4881" width="8.5" style="231" customWidth="1"/>
    <col min="4882" max="4882" width="11.125" style="231" customWidth="1"/>
    <col min="4883" max="4883" width="4.5" style="231" customWidth="1"/>
    <col min="4884" max="4884" width="8.5" style="231" customWidth="1"/>
    <col min="4885" max="4885" width="11.125" style="231" customWidth="1"/>
    <col min="4886" max="4886" width="4.5" style="231" customWidth="1"/>
    <col min="4887" max="4887" width="8.5" style="231" customWidth="1"/>
    <col min="4888" max="4888" width="11.125" style="231" customWidth="1"/>
    <col min="4889" max="4889" width="4.5" style="231" customWidth="1"/>
    <col min="4890" max="4890" width="8.5" style="231" customWidth="1"/>
    <col min="4891" max="4891" width="11.125" style="231" customWidth="1"/>
    <col min="4892" max="4892" width="4.5" style="231" customWidth="1"/>
    <col min="4893" max="4893" width="8.5" style="231" customWidth="1"/>
    <col min="4894" max="4894" width="11.125" style="231" customWidth="1"/>
    <col min="4895" max="4895" width="4.5" style="231" customWidth="1"/>
    <col min="4896" max="4896" width="8.5" style="231" customWidth="1"/>
    <col min="4897" max="4897" width="11.125" style="231" customWidth="1"/>
    <col min="4898" max="4898" width="33" style="231" customWidth="1"/>
    <col min="4899" max="5101" width="9" style="231"/>
    <col min="5102" max="5102" width="1.5" style="231" customWidth="1"/>
    <col min="5103" max="5103" width="3.125" style="231" customWidth="1"/>
    <col min="5104" max="5104" width="9.625" style="231" customWidth="1"/>
    <col min="5105" max="5105" width="18.125" style="231" customWidth="1"/>
    <col min="5106" max="5107" width="10.25" style="231" customWidth="1"/>
    <col min="5108" max="5108" width="8.5" style="231" customWidth="1"/>
    <col min="5109" max="5109" width="8.875" style="231" bestFit="1" customWidth="1"/>
    <col min="5110" max="5111" width="6.75" style="231" customWidth="1"/>
    <col min="5112" max="5112" width="3.5" style="231" customWidth="1"/>
    <col min="5113" max="5113" width="8.5" style="231" customWidth="1"/>
    <col min="5114" max="5114" width="13.25" style="231" customWidth="1"/>
    <col min="5115" max="5115" width="4.5" style="231" customWidth="1"/>
    <col min="5116" max="5116" width="8.5" style="231" customWidth="1"/>
    <col min="5117" max="5117" width="12" style="231" customWidth="1"/>
    <col min="5118" max="5118" width="4.5" style="231" customWidth="1"/>
    <col min="5119" max="5119" width="8.5" style="231" customWidth="1"/>
    <col min="5120" max="5120" width="11" style="231" customWidth="1"/>
    <col min="5121" max="5121" width="4.5" style="231" customWidth="1"/>
    <col min="5122" max="5122" width="8.5" style="231" customWidth="1"/>
    <col min="5123" max="5123" width="11.125" style="231" customWidth="1"/>
    <col min="5124" max="5124" width="4.5" style="231" customWidth="1"/>
    <col min="5125" max="5125" width="8.5" style="231" customWidth="1"/>
    <col min="5126" max="5126" width="11.125" style="231" customWidth="1"/>
    <col min="5127" max="5127" width="4.5" style="231" customWidth="1"/>
    <col min="5128" max="5128" width="8.5" style="231" customWidth="1"/>
    <col min="5129" max="5129" width="11.125" style="231" customWidth="1"/>
    <col min="5130" max="5130" width="4.5" style="231" customWidth="1"/>
    <col min="5131" max="5131" width="8.5" style="231" customWidth="1"/>
    <col min="5132" max="5132" width="11.125" style="231" customWidth="1"/>
    <col min="5133" max="5133" width="4.5" style="231" customWidth="1"/>
    <col min="5134" max="5134" width="8.5" style="231" customWidth="1"/>
    <col min="5135" max="5135" width="11.125" style="231" customWidth="1"/>
    <col min="5136" max="5136" width="4.5" style="231" customWidth="1"/>
    <col min="5137" max="5137" width="8.5" style="231" customWidth="1"/>
    <col min="5138" max="5138" width="11.125" style="231" customWidth="1"/>
    <col min="5139" max="5139" width="4.5" style="231" customWidth="1"/>
    <col min="5140" max="5140" width="8.5" style="231" customWidth="1"/>
    <col min="5141" max="5141" width="11.125" style="231" customWidth="1"/>
    <col min="5142" max="5142" width="4.5" style="231" customWidth="1"/>
    <col min="5143" max="5143" width="8.5" style="231" customWidth="1"/>
    <col min="5144" max="5144" width="11.125" style="231" customWidth="1"/>
    <col min="5145" max="5145" width="4.5" style="231" customWidth="1"/>
    <col min="5146" max="5146" width="8.5" style="231" customWidth="1"/>
    <col min="5147" max="5147" width="11.125" style="231" customWidth="1"/>
    <col min="5148" max="5148" width="4.5" style="231" customWidth="1"/>
    <col min="5149" max="5149" width="8.5" style="231" customWidth="1"/>
    <col min="5150" max="5150" width="11.125" style="231" customWidth="1"/>
    <col min="5151" max="5151" width="4.5" style="231" customWidth="1"/>
    <col min="5152" max="5152" width="8.5" style="231" customWidth="1"/>
    <col min="5153" max="5153" width="11.125" style="231" customWidth="1"/>
    <col min="5154" max="5154" width="33" style="231" customWidth="1"/>
    <col min="5155" max="5357" width="9" style="231"/>
    <col min="5358" max="5358" width="1.5" style="231" customWidth="1"/>
    <col min="5359" max="5359" width="3.125" style="231" customWidth="1"/>
    <col min="5360" max="5360" width="9.625" style="231" customWidth="1"/>
    <col min="5361" max="5361" width="18.125" style="231" customWidth="1"/>
    <col min="5362" max="5363" width="10.25" style="231" customWidth="1"/>
    <col min="5364" max="5364" width="8.5" style="231" customWidth="1"/>
    <col min="5365" max="5365" width="8.875" style="231" bestFit="1" customWidth="1"/>
    <col min="5366" max="5367" width="6.75" style="231" customWidth="1"/>
    <col min="5368" max="5368" width="3.5" style="231" customWidth="1"/>
    <col min="5369" max="5369" width="8.5" style="231" customWidth="1"/>
    <col min="5370" max="5370" width="13.25" style="231" customWidth="1"/>
    <col min="5371" max="5371" width="4.5" style="231" customWidth="1"/>
    <col min="5372" max="5372" width="8.5" style="231" customWidth="1"/>
    <col min="5373" max="5373" width="12" style="231" customWidth="1"/>
    <col min="5374" max="5374" width="4.5" style="231" customWidth="1"/>
    <col min="5375" max="5375" width="8.5" style="231" customWidth="1"/>
    <col min="5376" max="5376" width="11" style="231" customWidth="1"/>
    <col min="5377" max="5377" width="4.5" style="231" customWidth="1"/>
    <col min="5378" max="5378" width="8.5" style="231" customWidth="1"/>
    <col min="5379" max="5379" width="11.125" style="231" customWidth="1"/>
    <col min="5380" max="5380" width="4.5" style="231" customWidth="1"/>
    <col min="5381" max="5381" width="8.5" style="231" customWidth="1"/>
    <col min="5382" max="5382" width="11.125" style="231" customWidth="1"/>
    <col min="5383" max="5383" width="4.5" style="231" customWidth="1"/>
    <col min="5384" max="5384" width="8.5" style="231" customWidth="1"/>
    <col min="5385" max="5385" width="11.125" style="231" customWidth="1"/>
    <col min="5386" max="5386" width="4.5" style="231" customWidth="1"/>
    <col min="5387" max="5387" width="8.5" style="231" customWidth="1"/>
    <col min="5388" max="5388" width="11.125" style="231" customWidth="1"/>
    <col min="5389" max="5389" width="4.5" style="231" customWidth="1"/>
    <col min="5390" max="5390" width="8.5" style="231" customWidth="1"/>
    <col min="5391" max="5391" width="11.125" style="231" customWidth="1"/>
    <col min="5392" max="5392" width="4.5" style="231" customWidth="1"/>
    <col min="5393" max="5393" width="8.5" style="231" customWidth="1"/>
    <col min="5394" max="5394" width="11.125" style="231" customWidth="1"/>
    <col min="5395" max="5395" width="4.5" style="231" customWidth="1"/>
    <col min="5396" max="5396" width="8.5" style="231" customWidth="1"/>
    <col min="5397" max="5397" width="11.125" style="231" customWidth="1"/>
    <col min="5398" max="5398" width="4.5" style="231" customWidth="1"/>
    <col min="5399" max="5399" width="8.5" style="231" customWidth="1"/>
    <col min="5400" max="5400" width="11.125" style="231" customWidth="1"/>
    <col min="5401" max="5401" width="4.5" style="231" customWidth="1"/>
    <col min="5402" max="5402" width="8.5" style="231" customWidth="1"/>
    <col min="5403" max="5403" width="11.125" style="231" customWidth="1"/>
    <col min="5404" max="5404" width="4.5" style="231" customWidth="1"/>
    <col min="5405" max="5405" width="8.5" style="231" customWidth="1"/>
    <col min="5406" max="5406" width="11.125" style="231" customWidth="1"/>
    <col min="5407" max="5407" width="4.5" style="231" customWidth="1"/>
    <col min="5408" max="5408" width="8.5" style="231" customWidth="1"/>
    <col min="5409" max="5409" width="11.125" style="231" customWidth="1"/>
    <col min="5410" max="5410" width="33" style="231" customWidth="1"/>
    <col min="5411" max="5613" width="9" style="231"/>
    <col min="5614" max="5614" width="1.5" style="231" customWidth="1"/>
    <col min="5615" max="5615" width="3.125" style="231" customWidth="1"/>
    <col min="5616" max="5616" width="9.625" style="231" customWidth="1"/>
    <col min="5617" max="5617" width="18.125" style="231" customWidth="1"/>
    <col min="5618" max="5619" width="10.25" style="231" customWidth="1"/>
    <col min="5620" max="5620" width="8.5" style="231" customWidth="1"/>
    <col min="5621" max="5621" width="8.875" style="231" bestFit="1" customWidth="1"/>
    <col min="5622" max="5623" width="6.75" style="231" customWidth="1"/>
    <col min="5624" max="5624" width="3.5" style="231" customWidth="1"/>
    <col min="5625" max="5625" width="8.5" style="231" customWidth="1"/>
    <col min="5626" max="5626" width="13.25" style="231" customWidth="1"/>
    <col min="5627" max="5627" width="4.5" style="231" customWidth="1"/>
    <col min="5628" max="5628" width="8.5" style="231" customWidth="1"/>
    <col min="5629" max="5629" width="12" style="231" customWidth="1"/>
    <col min="5630" max="5630" width="4.5" style="231" customWidth="1"/>
    <col min="5631" max="5631" width="8.5" style="231" customWidth="1"/>
    <col min="5632" max="5632" width="11" style="231" customWidth="1"/>
    <col min="5633" max="5633" width="4.5" style="231" customWidth="1"/>
    <col min="5634" max="5634" width="8.5" style="231" customWidth="1"/>
    <col min="5635" max="5635" width="11.125" style="231" customWidth="1"/>
    <col min="5636" max="5636" width="4.5" style="231" customWidth="1"/>
    <col min="5637" max="5637" width="8.5" style="231" customWidth="1"/>
    <col min="5638" max="5638" width="11.125" style="231" customWidth="1"/>
    <col min="5639" max="5639" width="4.5" style="231" customWidth="1"/>
    <col min="5640" max="5640" width="8.5" style="231" customWidth="1"/>
    <col min="5641" max="5641" width="11.125" style="231" customWidth="1"/>
    <col min="5642" max="5642" width="4.5" style="231" customWidth="1"/>
    <col min="5643" max="5643" width="8.5" style="231" customWidth="1"/>
    <col min="5644" max="5644" width="11.125" style="231" customWidth="1"/>
    <col min="5645" max="5645" width="4.5" style="231" customWidth="1"/>
    <col min="5646" max="5646" width="8.5" style="231" customWidth="1"/>
    <col min="5647" max="5647" width="11.125" style="231" customWidth="1"/>
    <col min="5648" max="5648" width="4.5" style="231" customWidth="1"/>
    <col min="5649" max="5649" width="8.5" style="231" customWidth="1"/>
    <col min="5650" max="5650" width="11.125" style="231" customWidth="1"/>
    <col min="5651" max="5651" width="4.5" style="231" customWidth="1"/>
    <col min="5652" max="5652" width="8.5" style="231" customWidth="1"/>
    <col min="5653" max="5653" width="11.125" style="231" customWidth="1"/>
    <col min="5654" max="5654" width="4.5" style="231" customWidth="1"/>
    <col min="5655" max="5655" width="8.5" style="231" customWidth="1"/>
    <col min="5656" max="5656" width="11.125" style="231" customWidth="1"/>
    <col min="5657" max="5657" width="4.5" style="231" customWidth="1"/>
    <col min="5658" max="5658" width="8.5" style="231" customWidth="1"/>
    <col min="5659" max="5659" width="11.125" style="231" customWidth="1"/>
    <col min="5660" max="5660" width="4.5" style="231" customWidth="1"/>
    <col min="5661" max="5661" width="8.5" style="231" customWidth="1"/>
    <col min="5662" max="5662" width="11.125" style="231" customWidth="1"/>
    <col min="5663" max="5663" width="4.5" style="231" customWidth="1"/>
    <col min="5664" max="5664" width="8.5" style="231" customWidth="1"/>
    <col min="5665" max="5665" width="11.125" style="231" customWidth="1"/>
    <col min="5666" max="5666" width="33" style="231" customWidth="1"/>
    <col min="5667" max="5869" width="9" style="231"/>
    <col min="5870" max="5870" width="1.5" style="231" customWidth="1"/>
    <col min="5871" max="5871" width="3.125" style="231" customWidth="1"/>
    <col min="5872" max="5872" width="9.625" style="231" customWidth="1"/>
    <col min="5873" max="5873" width="18.125" style="231" customWidth="1"/>
    <col min="5874" max="5875" width="10.25" style="231" customWidth="1"/>
    <col min="5876" max="5876" width="8.5" style="231" customWidth="1"/>
    <col min="5877" max="5877" width="8.875" style="231" bestFit="1" customWidth="1"/>
    <col min="5878" max="5879" width="6.75" style="231" customWidth="1"/>
    <col min="5880" max="5880" width="3.5" style="231" customWidth="1"/>
    <col min="5881" max="5881" width="8.5" style="231" customWidth="1"/>
    <col min="5882" max="5882" width="13.25" style="231" customWidth="1"/>
    <col min="5883" max="5883" width="4.5" style="231" customWidth="1"/>
    <col min="5884" max="5884" width="8.5" style="231" customWidth="1"/>
    <col min="5885" max="5885" width="12" style="231" customWidth="1"/>
    <col min="5886" max="5886" width="4.5" style="231" customWidth="1"/>
    <col min="5887" max="5887" width="8.5" style="231" customWidth="1"/>
    <col min="5888" max="5888" width="11" style="231" customWidth="1"/>
    <col min="5889" max="5889" width="4.5" style="231" customWidth="1"/>
    <col min="5890" max="5890" width="8.5" style="231" customWidth="1"/>
    <col min="5891" max="5891" width="11.125" style="231" customWidth="1"/>
    <col min="5892" max="5892" width="4.5" style="231" customWidth="1"/>
    <col min="5893" max="5893" width="8.5" style="231" customWidth="1"/>
    <col min="5894" max="5894" width="11.125" style="231" customWidth="1"/>
    <col min="5895" max="5895" width="4.5" style="231" customWidth="1"/>
    <col min="5896" max="5896" width="8.5" style="231" customWidth="1"/>
    <col min="5897" max="5897" width="11.125" style="231" customWidth="1"/>
    <col min="5898" max="5898" width="4.5" style="231" customWidth="1"/>
    <col min="5899" max="5899" width="8.5" style="231" customWidth="1"/>
    <col min="5900" max="5900" width="11.125" style="231" customWidth="1"/>
    <col min="5901" max="5901" width="4.5" style="231" customWidth="1"/>
    <col min="5902" max="5902" width="8.5" style="231" customWidth="1"/>
    <col min="5903" max="5903" width="11.125" style="231" customWidth="1"/>
    <col min="5904" max="5904" width="4.5" style="231" customWidth="1"/>
    <col min="5905" max="5905" width="8.5" style="231" customWidth="1"/>
    <col min="5906" max="5906" width="11.125" style="231" customWidth="1"/>
    <col min="5907" max="5907" width="4.5" style="231" customWidth="1"/>
    <col min="5908" max="5908" width="8.5" style="231" customWidth="1"/>
    <col min="5909" max="5909" width="11.125" style="231" customWidth="1"/>
    <col min="5910" max="5910" width="4.5" style="231" customWidth="1"/>
    <col min="5911" max="5911" width="8.5" style="231" customWidth="1"/>
    <col min="5912" max="5912" width="11.125" style="231" customWidth="1"/>
    <col min="5913" max="5913" width="4.5" style="231" customWidth="1"/>
    <col min="5914" max="5914" width="8.5" style="231" customWidth="1"/>
    <col min="5915" max="5915" width="11.125" style="231" customWidth="1"/>
    <col min="5916" max="5916" width="4.5" style="231" customWidth="1"/>
    <col min="5917" max="5917" width="8.5" style="231" customWidth="1"/>
    <col min="5918" max="5918" width="11.125" style="231" customWidth="1"/>
    <col min="5919" max="5919" width="4.5" style="231" customWidth="1"/>
    <col min="5920" max="5920" width="8.5" style="231" customWidth="1"/>
    <col min="5921" max="5921" width="11.125" style="231" customWidth="1"/>
    <col min="5922" max="5922" width="33" style="231" customWidth="1"/>
    <col min="5923" max="6125" width="9" style="231"/>
    <col min="6126" max="6126" width="1.5" style="231" customWidth="1"/>
    <col min="6127" max="6127" width="3.125" style="231" customWidth="1"/>
    <col min="6128" max="6128" width="9.625" style="231" customWidth="1"/>
    <col min="6129" max="6129" width="18.125" style="231" customWidth="1"/>
    <col min="6130" max="6131" width="10.25" style="231" customWidth="1"/>
    <col min="6132" max="6132" width="8.5" style="231" customWidth="1"/>
    <col min="6133" max="6133" width="8.875" style="231" bestFit="1" customWidth="1"/>
    <col min="6134" max="6135" width="6.75" style="231" customWidth="1"/>
    <col min="6136" max="6136" width="3.5" style="231" customWidth="1"/>
    <col min="6137" max="6137" width="8.5" style="231" customWidth="1"/>
    <col min="6138" max="6138" width="13.25" style="231" customWidth="1"/>
    <col min="6139" max="6139" width="4.5" style="231" customWidth="1"/>
    <col min="6140" max="6140" width="8.5" style="231" customWidth="1"/>
    <col min="6141" max="6141" width="12" style="231" customWidth="1"/>
    <col min="6142" max="6142" width="4.5" style="231" customWidth="1"/>
    <col min="6143" max="6143" width="8.5" style="231" customWidth="1"/>
    <col min="6144" max="6144" width="11" style="231" customWidth="1"/>
    <col min="6145" max="6145" width="4.5" style="231" customWidth="1"/>
    <col min="6146" max="6146" width="8.5" style="231" customWidth="1"/>
    <col min="6147" max="6147" width="11.125" style="231" customWidth="1"/>
    <col min="6148" max="6148" width="4.5" style="231" customWidth="1"/>
    <col min="6149" max="6149" width="8.5" style="231" customWidth="1"/>
    <col min="6150" max="6150" width="11.125" style="231" customWidth="1"/>
    <col min="6151" max="6151" width="4.5" style="231" customWidth="1"/>
    <col min="6152" max="6152" width="8.5" style="231" customWidth="1"/>
    <col min="6153" max="6153" width="11.125" style="231" customWidth="1"/>
    <col min="6154" max="6154" width="4.5" style="231" customWidth="1"/>
    <col min="6155" max="6155" width="8.5" style="231" customWidth="1"/>
    <col min="6156" max="6156" width="11.125" style="231" customWidth="1"/>
    <col min="6157" max="6157" width="4.5" style="231" customWidth="1"/>
    <col min="6158" max="6158" width="8.5" style="231" customWidth="1"/>
    <col min="6159" max="6159" width="11.125" style="231" customWidth="1"/>
    <col min="6160" max="6160" width="4.5" style="231" customWidth="1"/>
    <col min="6161" max="6161" width="8.5" style="231" customWidth="1"/>
    <col min="6162" max="6162" width="11.125" style="231" customWidth="1"/>
    <col min="6163" max="6163" width="4.5" style="231" customWidth="1"/>
    <col min="6164" max="6164" width="8.5" style="231" customWidth="1"/>
    <col min="6165" max="6165" width="11.125" style="231" customWidth="1"/>
    <col min="6166" max="6166" width="4.5" style="231" customWidth="1"/>
    <col min="6167" max="6167" width="8.5" style="231" customWidth="1"/>
    <col min="6168" max="6168" width="11.125" style="231" customWidth="1"/>
    <col min="6169" max="6169" width="4.5" style="231" customWidth="1"/>
    <col min="6170" max="6170" width="8.5" style="231" customWidth="1"/>
    <col min="6171" max="6171" width="11.125" style="231" customWidth="1"/>
    <col min="6172" max="6172" width="4.5" style="231" customWidth="1"/>
    <col min="6173" max="6173" width="8.5" style="231" customWidth="1"/>
    <col min="6174" max="6174" width="11.125" style="231" customWidth="1"/>
    <col min="6175" max="6175" width="4.5" style="231" customWidth="1"/>
    <col min="6176" max="6176" width="8.5" style="231" customWidth="1"/>
    <col min="6177" max="6177" width="11.125" style="231" customWidth="1"/>
    <col min="6178" max="6178" width="33" style="231" customWidth="1"/>
    <col min="6179" max="6381" width="9" style="231"/>
    <col min="6382" max="6382" width="1.5" style="231" customWidth="1"/>
    <col min="6383" max="6383" width="3.125" style="231" customWidth="1"/>
    <col min="6384" max="6384" width="9.625" style="231" customWidth="1"/>
    <col min="6385" max="6385" width="18.125" style="231" customWidth="1"/>
    <col min="6386" max="6387" width="10.25" style="231" customWidth="1"/>
    <col min="6388" max="6388" width="8.5" style="231" customWidth="1"/>
    <col min="6389" max="6389" width="8.875" style="231" bestFit="1" customWidth="1"/>
    <col min="6390" max="6391" width="6.75" style="231" customWidth="1"/>
    <col min="6392" max="6392" width="3.5" style="231" customWidth="1"/>
    <col min="6393" max="6393" width="8.5" style="231" customWidth="1"/>
    <col min="6394" max="6394" width="13.25" style="231" customWidth="1"/>
    <col min="6395" max="6395" width="4.5" style="231" customWidth="1"/>
    <col min="6396" max="6396" width="8.5" style="231" customWidth="1"/>
    <col min="6397" max="6397" width="12" style="231" customWidth="1"/>
    <col min="6398" max="6398" width="4.5" style="231" customWidth="1"/>
    <col min="6399" max="6399" width="8.5" style="231" customWidth="1"/>
    <col min="6400" max="6400" width="11" style="231" customWidth="1"/>
    <col min="6401" max="6401" width="4.5" style="231" customWidth="1"/>
    <col min="6402" max="6402" width="8.5" style="231" customWidth="1"/>
    <col min="6403" max="6403" width="11.125" style="231" customWidth="1"/>
    <col min="6404" max="6404" width="4.5" style="231" customWidth="1"/>
    <col min="6405" max="6405" width="8.5" style="231" customWidth="1"/>
    <col min="6406" max="6406" width="11.125" style="231" customWidth="1"/>
    <col min="6407" max="6407" width="4.5" style="231" customWidth="1"/>
    <col min="6408" max="6408" width="8.5" style="231" customWidth="1"/>
    <col min="6409" max="6409" width="11.125" style="231" customWidth="1"/>
    <col min="6410" max="6410" width="4.5" style="231" customWidth="1"/>
    <col min="6411" max="6411" width="8.5" style="231" customWidth="1"/>
    <col min="6412" max="6412" width="11.125" style="231" customWidth="1"/>
    <col min="6413" max="6413" width="4.5" style="231" customWidth="1"/>
    <col min="6414" max="6414" width="8.5" style="231" customWidth="1"/>
    <col min="6415" max="6415" width="11.125" style="231" customWidth="1"/>
    <col min="6416" max="6416" width="4.5" style="231" customWidth="1"/>
    <col min="6417" max="6417" width="8.5" style="231" customWidth="1"/>
    <col min="6418" max="6418" width="11.125" style="231" customWidth="1"/>
    <col min="6419" max="6419" width="4.5" style="231" customWidth="1"/>
    <col min="6420" max="6420" width="8.5" style="231" customWidth="1"/>
    <col min="6421" max="6421" width="11.125" style="231" customWidth="1"/>
    <col min="6422" max="6422" width="4.5" style="231" customWidth="1"/>
    <col min="6423" max="6423" width="8.5" style="231" customWidth="1"/>
    <col min="6424" max="6424" width="11.125" style="231" customWidth="1"/>
    <col min="6425" max="6425" width="4.5" style="231" customWidth="1"/>
    <col min="6426" max="6426" width="8.5" style="231" customWidth="1"/>
    <col min="6427" max="6427" width="11.125" style="231" customWidth="1"/>
    <col min="6428" max="6428" width="4.5" style="231" customWidth="1"/>
    <col min="6429" max="6429" width="8.5" style="231" customWidth="1"/>
    <col min="6430" max="6430" width="11.125" style="231" customWidth="1"/>
    <col min="6431" max="6431" width="4.5" style="231" customWidth="1"/>
    <col min="6432" max="6432" width="8.5" style="231" customWidth="1"/>
    <col min="6433" max="6433" width="11.125" style="231" customWidth="1"/>
    <col min="6434" max="6434" width="33" style="231" customWidth="1"/>
    <col min="6435" max="6637" width="9" style="231"/>
    <col min="6638" max="6638" width="1.5" style="231" customWidth="1"/>
    <col min="6639" max="6639" width="3.125" style="231" customWidth="1"/>
    <col min="6640" max="6640" width="9.625" style="231" customWidth="1"/>
    <col min="6641" max="6641" width="18.125" style="231" customWidth="1"/>
    <col min="6642" max="6643" width="10.25" style="231" customWidth="1"/>
    <col min="6644" max="6644" width="8.5" style="231" customWidth="1"/>
    <col min="6645" max="6645" width="8.875" style="231" bestFit="1" customWidth="1"/>
    <col min="6646" max="6647" width="6.75" style="231" customWidth="1"/>
    <col min="6648" max="6648" width="3.5" style="231" customWidth="1"/>
    <col min="6649" max="6649" width="8.5" style="231" customWidth="1"/>
    <col min="6650" max="6650" width="13.25" style="231" customWidth="1"/>
    <col min="6651" max="6651" width="4.5" style="231" customWidth="1"/>
    <col min="6652" max="6652" width="8.5" style="231" customWidth="1"/>
    <col min="6653" max="6653" width="12" style="231" customWidth="1"/>
    <col min="6654" max="6654" width="4.5" style="231" customWidth="1"/>
    <col min="6655" max="6655" width="8.5" style="231" customWidth="1"/>
    <col min="6656" max="6656" width="11" style="231" customWidth="1"/>
    <col min="6657" max="6657" width="4.5" style="231" customWidth="1"/>
    <col min="6658" max="6658" width="8.5" style="231" customWidth="1"/>
    <col min="6659" max="6659" width="11.125" style="231" customWidth="1"/>
    <col min="6660" max="6660" width="4.5" style="231" customWidth="1"/>
    <col min="6661" max="6661" width="8.5" style="231" customWidth="1"/>
    <col min="6662" max="6662" width="11.125" style="231" customWidth="1"/>
    <col min="6663" max="6663" width="4.5" style="231" customWidth="1"/>
    <col min="6664" max="6664" width="8.5" style="231" customWidth="1"/>
    <col min="6665" max="6665" width="11.125" style="231" customWidth="1"/>
    <col min="6666" max="6666" width="4.5" style="231" customWidth="1"/>
    <col min="6667" max="6667" width="8.5" style="231" customWidth="1"/>
    <col min="6668" max="6668" width="11.125" style="231" customWidth="1"/>
    <col min="6669" max="6669" width="4.5" style="231" customWidth="1"/>
    <col min="6670" max="6670" width="8.5" style="231" customWidth="1"/>
    <col min="6671" max="6671" width="11.125" style="231" customWidth="1"/>
    <col min="6672" max="6672" width="4.5" style="231" customWidth="1"/>
    <col min="6673" max="6673" width="8.5" style="231" customWidth="1"/>
    <col min="6674" max="6674" width="11.125" style="231" customWidth="1"/>
    <col min="6675" max="6675" width="4.5" style="231" customWidth="1"/>
    <col min="6676" max="6676" width="8.5" style="231" customWidth="1"/>
    <col min="6677" max="6677" width="11.125" style="231" customWidth="1"/>
    <col min="6678" max="6678" width="4.5" style="231" customWidth="1"/>
    <col min="6679" max="6679" width="8.5" style="231" customWidth="1"/>
    <col min="6680" max="6680" width="11.125" style="231" customWidth="1"/>
    <col min="6681" max="6681" width="4.5" style="231" customWidth="1"/>
    <col min="6682" max="6682" width="8.5" style="231" customWidth="1"/>
    <col min="6683" max="6683" width="11.125" style="231" customWidth="1"/>
    <col min="6684" max="6684" width="4.5" style="231" customWidth="1"/>
    <col min="6685" max="6685" width="8.5" style="231" customWidth="1"/>
    <col min="6686" max="6686" width="11.125" style="231" customWidth="1"/>
    <col min="6687" max="6687" width="4.5" style="231" customWidth="1"/>
    <col min="6688" max="6688" width="8.5" style="231" customWidth="1"/>
    <col min="6689" max="6689" width="11.125" style="231" customWidth="1"/>
    <col min="6690" max="6690" width="33" style="231" customWidth="1"/>
    <col min="6691" max="6893" width="9" style="231"/>
    <col min="6894" max="6894" width="1.5" style="231" customWidth="1"/>
    <col min="6895" max="6895" width="3.125" style="231" customWidth="1"/>
    <col min="6896" max="6896" width="9.625" style="231" customWidth="1"/>
    <col min="6897" max="6897" width="18.125" style="231" customWidth="1"/>
    <col min="6898" max="6899" width="10.25" style="231" customWidth="1"/>
    <col min="6900" max="6900" width="8.5" style="231" customWidth="1"/>
    <col min="6901" max="6901" width="8.875" style="231" bestFit="1" customWidth="1"/>
    <col min="6902" max="6903" width="6.75" style="231" customWidth="1"/>
    <col min="6904" max="6904" width="3.5" style="231" customWidth="1"/>
    <col min="6905" max="6905" width="8.5" style="231" customWidth="1"/>
    <col min="6906" max="6906" width="13.25" style="231" customWidth="1"/>
    <col min="6907" max="6907" width="4.5" style="231" customWidth="1"/>
    <col min="6908" max="6908" width="8.5" style="231" customWidth="1"/>
    <col min="6909" max="6909" width="12" style="231" customWidth="1"/>
    <col min="6910" max="6910" width="4.5" style="231" customWidth="1"/>
    <col min="6911" max="6911" width="8.5" style="231" customWidth="1"/>
    <col min="6912" max="6912" width="11" style="231" customWidth="1"/>
    <col min="6913" max="6913" width="4.5" style="231" customWidth="1"/>
    <col min="6914" max="6914" width="8.5" style="231" customWidth="1"/>
    <col min="6915" max="6915" width="11.125" style="231" customWidth="1"/>
    <col min="6916" max="6916" width="4.5" style="231" customWidth="1"/>
    <col min="6917" max="6917" width="8.5" style="231" customWidth="1"/>
    <col min="6918" max="6918" width="11.125" style="231" customWidth="1"/>
    <col min="6919" max="6919" width="4.5" style="231" customWidth="1"/>
    <col min="6920" max="6920" width="8.5" style="231" customWidth="1"/>
    <col min="6921" max="6921" width="11.125" style="231" customWidth="1"/>
    <col min="6922" max="6922" width="4.5" style="231" customWidth="1"/>
    <col min="6923" max="6923" width="8.5" style="231" customWidth="1"/>
    <col min="6924" max="6924" width="11.125" style="231" customWidth="1"/>
    <col min="6925" max="6925" width="4.5" style="231" customWidth="1"/>
    <col min="6926" max="6926" width="8.5" style="231" customWidth="1"/>
    <col min="6927" max="6927" width="11.125" style="231" customWidth="1"/>
    <col min="6928" max="6928" width="4.5" style="231" customWidth="1"/>
    <col min="6929" max="6929" width="8.5" style="231" customWidth="1"/>
    <col min="6930" max="6930" width="11.125" style="231" customWidth="1"/>
    <col min="6931" max="6931" width="4.5" style="231" customWidth="1"/>
    <col min="6932" max="6932" width="8.5" style="231" customWidth="1"/>
    <col min="6933" max="6933" width="11.125" style="231" customWidth="1"/>
    <col min="6934" max="6934" width="4.5" style="231" customWidth="1"/>
    <col min="6935" max="6935" width="8.5" style="231" customWidth="1"/>
    <col min="6936" max="6936" width="11.125" style="231" customWidth="1"/>
    <col min="6937" max="6937" width="4.5" style="231" customWidth="1"/>
    <col min="6938" max="6938" width="8.5" style="231" customWidth="1"/>
    <col min="6939" max="6939" width="11.125" style="231" customWidth="1"/>
    <col min="6940" max="6940" width="4.5" style="231" customWidth="1"/>
    <col min="6941" max="6941" width="8.5" style="231" customWidth="1"/>
    <col min="6942" max="6942" width="11.125" style="231" customWidth="1"/>
    <col min="6943" max="6943" width="4.5" style="231" customWidth="1"/>
    <col min="6944" max="6944" width="8.5" style="231" customWidth="1"/>
    <col min="6945" max="6945" width="11.125" style="231" customWidth="1"/>
    <col min="6946" max="6946" width="33" style="231" customWidth="1"/>
    <col min="6947" max="7149" width="9" style="231"/>
    <col min="7150" max="7150" width="1.5" style="231" customWidth="1"/>
    <col min="7151" max="7151" width="3.125" style="231" customWidth="1"/>
    <col min="7152" max="7152" width="9.625" style="231" customWidth="1"/>
    <col min="7153" max="7153" width="18.125" style="231" customWidth="1"/>
    <col min="7154" max="7155" width="10.25" style="231" customWidth="1"/>
    <col min="7156" max="7156" width="8.5" style="231" customWidth="1"/>
    <col min="7157" max="7157" width="8.875" style="231" bestFit="1" customWidth="1"/>
    <col min="7158" max="7159" width="6.75" style="231" customWidth="1"/>
    <col min="7160" max="7160" width="3.5" style="231" customWidth="1"/>
    <col min="7161" max="7161" width="8.5" style="231" customWidth="1"/>
    <col min="7162" max="7162" width="13.25" style="231" customWidth="1"/>
    <col min="7163" max="7163" width="4.5" style="231" customWidth="1"/>
    <col min="7164" max="7164" width="8.5" style="231" customWidth="1"/>
    <col min="7165" max="7165" width="12" style="231" customWidth="1"/>
    <col min="7166" max="7166" width="4.5" style="231" customWidth="1"/>
    <col min="7167" max="7167" width="8.5" style="231" customWidth="1"/>
    <col min="7168" max="7168" width="11" style="231" customWidth="1"/>
    <col min="7169" max="7169" width="4.5" style="231" customWidth="1"/>
    <col min="7170" max="7170" width="8.5" style="231" customWidth="1"/>
    <col min="7171" max="7171" width="11.125" style="231" customWidth="1"/>
    <col min="7172" max="7172" width="4.5" style="231" customWidth="1"/>
    <col min="7173" max="7173" width="8.5" style="231" customWidth="1"/>
    <col min="7174" max="7174" width="11.125" style="231" customWidth="1"/>
    <col min="7175" max="7175" width="4.5" style="231" customWidth="1"/>
    <col min="7176" max="7176" width="8.5" style="231" customWidth="1"/>
    <col min="7177" max="7177" width="11.125" style="231" customWidth="1"/>
    <col min="7178" max="7178" width="4.5" style="231" customWidth="1"/>
    <col min="7179" max="7179" width="8.5" style="231" customWidth="1"/>
    <col min="7180" max="7180" width="11.125" style="231" customWidth="1"/>
    <col min="7181" max="7181" width="4.5" style="231" customWidth="1"/>
    <col min="7182" max="7182" width="8.5" style="231" customWidth="1"/>
    <col min="7183" max="7183" width="11.125" style="231" customWidth="1"/>
    <col min="7184" max="7184" width="4.5" style="231" customWidth="1"/>
    <col min="7185" max="7185" width="8.5" style="231" customWidth="1"/>
    <col min="7186" max="7186" width="11.125" style="231" customWidth="1"/>
    <col min="7187" max="7187" width="4.5" style="231" customWidth="1"/>
    <col min="7188" max="7188" width="8.5" style="231" customWidth="1"/>
    <col min="7189" max="7189" width="11.125" style="231" customWidth="1"/>
    <col min="7190" max="7190" width="4.5" style="231" customWidth="1"/>
    <col min="7191" max="7191" width="8.5" style="231" customWidth="1"/>
    <col min="7192" max="7192" width="11.125" style="231" customWidth="1"/>
    <col min="7193" max="7193" width="4.5" style="231" customWidth="1"/>
    <col min="7194" max="7194" width="8.5" style="231" customWidth="1"/>
    <col min="7195" max="7195" width="11.125" style="231" customWidth="1"/>
    <col min="7196" max="7196" width="4.5" style="231" customWidth="1"/>
    <col min="7197" max="7197" width="8.5" style="231" customWidth="1"/>
    <col min="7198" max="7198" width="11.125" style="231" customWidth="1"/>
    <col min="7199" max="7199" width="4.5" style="231" customWidth="1"/>
    <col min="7200" max="7200" width="8.5" style="231" customWidth="1"/>
    <col min="7201" max="7201" width="11.125" style="231" customWidth="1"/>
    <col min="7202" max="7202" width="33" style="231" customWidth="1"/>
    <col min="7203" max="7405" width="9" style="231"/>
    <col min="7406" max="7406" width="1.5" style="231" customWidth="1"/>
    <col min="7407" max="7407" width="3.125" style="231" customWidth="1"/>
    <col min="7408" max="7408" width="9.625" style="231" customWidth="1"/>
    <col min="7409" max="7409" width="18.125" style="231" customWidth="1"/>
    <col min="7410" max="7411" width="10.25" style="231" customWidth="1"/>
    <col min="7412" max="7412" width="8.5" style="231" customWidth="1"/>
    <col min="7413" max="7413" width="8.875" style="231" bestFit="1" customWidth="1"/>
    <col min="7414" max="7415" width="6.75" style="231" customWidth="1"/>
    <col min="7416" max="7416" width="3.5" style="231" customWidth="1"/>
    <col min="7417" max="7417" width="8.5" style="231" customWidth="1"/>
    <col min="7418" max="7418" width="13.25" style="231" customWidth="1"/>
    <col min="7419" max="7419" width="4.5" style="231" customWidth="1"/>
    <col min="7420" max="7420" width="8.5" style="231" customWidth="1"/>
    <col min="7421" max="7421" width="12" style="231" customWidth="1"/>
    <col min="7422" max="7422" width="4.5" style="231" customWidth="1"/>
    <col min="7423" max="7423" width="8.5" style="231" customWidth="1"/>
    <col min="7424" max="7424" width="11" style="231" customWidth="1"/>
    <col min="7425" max="7425" width="4.5" style="231" customWidth="1"/>
    <col min="7426" max="7426" width="8.5" style="231" customWidth="1"/>
    <col min="7427" max="7427" width="11.125" style="231" customWidth="1"/>
    <col min="7428" max="7428" width="4.5" style="231" customWidth="1"/>
    <col min="7429" max="7429" width="8.5" style="231" customWidth="1"/>
    <col min="7430" max="7430" width="11.125" style="231" customWidth="1"/>
    <col min="7431" max="7431" width="4.5" style="231" customWidth="1"/>
    <col min="7432" max="7432" width="8.5" style="231" customWidth="1"/>
    <col min="7433" max="7433" width="11.125" style="231" customWidth="1"/>
    <col min="7434" max="7434" width="4.5" style="231" customWidth="1"/>
    <col min="7435" max="7435" width="8.5" style="231" customWidth="1"/>
    <col min="7436" max="7436" width="11.125" style="231" customWidth="1"/>
    <col min="7437" max="7437" width="4.5" style="231" customWidth="1"/>
    <col min="7438" max="7438" width="8.5" style="231" customWidth="1"/>
    <col min="7439" max="7439" width="11.125" style="231" customWidth="1"/>
    <col min="7440" max="7440" width="4.5" style="231" customWidth="1"/>
    <col min="7441" max="7441" width="8.5" style="231" customWidth="1"/>
    <col min="7442" max="7442" width="11.125" style="231" customWidth="1"/>
    <col min="7443" max="7443" width="4.5" style="231" customWidth="1"/>
    <col min="7444" max="7444" width="8.5" style="231" customWidth="1"/>
    <col min="7445" max="7445" width="11.125" style="231" customWidth="1"/>
    <col min="7446" max="7446" width="4.5" style="231" customWidth="1"/>
    <col min="7447" max="7447" width="8.5" style="231" customWidth="1"/>
    <col min="7448" max="7448" width="11.125" style="231" customWidth="1"/>
    <col min="7449" max="7449" width="4.5" style="231" customWidth="1"/>
    <col min="7450" max="7450" width="8.5" style="231" customWidth="1"/>
    <col min="7451" max="7451" width="11.125" style="231" customWidth="1"/>
    <col min="7452" max="7452" width="4.5" style="231" customWidth="1"/>
    <col min="7453" max="7453" width="8.5" style="231" customWidth="1"/>
    <col min="7454" max="7454" width="11.125" style="231" customWidth="1"/>
    <col min="7455" max="7455" width="4.5" style="231" customWidth="1"/>
    <col min="7456" max="7456" width="8.5" style="231" customWidth="1"/>
    <col min="7457" max="7457" width="11.125" style="231" customWidth="1"/>
    <col min="7458" max="7458" width="33" style="231" customWidth="1"/>
    <col min="7459" max="7661" width="9" style="231"/>
    <col min="7662" max="7662" width="1.5" style="231" customWidth="1"/>
    <col min="7663" max="7663" width="3.125" style="231" customWidth="1"/>
    <col min="7664" max="7664" width="9.625" style="231" customWidth="1"/>
    <col min="7665" max="7665" width="18.125" style="231" customWidth="1"/>
    <col min="7666" max="7667" width="10.25" style="231" customWidth="1"/>
    <col min="7668" max="7668" width="8.5" style="231" customWidth="1"/>
    <col min="7669" max="7669" width="8.875" style="231" bestFit="1" customWidth="1"/>
    <col min="7670" max="7671" width="6.75" style="231" customWidth="1"/>
    <col min="7672" max="7672" width="3.5" style="231" customWidth="1"/>
    <col min="7673" max="7673" width="8.5" style="231" customWidth="1"/>
    <col min="7674" max="7674" width="13.25" style="231" customWidth="1"/>
    <col min="7675" max="7675" width="4.5" style="231" customWidth="1"/>
    <col min="7676" max="7676" width="8.5" style="231" customWidth="1"/>
    <col min="7677" max="7677" width="12" style="231" customWidth="1"/>
    <col min="7678" max="7678" width="4.5" style="231" customWidth="1"/>
    <col min="7679" max="7679" width="8.5" style="231" customWidth="1"/>
    <col min="7680" max="7680" width="11" style="231" customWidth="1"/>
    <col min="7681" max="7681" width="4.5" style="231" customWidth="1"/>
    <col min="7682" max="7682" width="8.5" style="231" customWidth="1"/>
    <col min="7683" max="7683" width="11.125" style="231" customWidth="1"/>
    <col min="7684" max="7684" width="4.5" style="231" customWidth="1"/>
    <col min="7685" max="7685" width="8.5" style="231" customWidth="1"/>
    <col min="7686" max="7686" width="11.125" style="231" customWidth="1"/>
    <col min="7687" max="7687" width="4.5" style="231" customWidth="1"/>
    <col min="7688" max="7688" width="8.5" style="231" customWidth="1"/>
    <col min="7689" max="7689" width="11.125" style="231" customWidth="1"/>
    <col min="7690" max="7690" width="4.5" style="231" customWidth="1"/>
    <col min="7691" max="7691" width="8.5" style="231" customWidth="1"/>
    <col min="7692" max="7692" width="11.125" style="231" customWidth="1"/>
    <col min="7693" max="7693" width="4.5" style="231" customWidth="1"/>
    <col min="7694" max="7694" width="8.5" style="231" customWidth="1"/>
    <col min="7695" max="7695" width="11.125" style="231" customWidth="1"/>
    <col min="7696" max="7696" width="4.5" style="231" customWidth="1"/>
    <col min="7697" max="7697" width="8.5" style="231" customWidth="1"/>
    <col min="7698" max="7698" width="11.125" style="231" customWidth="1"/>
    <col min="7699" max="7699" width="4.5" style="231" customWidth="1"/>
    <col min="7700" max="7700" width="8.5" style="231" customWidth="1"/>
    <col min="7701" max="7701" width="11.125" style="231" customWidth="1"/>
    <col min="7702" max="7702" width="4.5" style="231" customWidth="1"/>
    <col min="7703" max="7703" width="8.5" style="231" customWidth="1"/>
    <col min="7704" max="7704" width="11.125" style="231" customWidth="1"/>
    <col min="7705" max="7705" width="4.5" style="231" customWidth="1"/>
    <col min="7706" max="7706" width="8.5" style="231" customWidth="1"/>
    <col min="7707" max="7707" width="11.125" style="231" customWidth="1"/>
    <col min="7708" max="7708" width="4.5" style="231" customWidth="1"/>
    <col min="7709" max="7709" width="8.5" style="231" customWidth="1"/>
    <col min="7710" max="7710" width="11.125" style="231" customWidth="1"/>
    <col min="7711" max="7711" width="4.5" style="231" customWidth="1"/>
    <col min="7712" max="7712" width="8.5" style="231" customWidth="1"/>
    <col min="7713" max="7713" width="11.125" style="231" customWidth="1"/>
    <col min="7714" max="7714" width="33" style="231" customWidth="1"/>
    <col min="7715" max="7917" width="9" style="231"/>
    <col min="7918" max="7918" width="1.5" style="231" customWidth="1"/>
    <col min="7919" max="7919" width="3.125" style="231" customWidth="1"/>
    <col min="7920" max="7920" width="9.625" style="231" customWidth="1"/>
    <col min="7921" max="7921" width="18.125" style="231" customWidth="1"/>
    <col min="7922" max="7923" width="10.25" style="231" customWidth="1"/>
    <col min="7924" max="7924" width="8.5" style="231" customWidth="1"/>
    <col min="7925" max="7925" width="8.875" style="231" bestFit="1" customWidth="1"/>
    <col min="7926" max="7927" width="6.75" style="231" customWidth="1"/>
    <col min="7928" max="7928" width="3.5" style="231" customWidth="1"/>
    <col min="7929" max="7929" width="8.5" style="231" customWidth="1"/>
    <col min="7930" max="7930" width="13.25" style="231" customWidth="1"/>
    <col min="7931" max="7931" width="4.5" style="231" customWidth="1"/>
    <col min="7932" max="7932" width="8.5" style="231" customWidth="1"/>
    <col min="7933" max="7933" width="12" style="231" customWidth="1"/>
    <col min="7934" max="7934" width="4.5" style="231" customWidth="1"/>
    <col min="7935" max="7935" width="8.5" style="231" customWidth="1"/>
    <col min="7936" max="7936" width="11" style="231" customWidth="1"/>
    <col min="7937" max="7937" width="4.5" style="231" customWidth="1"/>
    <col min="7938" max="7938" width="8.5" style="231" customWidth="1"/>
    <col min="7939" max="7939" width="11.125" style="231" customWidth="1"/>
    <col min="7940" max="7940" width="4.5" style="231" customWidth="1"/>
    <col min="7941" max="7941" width="8.5" style="231" customWidth="1"/>
    <col min="7942" max="7942" width="11.125" style="231" customWidth="1"/>
    <col min="7943" max="7943" width="4.5" style="231" customWidth="1"/>
    <col min="7944" max="7944" width="8.5" style="231" customWidth="1"/>
    <col min="7945" max="7945" width="11.125" style="231" customWidth="1"/>
    <col min="7946" max="7946" width="4.5" style="231" customWidth="1"/>
    <col min="7947" max="7947" width="8.5" style="231" customWidth="1"/>
    <col min="7948" max="7948" width="11.125" style="231" customWidth="1"/>
    <col min="7949" max="7949" width="4.5" style="231" customWidth="1"/>
    <col min="7950" max="7950" width="8.5" style="231" customWidth="1"/>
    <col min="7951" max="7951" width="11.125" style="231" customWidth="1"/>
    <col min="7952" max="7952" width="4.5" style="231" customWidth="1"/>
    <col min="7953" max="7953" width="8.5" style="231" customWidth="1"/>
    <col min="7954" max="7954" width="11.125" style="231" customWidth="1"/>
    <col min="7955" max="7955" width="4.5" style="231" customWidth="1"/>
    <col min="7956" max="7956" width="8.5" style="231" customWidth="1"/>
    <col min="7957" max="7957" width="11.125" style="231" customWidth="1"/>
    <col min="7958" max="7958" width="4.5" style="231" customWidth="1"/>
    <col min="7959" max="7959" width="8.5" style="231" customWidth="1"/>
    <col min="7960" max="7960" width="11.125" style="231" customWidth="1"/>
    <col min="7961" max="7961" width="4.5" style="231" customWidth="1"/>
    <col min="7962" max="7962" width="8.5" style="231" customWidth="1"/>
    <col min="7963" max="7963" width="11.125" style="231" customWidth="1"/>
    <col min="7964" max="7964" width="4.5" style="231" customWidth="1"/>
    <col min="7965" max="7965" width="8.5" style="231" customWidth="1"/>
    <col min="7966" max="7966" width="11.125" style="231" customWidth="1"/>
    <col min="7967" max="7967" width="4.5" style="231" customWidth="1"/>
    <col min="7968" max="7968" width="8.5" style="231" customWidth="1"/>
    <col min="7969" max="7969" width="11.125" style="231" customWidth="1"/>
    <col min="7970" max="7970" width="33" style="231" customWidth="1"/>
    <col min="7971" max="8173" width="9" style="231"/>
    <col min="8174" max="8174" width="1.5" style="231" customWidth="1"/>
    <col min="8175" max="8175" width="3.125" style="231" customWidth="1"/>
    <col min="8176" max="8176" width="9.625" style="231" customWidth="1"/>
    <col min="8177" max="8177" width="18.125" style="231" customWidth="1"/>
    <col min="8178" max="8179" width="10.25" style="231" customWidth="1"/>
    <col min="8180" max="8180" width="8.5" style="231" customWidth="1"/>
    <col min="8181" max="8181" width="8.875" style="231" bestFit="1" customWidth="1"/>
    <col min="8182" max="8183" width="6.75" style="231" customWidth="1"/>
    <col min="8184" max="8184" width="3.5" style="231" customWidth="1"/>
    <col min="8185" max="8185" width="8.5" style="231" customWidth="1"/>
    <col min="8186" max="8186" width="13.25" style="231" customWidth="1"/>
    <col min="8187" max="8187" width="4.5" style="231" customWidth="1"/>
    <col min="8188" max="8188" width="8.5" style="231" customWidth="1"/>
    <col min="8189" max="8189" width="12" style="231" customWidth="1"/>
    <col min="8190" max="8190" width="4.5" style="231" customWidth="1"/>
    <col min="8191" max="8191" width="8.5" style="231" customWidth="1"/>
    <col min="8192" max="8192" width="11" style="231" customWidth="1"/>
    <col min="8193" max="8193" width="4.5" style="231" customWidth="1"/>
    <col min="8194" max="8194" width="8.5" style="231" customWidth="1"/>
    <col min="8195" max="8195" width="11.125" style="231" customWidth="1"/>
    <col min="8196" max="8196" width="4.5" style="231" customWidth="1"/>
    <col min="8197" max="8197" width="8.5" style="231" customWidth="1"/>
    <col min="8198" max="8198" width="11.125" style="231" customWidth="1"/>
    <col min="8199" max="8199" width="4.5" style="231" customWidth="1"/>
    <col min="8200" max="8200" width="8.5" style="231" customWidth="1"/>
    <col min="8201" max="8201" width="11.125" style="231" customWidth="1"/>
    <col min="8202" max="8202" width="4.5" style="231" customWidth="1"/>
    <col min="8203" max="8203" width="8.5" style="231" customWidth="1"/>
    <col min="8204" max="8204" width="11.125" style="231" customWidth="1"/>
    <col min="8205" max="8205" width="4.5" style="231" customWidth="1"/>
    <col min="8206" max="8206" width="8.5" style="231" customWidth="1"/>
    <col min="8207" max="8207" width="11.125" style="231" customWidth="1"/>
    <col min="8208" max="8208" width="4.5" style="231" customWidth="1"/>
    <col min="8209" max="8209" width="8.5" style="231" customWidth="1"/>
    <col min="8210" max="8210" width="11.125" style="231" customWidth="1"/>
    <col min="8211" max="8211" width="4.5" style="231" customWidth="1"/>
    <col min="8212" max="8212" width="8.5" style="231" customWidth="1"/>
    <col min="8213" max="8213" width="11.125" style="231" customWidth="1"/>
    <col min="8214" max="8214" width="4.5" style="231" customWidth="1"/>
    <col min="8215" max="8215" width="8.5" style="231" customWidth="1"/>
    <col min="8216" max="8216" width="11.125" style="231" customWidth="1"/>
    <col min="8217" max="8217" width="4.5" style="231" customWidth="1"/>
    <col min="8218" max="8218" width="8.5" style="231" customWidth="1"/>
    <col min="8219" max="8219" width="11.125" style="231" customWidth="1"/>
    <col min="8220" max="8220" width="4.5" style="231" customWidth="1"/>
    <col min="8221" max="8221" width="8.5" style="231" customWidth="1"/>
    <col min="8222" max="8222" width="11.125" style="231" customWidth="1"/>
    <col min="8223" max="8223" width="4.5" style="231" customWidth="1"/>
    <col min="8224" max="8224" width="8.5" style="231" customWidth="1"/>
    <col min="8225" max="8225" width="11.125" style="231" customWidth="1"/>
    <col min="8226" max="8226" width="33" style="231" customWidth="1"/>
    <col min="8227" max="8429" width="9" style="231"/>
    <col min="8430" max="8430" width="1.5" style="231" customWidth="1"/>
    <col min="8431" max="8431" width="3.125" style="231" customWidth="1"/>
    <col min="8432" max="8432" width="9.625" style="231" customWidth="1"/>
    <col min="8433" max="8433" width="18.125" style="231" customWidth="1"/>
    <col min="8434" max="8435" width="10.25" style="231" customWidth="1"/>
    <col min="8436" max="8436" width="8.5" style="231" customWidth="1"/>
    <col min="8437" max="8437" width="8.875" style="231" bestFit="1" customWidth="1"/>
    <col min="8438" max="8439" width="6.75" style="231" customWidth="1"/>
    <col min="8440" max="8440" width="3.5" style="231" customWidth="1"/>
    <col min="8441" max="8441" width="8.5" style="231" customWidth="1"/>
    <col min="8442" max="8442" width="13.25" style="231" customWidth="1"/>
    <col min="8443" max="8443" width="4.5" style="231" customWidth="1"/>
    <col min="8444" max="8444" width="8.5" style="231" customWidth="1"/>
    <col min="8445" max="8445" width="12" style="231" customWidth="1"/>
    <col min="8446" max="8446" width="4.5" style="231" customWidth="1"/>
    <col min="8447" max="8447" width="8.5" style="231" customWidth="1"/>
    <col min="8448" max="8448" width="11" style="231" customWidth="1"/>
    <col min="8449" max="8449" width="4.5" style="231" customWidth="1"/>
    <col min="8450" max="8450" width="8.5" style="231" customWidth="1"/>
    <col min="8451" max="8451" width="11.125" style="231" customWidth="1"/>
    <col min="8452" max="8452" width="4.5" style="231" customWidth="1"/>
    <col min="8453" max="8453" width="8.5" style="231" customWidth="1"/>
    <col min="8454" max="8454" width="11.125" style="231" customWidth="1"/>
    <col min="8455" max="8455" width="4.5" style="231" customWidth="1"/>
    <col min="8456" max="8456" width="8.5" style="231" customWidth="1"/>
    <col min="8457" max="8457" width="11.125" style="231" customWidth="1"/>
    <col min="8458" max="8458" width="4.5" style="231" customWidth="1"/>
    <col min="8459" max="8459" width="8.5" style="231" customWidth="1"/>
    <col min="8460" max="8460" width="11.125" style="231" customWidth="1"/>
    <col min="8461" max="8461" width="4.5" style="231" customWidth="1"/>
    <col min="8462" max="8462" width="8.5" style="231" customWidth="1"/>
    <col min="8463" max="8463" width="11.125" style="231" customWidth="1"/>
    <col min="8464" max="8464" width="4.5" style="231" customWidth="1"/>
    <col min="8465" max="8465" width="8.5" style="231" customWidth="1"/>
    <col min="8466" max="8466" width="11.125" style="231" customWidth="1"/>
    <col min="8467" max="8467" width="4.5" style="231" customWidth="1"/>
    <col min="8468" max="8468" width="8.5" style="231" customWidth="1"/>
    <col min="8469" max="8469" width="11.125" style="231" customWidth="1"/>
    <col min="8470" max="8470" width="4.5" style="231" customWidth="1"/>
    <col min="8471" max="8471" width="8.5" style="231" customWidth="1"/>
    <col min="8472" max="8472" width="11.125" style="231" customWidth="1"/>
    <col min="8473" max="8473" width="4.5" style="231" customWidth="1"/>
    <col min="8474" max="8474" width="8.5" style="231" customWidth="1"/>
    <col min="8475" max="8475" width="11.125" style="231" customWidth="1"/>
    <col min="8476" max="8476" width="4.5" style="231" customWidth="1"/>
    <col min="8477" max="8477" width="8.5" style="231" customWidth="1"/>
    <col min="8478" max="8478" width="11.125" style="231" customWidth="1"/>
    <col min="8479" max="8479" width="4.5" style="231" customWidth="1"/>
    <col min="8480" max="8480" width="8.5" style="231" customWidth="1"/>
    <col min="8481" max="8481" width="11.125" style="231" customWidth="1"/>
    <col min="8482" max="8482" width="33" style="231" customWidth="1"/>
    <col min="8483" max="8685" width="9" style="231"/>
    <col min="8686" max="8686" width="1.5" style="231" customWidth="1"/>
    <col min="8687" max="8687" width="3.125" style="231" customWidth="1"/>
    <col min="8688" max="8688" width="9.625" style="231" customWidth="1"/>
    <col min="8689" max="8689" width="18.125" style="231" customWidth="1"/>
    <col min="8690" max="8691" width="10.25" style="231" customWidth="1"/>
    <col min="8692" max="8692" width="8.5" style="231" customWidth="1"/>
    <col min="8693" max="8693" width="8.875" style="231" bestFit="1" customWidth="1"/>
    <col min="8694" max="8695" width="6.75" style="231" customWidth="1"/>
    <col min="8696" max="8696" width="3.5" style="231" customWidth="1"/>
    <col min="8697" max="8697" width="8.5" style="231" customWidth="1"/>
    <col min="8698" max="8698" width="13.25" style="231" customWidth="1"/>
    <col min="8699" max="8699" width="4.5" style="231" customWidth="1"/>
    <col min="8700" max="8700" width="8.5" style="231" customWidth="1"/>
    <col min="8701" max="8701" width="12" style="231" customWidth="1"/>
    <col min="8702" max="8702" width="4.5" style="231" customWidth="1"/>
    <col min="8703" max="8703" width="8.5" style="231" customWidth="1"/>
    <col min="8704" max="8704" width="11" style="231" customWidth="1"/>
    <col min="8705" max="8705" width="4.5" style="231" customWidth="1"/>
    <col min="8706" max="8706" width="8.5" style="231" customWidth="1"/>
    <col min="8707" max="8707" width="11.125" style="231" customWidth="1"/>
    <col min="8708" max="8708" width="4.5" style="231" customWidth="1"/>
    <col min="8709" max="8709" width="8.5" style="231" customWidth="1"/>
    <col min="8710" max="8710" width="11.125" style="231" customWidth="1"/>
    <col min="8711" max="8711" width="4.5" style="231" customWidth="1"/>
    <col min="8712" max="8712" width="8.5" style="231" customWidth="1"/>
    <col min="8713" max="8713" width="11.125" style="231" customWidth="1"/>
    <col min="8714" max="8714" width="4.5" style="231" customWidth="1"/>
    <col min="8715" max="8715" width="8.5" style="231" customWidth="1"/>
    <col min="8716" max="8716" width="11.125" style="231" customWidth="1"/>
    <col min="8717" max="8717" width="4.5" style="231" customWidth="1"/>
    <col min="8718" max="8718" width="8.5" style="231" customWidth="1"/>
    <col min="8719" max="8719" width="11.125" style="231" customWidth="1"/>
    <col min="8720" max="8720" width="4.5" style="231" customWidth="1"/>
    <col min="8721" max="8721" width="8.5" style="231" customWidth="1"/>
    <col min="8722" max="8722" width="11.125" style="231" customWidth="1"/>
    <col min="8723" max="8723" width="4.5" style="231" customWidth="1"/>
    <col min="8724" max="8724" width="8.5" style="231" customWidth="1"/>
    <col min="8725" max="8725" width="11.125" style="231" customWidth="1"/>
    <col min="8726" max="8726" width="4.5" style="231" customWidth="1"/>
    <col min="8727" max="8727" width="8.5" style="231" customWidth="1"/>
    <col min="8728" max="8728" width="11.125" style="231" customWidth="1"/>
    <col min="8729" max="8729" width="4.5" style="231" customWidth="1"/>
    <col min="8730" max="8730" width="8.5" style="231" customWidth="1"/>
    <col min="8731" max="8731" width="11.125" style="231" customWidth="1"/>
    <col min="8732" max="8732" width="4.5" style="231" customWidth="1"/>
    <col min="8733" max="8733" width="8.5" style="231" customWidth="1"/>
    <col min="8734" max="8734" width="11.125" style="231" customWidth="1"/>
    <col min="8735" max="8735" width="4.5" style="231" customWidth="1"/>
    <col min="8736" max="8736" width="8.5" style="231" customWidth="1"/>
    <col min="8737" max="8737" width="11.125" style="231" customWidth="1"/>
    <col min="8738" max="8738" width="33" style="231" customWidth="1"/>
    <col min="8739" max="8941" width="9" style="231"/>
    <col min="8942" max="8942" width="1.5" style="231" customWidth="1"/>
    <col min="8943" max="8943" width="3.125" style="231" customWidth="1"/>
    <col min="8944" max="8944" width="9.625" style="231" customWidth="1"/>
    <col min="8945" max="8945" width="18.125" style="231" customWidth="1"/>
    <col min="8946" max="8947" width="10.25" style="231" customWidth="1"/>
    <col min="8948" max="8948" width="8.5" style="231" customWidth="1"/>
    <col min="8949" max="8949" width="8.875" style="231" bestFit="1" customWidth="1"/>
    <col min="8950" max="8951" width="6.75" style="231" customWidth="1"/>
    <col min="8952" max="8952" width="3.5" style="231" customWidth="1"/>
    <col min="8953" max="8953" width="8.5" style="231" customWidth="1"/>
    <col min="8954" max="8954" width="13.25" style="231" customWidth="1"/>
    <col min="8955" max="8955" width="4.5" style="231" customWidth="1"/>
    <col min="8956" max="8956" width="8.5" style="231" customWidth="1"/>
    <col min="8957" max="8957" width="12" style="231" customWidth="1"/>
    <col min="8958" max="8958" width="4.5" style="231" customWidth="1"/>
    <col min="8959" max="8959" width="8.5" style="231" customWidth="1"/>
    <col min="8960" max="8960" width="11" style="231" customWidth="1"/>
    <col min="8961" max="8961" width="4.5" style="231" customWidth="1"/>
    <col min="8962" max="8962" width="8.5" style="231" customWidth="1"/>
    <col min="8963" max="8963" width="11.125" style="231" customWidth="1"/>
    <col min="8964" max="8964" width="4.5" style="231" customWidth="1"/>
    <col min="8965" max="8965" width="8.5" style="231" customWidth="1"/>
    <col min="8966" max="8966" width="11.125" style="231" customWidth="1"/>
    <col min="8967" max="8967" width="4.5" style="231" customWidth="1"/>
    <col min="8968" max="8968" width="8.5" style="231" customWidth="1"/>
    <col min="8969" max="8969" width="11.125" style="231" customWidth="1"/>
    <col min="8970" max="8970" width="4.5" style="231" customWidth="1"/>
    <col min="8971" max="8971" width="8.5" style="231" customWidth="1"/>
    <col min="8972" max="8972" width="11.125" style="231" customWidth="1"/>
    <col min="8973" max="8973" width="4.5" style="231" customWidth="1"/>
    <col min="8974" max="8974" width="8.5" style="231" customWidth="1"/>
    <col min="8975" max="8975" width="11.125" style="231" customWidth="1"/>
    <col min="8976" max="8976" width="4.5" style="231" customWidth="1"/>
    <col min="8977" max="8977" width="8.5" style="231" customWidth="1"/>
    <col min="8978" max="8978" width="11.125" style="231" customWidth="1"/>
    <col min="8979" max="8979" width="4.5" style="231" customWidth="1"/>
    <col min="8980" max="8980" width="8.5" style="231" customWidth="1"/>
    <col min="8981" max="8981" width="11.125" style="231" customWidth="1"/>
    <col min="8982" max="8982" width="4.5" style="231" customWidth="1"/>
    <col min="8983" max="8983" width="8.5" style="231" customWidth="1"/>
    <col min="8984" max="8984" width="11.125" style="231" customWidth="1"/>
    <col min="8985" max="8985" width="4.5" style="231" customWidth="1"/>
    <col min="8986" max="8986" width="8.5" style="231" customWidth="1"/>
    <col min="8987" max="8987" width="11.125" style="231" customWidth="1"/>
    <col min="8988" max="8988" width="4.5" style="231" customWidth="1"/>
    <col min="8989" max="8989" width="8.5" style="231" customWidth="1"/>
    <col min="8990" max="8990" width="11.125" style="231" customWidth="1"/>
    <col min="8991" max="8991" width="4.5" style="231" customWidth="1"/>
    <col min="8992" max="8992" width="8.5" style="231" customWidth="1"/>
    <col min="8993" max="8993" width="11.125" style="231" customWidth="1"/>
    <col min="8994" max="8994" width="33" style="231" customWidth="1"/>
    <col min="8995" max="9197" width="9" style="231"/>
    <col min="9198" max="9198" width="1.5" style="231" customWidth="1"/>
    <col min="9199" max="9199" width="3.125" style="231" customWidth="1"/>
    <col min="9200" max="9200" width="9.625" style="231" customWidth="1"/>
    <col min="9201" max="9201" width="18.125" style="231" customWidth="1"/>
    <col min="9202" max="9203" width="10.25" style="231" customWidth="1"/>
    <col min="9204" max="9204" width="8.5" style="231" customWidth="1"/>
    <col min="9205" max="9205" width="8.875" style="231" bestFit="1" customWidth="1"/>
    <col min="9206" max="9207" width="6.75" style="231" customWidth="1"/>
    <col min="9208" max="9208" width="3.5" style="231" customWidth="1"/>
    <col min="9209" max="9209" width="8.5" style="231" customWidth="1"/>
    <col min="9210" max="9210" width="13.25" style="231" customWidth="1"/>
    <col min="9211" max="9211" width="4.5" style="231" customWidth="1"/>
    <col min="9212" max="9212" width="8.5" style="231" customWidth="1"/>
    <col min="9213" max="9213" width="12" style="231" customWidth="1"/>
    <col min="9214" max="9214" width="4.5" style="231" customWidth="1"/>
    <col min="9215" max="9215" width="8.5" style="231" customWidth="1"/>
    <col min="9216" max="9216" width="11" style="231" customWidth="1"/>
    <col min="9217" max="9217" width="4.5" style="231" customWidth="1"/>
    <col min="9218" max="9218" width="8.5" style="231" customWidth="1"/>
    <col min="9219" max="9219" width="11.125" style="231" customWidth="1"/>
    <col min="9220" max="9220" width="4.5" style="231" customWidth="1"/>
    <col min="9221" max="9221" width="8.5" style="231" customWidth="1"/>
    <col min="9222" max="9222" width="11.125" style="231" customWidth="1"/>
    <col min="9223" max="9223" width="4.5" style="231" customWidth="1"/>
    <col min="9224" max="9224" width="8.5" style="231" customWidth="1"/>
    <col min="9225" max="9225" width="11.125" style="231" customWidth="1"/>
    <col min="9226" max="9226" width="4.5" style="231" customWidth="1"/>
    <col min="9227" max="9227" width="8.5" style="231" customWidth="1"/>
    <col min="9228" max="9228" width="11.125" style="231" customWidth="1"/>
    <col min="9229" max="9229" width="4.5" style="231" customWidth="1"/>
    <col min="9230" max="9230" width="8.5" style="231" customWidth="1"/>
    <col min="9231" max="9231" width="11.125" style="231" customWidth="1"/>
    <col min="9232" max="9232" width="4.5" style="231" customWidth="1"/>
    <col min="9233" max="9233" width="8.5" style="231" customWidth="1"/>
    <col min="9234" max="9234" width="11.125" style="231" customWidth="1"/>
    <col min="9235" max="9235" width="4.5" style="231" customWidth="1"/>
    <col min="9236" max="9236" width="8.5" style="231" customWidth="1"/>
    <col min="9237" max="9237" width="11.125" style="231" customWidth="1"/>
    <col min="9238" max="9238" width="4.5" style="231" customWidth="1"/>
    <col min="9239" max="9239" width="8.5" style="231" customWidth="1"/>
    <col min="9240" max="9240" width="11.125" style="231" customWidth="1"/>
    <col min="9241" max="9241" width="4.5" style="231" customWidth="1"/>
    <col min="9242" max="9242" width="8.5" style="231" customWidth="1"/>
    <col min="9243" max="9243" width="11.125" style="231" customWidth="1"/>
    <col min="9244" max="9244" width="4.5" style="231" customWidth="1"/>
    <col min="9245" max="9245" width="8.5" style="231" customWidth="1"/>
    <col min="9246" max="9246" width="11.125" style="231" customWidth="1"/>
    <col min="9247" max="9247" width="4.5" style="231" customWidth="1"/>
    <col min="9248" max="9248" width="8.5" style="231" customWidth="1"/>
    <col min="9249" max="9249" width="11.125" style="231" customWidth="1"/>
    <col min="9250" max="9250" width="33" style="231" customWidth="1"/>
    <col min="9251" max="9453" width="9" style="231"/>
    <col min="9454" max="9454" width="1.5" style="231" customWidth="1"/>
    <col min="9455" max="9455" width="3.125" style="231" customWidth="1"/>
    <col min="9456" max="9456" width="9.625" style="231" customWidth="1"/>
    <col min="9457" max="9457" width="18.125" style="231" customWidth="1"/>
    <col min="9458" max="9459" width="10.25" style="231" customWidth="1"/>
    <col min="9460" max="9460" width="8.5" style="231" customWidth="1"/>
    <col min="9461" max="9461" width="8.875" style="231" bestFit="1" customWidth="1"/>
    <col min="9462" max="9463" width="6.75" style="231" customWidth="1"/>
    <col min="9464" max="9464" width="3.5" style="231" customWidth="1"/>
    <col min="9465" max="9465" width="8.5" style="231" customWidth="1"/>
    <col min="9466" max="9466" width="13.25" style="231" customWidth="1"/>
    <col min="9467" max="9467" width="4.5" style="231" customWidth="1"/>
    <col min="9468" max="9468" width="8.5" style="231" customWidth="1"/>
    <col min="9469" max="9469" width="12" style="231" customWidth="1"/>
    <col min="9470" max="9470" width="4.5" style="231" customWidth="1"/>
    <col min="9471" max="9471" width="8.5" style="231" customWidth="1"/>
    <col min="9472" max="9472" width="11" style="231" customWidth="1"/>
    <col min="9473" max="9473" width="4.5" style="231" customWidth="1"/>
    <col min="9474" max="9474" width="8.5" style="231" customWidth="1"/>
    <col min="9475" max="9475" width="11.125" style="231" customWidth="1"/>
    <col min="9476" max="9476" width="4.5" style="231" customWidth="1"/>
    <col min="9477" max="9477" width="8.5" style="231" customWidth="1"/>
    <col min="9478" max="9478" width="11.125" style="231" customWidth="1"/>
    <col min="9479" max="9479" width="4.5" style="231" customWidth="1"/>
    <col min="9480" max="9480" width="8.5" style="231" customWidth="1"/>
    <col min="9481" max="9481" width="11.125" style="231" customWidth="1"/>
    <col min="9482" max="9482" width="4.5" style="231" customWidth="1"/>
    <col min="9483" max="9483" width="8.5" style="231" customWidth="1"/>
    <col min="9484" max="9484" width="11.125" style="231" customWidth="1"/>
    <col min="9485" max="9485" width="4.5" style="231" customWidth="1"/>
    <col min="9486" max="9486" width="8.5" style="231" customWidth="1"/>
    <col min="9487" max="9487" width="11.125" style="231" customWidth="1"/>
    <col min="9488" max="9488" width="4.5" style="231" customWidth="1"/>
    <col min="9489" max="9489" width="8.5" style="231" customWidth="1"/>
    <col min="9490" max="9490" width="11.125" style="231" customWidth="1"/>
    <col min="9491" max="9491" width="4.5" style="231" customWidth="1"/>
    <col min="9492" max="9492" width="8.5" style="231" customWidth="1"/>
    <col min="9493" max="9493" width="11.125" style="231" customWidth="1"/>
    <col min="9494" max="9494" width="4.5" style="231" customWidth="1"/>
    <col min="9495" max="9495" width="8.5" style="231" customWidth="1"/>
    <col min="9496" max="9496" width="11.125" style="231" customWidth="1"/>
    <col min="9497" max="9497" width="4.5" style="231" customWidth="1"/>
    <col min="9498" max="9498" width="8.5" style="231" customWidth="1"/>
    <col min="9499" max="9499" width="11.125" style="231" customWidth="1"/>
    <col min="9500" max="9500" width="4.5" style="231" customWidth="1"/>
    <col min="9501" max="9501" width="8.5" style="231" customWidth="1"/>
    <col min="9502" max="9502" width="11.125" style="231" customWidth="1"/>
    <col min="9503" max="9503" width="4.5" style="231" customWidth="1"/>
    <col min="9504" max="9504" width="8.5" style="231" customWidth="1"/>
    <col min="9505" max="9505" width="11.125" style="231" customWidth="1"/>
    <col min="9506" max="9506" width="33" style="231" customWidth="1"/>
    <col min="9507" max="9709" width="9" style="231"/>
    <col min="9710" max="9710" width="1.5" style="231" customWidth="1"/>
    <col min="9711" max="9711" width="3.125" style="231" customWidth="1"/>
    <col min="9712" max="9712" width="9.625" style="231" customWidth="1"/>
    <col min="9713" max="9713" width="18.125" style="231" customWidth="1"/>
    <col min="9714" max="9715" width="10.25" style="231" customWidth="1"/>
    <col min="9716" max="9716" width="8.5" style="231" customWidth="1"/>
    <col min="9717" max="9717" width="8.875" style="231" bestFit="1" customWidth="1"/>
    <col min="9718" max="9719" width="6.75" style="231" customWidth="1"/>
    <col min="9720" max="9720" width="3.5" style="231" customWidth="1"/>
    <col min="9721" max="9721" width="8.5" style="231" customWidth="1"/>
    <col min="9722" max="9722" width="13.25" style="231" customWidth="1"/>
    <col min="9723" max="9723" width="4.5" style="231" customWidth="1"/>
    <col min="9724" max="9724" width="8.5" style="231" customWidth="1"/>
    <col min="9725" max="9725" width="12" style="231" customWidth="1"/>
    <col min="9726" max="9726" width="4.5" style="231" customWidth="1"/>
    <col min="9727" max="9727" width="8.5" style="231" customWidth="1"/>
    <col min="9728" max="9728" width="11" style="231" customWidth="1"/>
    <col min="9729" max="9729" width="4.5" style="231" customWidth="1"/>
    <col min="9730" max="9730" width="8.5" style="231" customWidth="1"/>
    <col min="9731" max="9731" width="11.125" style="231" customWidth="1"/>
    <col min="9732" max="9732" width="4.5" style="231" customWidth="1"/>
    <col min="9733" max="9733" width="8.5" style="231" customWidth="1"/>
    <col min="9734" max="9734" width="11.125" style="231" customWidth="1"/>
    <col min="9735" max="9735" width="4.5" style="231" customWidth="1"/>
    <col min="9736" max="9736" width="8.5" style="231" customWidth="1"/>
    <col min="9737" max="9737" width="11.125" style="231" customWidth="1"/>
    <col min="9738" max="9738" width="4.5" style="231" customWidth="1"/>
    <col min="9739" max="9739" width="8.5" style="231" customWidth="1"/>
    <col min="9740" max="9740" width="11.125" style="231" customWidth="1"/>
    <col min="9741" max="9741" width="4.5" style="231" customWidth="1"/>
    <col min="9742" max="9742" width="8.5" style="231" customWidth="1"/>
    <col min="9743" max="9743" width="11.125" style="231" customWidth="1"/>
    <col min="9744" max="9744" width="4.5" style="231" customWidth="1"/>
    <col min="9745" max="9745" width="8.5" style="231" customWidth="1"/>
    <col min="9746" max="9746" width="11.125" style="231" customWidth="1"/>
    <col min="9747" max="9747" width="4.5" style="231" customWidth="1"/>
    <col min="9748" max="9748" width="8.5" style="231" customWidth="1"/>
    <col min="9749" max="9749" width="11.125" style="231" customWidth="1"/>
    <col min="9750" max="9750" width="4.5" style="231" customWidth="1"/>
    <col min="9751" max="9751" width="8.5" style="231" customWidth="1"/>
    <col min="9752" max="9752" width="11.125" style="231" customWidth="1"/>
    <col min="9753" max="9753" width="4.5" style="231" customWidth="1"/>
    <col min="9754" max="9754" width="8.5" style="231" customWidth="1"/>
    <col min="9755" max="9755" width="11.125" style="231" customWidth="1"/>
    <col min="9756" max="9756" width="4.5" style="231" customWidth="1"/>
    <col min="9757" max="9757" width="8.5" style="231" customWidth="1"/>
    <col min="9758" max="9758" width="11.125" style="231" customWidth="1"/>
    <col min="9759" max="9759" width="4.5" style="231" customWidth="1"/>
    <col min="9760" max="9760" width="8.5" style="231" customWidth="1"/>
    <col min="9761" max="9761" width="11.125" style="231" customWidth="1"/>
    <col min="9762" max="9762" width="33" style="231" customWidth="1"/>
    <col min="9763" max="9965" width="9" style="231"/>
    <col min="9966" max="9966" width="1.5" style="231" customWidth="1"/>
    <col min="9967" max="9967" width="3.125" style="231" customWidth="1"/>
    <col min="9968" max="9968" width="9.625" style="231" customWidth="1"/>
    <col min="9969" max="9969" width="18.125" style="231" customWidth="1"/>
    <col min="9970" max="9971" width="10.25" style="231" customWidth="1"/>
    <col min="9972" max="9972" width="8.5" style="231" customWidth="1"/>
    <col min="9973" max="9973" width="8.875" style="231" bestFit="1" customWidth="1"/>
    <col min="9974" max="9975" width="6.75" style="231" customWidth="1"/>
    <col min="9976" max="9976" width="3.5" style="231" customWidth="1"/>
    <col min="9977" max="9977" width="8.5" style="231" customWidth="1"/>
    <col min="9978" max="9978" width="13.25" style="231" customWidth="1"/>
    <col min="9979" max="9979" width="4.5" style="231" customWidth="1"/>
    <col min="9980" max="9980" width="8.5" style="231" customWidth="1"/>
    <col min="9981" max="9981" width="12" style="231" customWidth="1"/>
    <col min="9982" max="9982" width="4.5" style="231" customWidth="1"/>
    <col min="9983" max="9983" width="8.5" style="231" customWidth="1"/>
    <col min="9984" max="9984" width="11" style="231" customWidth="1"/>
    <col min="9985" max="9985" width="4.5" style="231" customWidth="1"/>
    <col min="9986" max="9986" width="8.5" style="231" customWidth="1"/>
    <col min="9987" max="9987" width="11.125" style="231" customWidth="1"/>
    <col min="9988" max="9988" width="4.5" style="231" customWidth="1"/>
    <col min="9989" max="9989" width="8.5" style="231" customWidth="1"/>
    <col min="9990" max="9990" width="11.125" style="231" customWidth="1"/>
    <col min="9991" max="9991" width="4.5" style="231" customWidth="1"/>
    <col min="9992" max="9992" width="8.5" style="231" customWidth="1"/>
    <col min="9993" max="9993" width="11.125" style="231" customWidth="1"/>
    <col min="9994" max="9994" width="4.5" style="231" customWidth="1"/>
    <col min="9995" max="9995" width="8.5" style="231" customWidth="1"/>
    <col min="9996" max="9996" width="11.125" style="231" customWidth="1"/>
    <col min="9997" max="9997" width="4.5" style="231" customWidth="1"/>
    <col min="9998" max="9998" width="8.5" style="231" customWidth="1"/>
    <col min="9999" max="9999" width="11.125" style="231" customWidth="1"/>
    <col min="10000" max="10000" width="4.5" style="231" customWidth="1"/>
    <col min="10001" max="10001" width="8.5" style="231" customWidth="1"/>
    <col min="10002" max="10002" width="11.125" style="231" customWidth="1"/>
    <col min="10003" max="10003" width="4.5" style="231" customWidth="1"/>
    <col min="10004" max="10004" width="8.5" style="231" customWidth="1"/>
    <col min="10005" max="10005" width="11.125" style="231" customWidth="1"/>
    <col min="10006" max="10006" width="4.5" style="231" customWidth="1"/>
    <col min="10007" max="10007" width="8.5" style="231" customWidth="1"/>
    <col min="10008" max="10008" width="11.125" style="231" customWidth="1"/>
    <col min="10009" max="10009" width="4.5" style="231" customWidth="1"/>
    <col min="10010" max="10010" width="8.5" style="231" customWidth="1"/>
    <col min="10011" max="10011" width="11.125" style="231" customWidth="1"/>
    <col min="10012" max="10012" width="4.5" style="231" customWidth="1"/>
    <col min="10013" max="10013" width="8.5" style="231" customWidth="1"/>
    <col min="10014" max="10014" width="11.125" style="231" customWidth="1"/>
    <col min="10015" max="10015" width="4.5" style="231" customWidth="1"/>
    <col min="10016" max="10016" width="8.5" style="231" customWidth="1"/>
    <col min="10017" max="10017" width="11.125" style="231" customWidth="1"/>
    <col min="10018" max="10018" width="33" style="231" customWidth="1"/>
    <col min="10019" max="10221" width="9" style="231"/>
    <col min="10222" max="10222" width="1.5" style="231" customWidth="1"/>
    <col min="10223" max="10223" width="3.125" style="231" customWidth="1"/>
    <col min="10224" max="10224" width="9.625" style="231" customWidth="1"/>
    <col min="10225" max="10225" width="18.125" style="231" customWidth="1"/>
    <col min="10226" max="10227" width="10.25" style="231" customWidth="1"/>
    <col min="10228" max="10228" width="8.5" style="231" customWidth="1"/>
    <col min="10229" max="10229" width="8.875" style="231" bestFit="1" customWidth="1"/>
    <col min="10230" max="10231" width="6.75" style="231" customWidth="1"/>
    <col min="10232" max="10232" width="3.5" style="231" customWidth="1"/>
    <col min="10233" max="10233" width="8.5" style="231" customWidth="1"/>
    <col min="10234" max="10234" width="13.25" style="231" customWidth="1"/>
    <col min="10235" max="10235" width="4.5" style="231" customWidth="1"/>
    <col min="10236" max="10236" width="8.5" style="231" customWidth="1"/>
    <col min="10237" max="10237" width="12" style="231" customWidth="1"/>
    <col min="10238" max="10238" width="4.5" style="231" customWidth="1"/>
    <col min="10239" max="10239" width="8.5" style="231" customWidth="1"/>
    <col min="10240" max="10240" width="11" style="231" customWidth="1"/>
    <col min="10241" max="10241" width="4.5" style="231" customWidth="1"/>
    <col min="10242" max="10242" width="8.5" style="231" customWidth="1"/>
    <col min="10243" max="10243" width="11.125" style="231" customWidth="1"/>
    <col min="10244" max="10244" width="4.5" style="231" customWidth="1"/>
    <col min="10245" max="10245" width="8.5" style="231" customWidth="1"/>
    <col min="10246" max="10246" width="11.125" style="231" customWidth="1"/>
    <col min="10247" max="10247" width="4.5" style="231" customWidth="1"/>
    <col min="10248" max="10248" width="8.5" style="231" customWidth="1"/>
    <col min="10249" max="10249" width="11.125" style="231" customWidth="1"/>
    <col min="10250" max="10250" width="4.5" style="231" customWidth="1"/>
    <col min="10251" max="10251" width="8.5" style="231" customWidth="1"/>
    <col min="10252" max="10252" width="11.125" style="231" customWidth="1"/>
    <col min="10253" max="10253" width="4.5" style="231" customWidth="1"/>
    <col min="10254" max="10254" width="8.5" style="231" customWidth="1"/>
    <col min="10255" max="10255" width="11.125" style="231" customWidth="1"/>
    <col min="10256" max="10256" width="4.5" style="231" customWidth="1"/>
    <col min="10257" max="10257" width="8.5" style="231" customWidth="1"/>
    <col min="10258" max="10258" width="11.125" style="231" customWidth="1"/>
    <col min="10259" max="10259" width="4.5" style="231" customWidth="1"/>
    <col min="10260" max="10260" width="8.5" style="231" customWidth="1"/>
    <col min="10261" max="10261" width="11.125" style="231" customWidth="1"/>
    <col min="10262" max="10262" width="4.5" style="231" customWidth="1"/>
    <col min="10263" max="10263" width="8.5" style="231" customWidth="1"/>
    <col min="10264" max="10264" width="11.125" style="231" customWidth="1"/>
    <col min="10265" max="10265" width="4.5" style="231" customWidth="1"/>
    <col min="10266" max="10266" width="8.5" style="231" customWidth="1"/>
    <col min="10267" max="10267" width="11.125" style="231" customWidth="1"/>
    <col min="10268" max="10268" width="4.5" style="231" customWidth="1"/>
    <col min="10269" max="10269" width="8.5" style="231" customWidth="1"/>
    <col min="10270" max="10270" width="11.125" style="231" customWidth="1"/>
    <col min="10271" max="10271" width="4.5" style="231" customWidth="1"/>
    <col min="10272" max="10272" width="8.5" style="231" customWidth="1"/>
    <col min="10273" max="10273" width="11.125" style="231" customWidth="1"/>
    <col min="10274" max="10274" width="33" style="231" customWidth="1"/>
    <col min="10275" max="10477" width="9" style="231"/>
    <col min="10478" max="10478" width="1.5" style="231" customWidth="1"/>
    <col min="10479" max="10479" width="3.125" style="231" customWidth="1"/>
    <col min="10480" max="10480" width="9.625" style="231" customWidth="1"/>
    <col min="10481" max="10481" width="18.125" style="231" customWidth="1"/>
    <col min="10482" max="10483" width="10.25" style="231" customWidth="1"/>
    <col min="10484" max="10484" width="8.5" style="231" customWidth="1"/>
    <col min="10485" max="10485" width="8.875" style="231" bestFit="1" customWidth="1"/>
    <col min="10486" max="10487" width="6.75" style="231" customWidth="1"/>
    <col min="10488" max="10488" width="3.5" style="231" customWidth="1"/>
    <col min="10489" max="10489" width="8.5" style="231" customWidth="1"/>
    <col min="10490" max="10490" width="13.25" style="231" customWidth="1"/>
    <col min="10491" max="10491" width="4.5" style="231" customWidth="1"/>
    <col min="10492" max="10492" width="8.5" style="231" customWidth="1"/>
    <col min="10493" max="10493" width="12" style="231" customWidth="1"/>
    <col min="10494" max="10494" width="4.5" style="231" customWidth="1"/>
    <col min="10495" max="10495" width="8.5" style="231" customWidth="1"/>
    <col min="10496" max="10496" width="11" style="231" customWidth="1"/>
    <col min="10497" max="10497" width="4.5" style="231" customWidth="1"/>
    <col min="10498" max="10498" width="8.5" style="231" customWidth="1"/>
    <col min="10499" max="10499" width="11.125" style="231" customWidth="1"/>
    <col min="10500" max="10500" width="4.5" style="231" customWidth="1"/>
    <col min="10501" max="10501" width="8.5" style="231" customWidth="1"/>
    <col min="10502" max="10502" width="11.125" style="231" customWidth="1"/>
    <col min="10503" max="10503" width="4.5" style="231" customWidth="1"/>
    <col min="10504" max="10504" width="8.5" style="231" customWidth="1"/>
    <col min="10505" max="10505" width="11.125" style="231" customWidth="1"/>
    <col min="10506" max="10506" width="4.5" style="231" customWidth="1"/>
    <col min="10507" max="10507" width="8.5" style="231" customWidth="1"/>
    <col min="10508" max="10508" width="11.125" style="231" customWidth="1"/>
    <col min="10509" max="10509" width="4.5" style="231" customWidth="1"/>
    <col min="10510" max="10510" width="8.5" style="231" customWidth="1"/>
    <col min="10511" max="10511" width="11.125" style="231" customWidth="1"/>
    <col min="10512" max="10512" width="4.5" style="231" customWidth="1"/>
    <col min="10513" max="10513" width="8.5" style="231" customWidth="1"/>
    <col min="10514" max="10514" width="11.125" style="231" customWidth="1"/>
    <col min="10515" max="10515" width="4.5" style="231" customWidth="1"/>
    <col min="10516" max="10516" width="8.5" style="231" customWidth="1"/>
    <col min="10517" max="10517" width="11.125" style="231" customWidth="1"/>
    <col min="10518" max="10518" width="4.5" style="231" customWidth="1"/>
    <col min="10519" max="10519" width="8.5" style="231" customWidth="1"/>
    <col min="10520" max="10520" width="11.125" style="231" customWidth="1"/>
    <col min="10521" max="10521" width="4.5" style="231" customWidth="1"/>
    <col min="10522" max="10522" width="8.5" style="231" customWidth="1"/>
    <col min="10523" max="10523" width="11.125" style="231" customWidth="1"/>
    <col min="10524" max="10524" width="4.5" style="231" customWidth="1"/>
    <col min="10525" max="10525" width="8.5" style="231" customWidth="1"/>
    <col min="10526" max="10526" width="11.125" style="231" customWidth="1"/>
    <col min="10527" max="10527" width="4.5" style="231" customWidth="1"/>
    <col min="10528" max="10528" width="8.5" style="231" customWidth="1"/>
    <col min="10529" max="10529" width="11.125" style="231" customWidth="1"/>
    <col min="10530" max="10530" width="33" style="231" customWidth="1"/>
    <col min="10531" max="10733" width="9" style="231"/>
    <col min="10734" max="10734" width="1.5" style="231" customWidth="1"/>
    <col min="10735" max="10735" width="3.125" style="231" customWidth="1"/>
    <col min="10736" max="10736" width="9.625" style="231" customWidth="1"/>
    <col min="10737" max="10737" width="18.125" style="231" customWidth="1"/>
    <col min="10738" max="10739" width="10.25" style="231" customWidth="1"/>
    <col min="10740" max="10740" width="8.5" style="231" customWidth="1"/>
    <col min="10741" max="10741" width="8.875" style="231" bestFit="1" customWidth="1"/>
    <col min="10742" max="10743" width="6.75" style="231" customWidth="1"/>
    <col min="10744" max="10744" width="3.5" style="231" customWidth="1"/>
    <col min="10745" max="10745" width="8.5" style="231" customWidth="1"/>
    <col min="10746" max="10746" width="13.25" style="231" customWidth="1"/>
    <col min="10747" max="10747" width="4.5" style="231" customWidth="1"/>
    <col min="10748" max="10748" width="8.5" style="231" customWidth="1"/>
    <col min="10749" max="10749" width="12" style="231" customWidth="1"/>
    <col min="10750" max="10750" width="4.5" style="231" customWidth="1"/>
    <col min="10751" max="10751" width="8.5" style="231" customWidth="1"/>
    <col min="10752" max="10752" width="11" style="231" customWidth="1"/>
    <col min="10753" max="10753" width="4.5" style="231" customWidth="1"/>
    <col min="10754" max="10754" width="8.5" style="231" customWidth="1"/>
    <col min="10755" max="10755" width="11.125" style="231" customWidth="1"/>
    <col min="10756" max="10756" width="4.5" style="231" customWidth="1"/>
    <col min="10757" max="10757" width="8.5" style="231" customWidth="1"/>
    <col min="10758" max="10758" width="11.125" style="231" customWidth="1"/>
    <col min="10759" max="10759" width="4.5" style="231" customWidth="1"/>
    <col min="10760" max="10760" width="8.5" style="231" customWidth="1"/>
    <col min="10761" max="10761" width="11.125" style="231" customWidth="1"/>
    <col min="10762" max="10762" width="4.5" style="231" customWidth="1"/>
    <col min="10763" max="10763" width="8.5" style="231" customWidth="1"/>
    <col min="10764" max="10764" width="11.125" style="231" customWidth="1"/>
    <col min="10765" max="10765" width="4.5" style="231" customWidth="1"/>
    <col min="10766" max="10766" width="8.5" style="231" customWidth="1"/>
    <col min="10767" max="10767" width="11.125" style="231" customWidth="1"/>
    <col min="10768" max="10768" width="4.5" style="231" customWidth="1"/>
    <col min="10769" max="10769" width="8.5" style="231" customWidth="1"/>
    <col min="10770" max="10770" width="11.125" style="231" customWidth="1"/>
    <col min="10771" max="10771" width="4.5" style="231" customWidth="1"/>
    <col min="10772" max="10772" width="8.5" style="231" customWidth="1"/>
    <col min="10773" max="10773" width="11.125" style="231" customWidth="1"/>
    <col min="10774" max="10774" width="4.5" style="231" customWidth="1"/>
    <col min="10775" max="10775" width="8.5" style="231" customWidth="1"/>
    <col min="10776" max="10776" width="11.125" style="231" customWidth="1"/>
    <col min="10777" max="10777" width="4.5" style="231" customWidth="1"/>
    <col min="10778" max="10778" width="8.5" style="231" customWidth="1"/>
    <col min="10779" max="10779" width="11.125" style="231" customWidth="1"/>
    <col min="10780" max="10780" width="4.5" style="231" customWidth="1"/>
    <col min="10781" max="10781" width="8.5" style="231" customWidth="1"/>
    <col min="10782" max="10782" width="11.125" style="231" customWidth="1"/>
    <col min="10783" max="10783" width="4.5" style="231" customWidth="1"/>
    <col min="10784" max="10784" width="8.5" style="231" customWidth="1"/>
    <col min="10785" max="10785" width="11.125" style="231" customWidth="1"/>
    <col min="10786" max="10786" width="33" style="231" customWidth="1"/>
    <col min="10787" max="10989" width="9" style="231"/>
    <col min="10990" max="10990" width="1.5" style="231" customWidth="1"/>
    <col min="10991" max="10991" width="3.125" style="231" customWidth="1"/>
    <col min="10992" max="10992" width="9.625" style="231" customWidth="1"/>
    <col min="10993" max="10993" width="18.125" style="231" customWidth="1"/>
    <col min="10994" max="10995" width="10.25" style="231" customWidth="1"/>
    <col min="10996" max="10996" width="8.5" style="231" customWidth="1"/>
    <col min="10997" max="10997" width="8.875" style="231" bestFit="1" customWidth="1"/>
    <col min="10998" max="10999" width="6.75" style="231" customWidth="1"/>
    <col min="11000" max="11000" width="3.5" style="231" customWidth="1"/>
    <col min="11001" max="11001" width="8.5" style="231" customWidth="1"/>
    <col min="11002" max="11002" width="13.25" style="231" customWidth="1"/>
    <col min="11003" max="11003" width="4.5" style="231" customWidth="1"/>
    <col min="11004" max="11004" width="8.5" style="231" customWidth="1"/>
    <col min="11005" max="11005" width="12" style="231" customWidth="1"/>
    <col min="11006" max="11006" width="4.5" style="231" customWidth="1"/>
    <col min="11007" max="11007" width="8.5" style="231" customWidth="1"/>
    <col min="11008" max="11008" width="11" style="231" customWidth="1"/>
    <col min="11009" max="11009" width="4.5" style="231" customWidth="1"/>
    <col min="11010" max="11010" width="8.5" style="231" customWidth="1"/>
    <col min="11011" max="11011" width="11.125" style="231" customWidth="1"/>
    <col min="11012" max="11012" width="4.5" style="231" customWidth="1"/>
    <col min="11013" max="11013" width="8.5" style="231" customWidth="1"/>
    <col min="11014" max="11014" width="11.125" style="231" customWidth="1"/>
    <col min="11015" max="11015" width="4.5" style="231" customWidth="1"/>
    <col min="11016" max="11016" width="8.5" style="231" customWidth="1"/>
    <col min="11017" max="11017" width="11.125" style="231" customWidth="1"/>
    <col min="11018" max="11018" width="4.5" style="231" customWidth="1"/>
    <col min="11019" max="11019" width="8.5" style="231" customWidth="1"/>
    <col min="11020" max="11020" width="11.125" style="231" customWidth="1"/>
    <col min="11021" max="11021" width="4.5" style="231" customWidth="1"/>
    <col min="11022" max="11022" width="8.5" style="231" customWidth="1"/>
    <col min="11023" max="11023" width="11.125" style="231" customWidth="1"/>
    <col min="11024" max="11024" width="4.5" style="231" customWidth="1"/>
    <col min="11025" max="11025" width="8.5" style="231" customWidth="1"/>
    <col min="11026" max="11026" width="11.125" style="231" customWidth="1"/>
    <col min="11027" max="11027" width="4.5" style="231" customWidth="1"/>
    <col min="11028" max="11028" width="8.5" style="231" customWidth="1"/>
    <col min="11029" max="11029" width="11.125" style="231" customWidth="1"/>
    <col min="11030" max="11030" width="4.5" style="231" customWidth="1"/>
    <col min="11031" max="11031" width="8.5" style="231" customWidth="1"/>
    <col min="11032" max="11032" width="11.125" style="231" customWidth="1"/>
    <col min="11033" max="11033" width="4.5" style="231" customWidth="1"/>
    <col min="11034" max="11034" width="8.5" style="231" customWidth="1"/>
    <col min="11035" max="11035" width="11.125" style="231" customWidth="1"/>
    <col min="11036" max="11036" width="4.5" style="231" customWidth="1"/>
    <col min="11037" max="11037" width="8.5" style="231" customWidth="1"/>
    <col min="11038" max="11038" width="11.125" style="231" customWidth="1"/>
    <col min="11039" max="11039" width="4.5" style="231" customWidth="1"/>
    <col min="11040" max="11040" width="8.5" style="231" customWidth="1"/>
    <col min="11041" max="11041" width="11.125" style="231" customWidth="1"/>
    <col min="11042" max="11042" width="33" style="231" customWidth="1"/>
    <col min="11043" max="11245" width="9" style="231"/>
    <col min="11246" max="11246" width="1.5" style="231" customWidth="1"/>
    <col min="11247" max="11247" width="3.125" style="231" customWidth="1"/>
    <col min="11248" max="11248" width="9.625" style="231" customWidth="1"/>
    <col min="11249" max="11249" width="18.125" style="231" customWidth="1"/>
    <col min="11250" max="11251" width="10.25" style="231" customWidth="1"/>
    <col min="11252" max="11252" width="8.5" style="231" customWidth="1"/>
    <col min="11253" max="11253" width="8.875" style="231" bestFit="1" customWidth="1"/>
    <col min="11254" max="11255" width="6.75" style="231" customWidth="1"/>
    <col min="11256" max="11256" width="3.5" style="231" customWidth="1"/>
    <col min="11257" max="11257" width="8.5" style="231" customWidth="1"/>
    <col min="11258" max="11258" width="13.25" style="231" customWidth="1"/>
    <col min="11259" max="11259" width="4.5" style="231" customWidth="1"/>
    <col min="11260" max="11260" width="8.5" style="231" customWidth="1"/>
    <col min="11261" max="11261" width="12" style="231" customWidth="1"/>
    <col min="11262" max="11262" width="4.5" style="231" customWidth="1"/>
    <col min="11263" max="11263" width="8.5" style="231" customWidth="1"/>
    <col min="11264" max="11264" width="11" style="231" customWidth="1"/>
    <col min="11265" max="11265" width="4.5" style="231" customWidth="1"/>
    <col min="11266" max="11266" width="8.5" style="231" customWidth="1"/>
    <col min="11267" max="11267" width="11.125" style="231" customWidth="1"/>
    <col min="11268" max="11268" width="4.5" style="231" customWidth="1"/>
    <col min="11269" max="11269" width="8.5" style="231" customWidth="1"/>
    <col min="11270" max="11270" width="11.125" style="231" customWidth="1"/>
    <col min="11271" max="11271" width="4.5" style="231" customWidth="1"/>
    <col min="11272" max="11272" width="8.5" style="231" customWidth="1"/>
    <col min="11273" max="11273" width="11.125" style="231" customWidth="1"/>
    <col min="11274" max="11274" width="4.5" style="231" customWidth="1"/>
    <col min="11275" max="11275" width="8.5" style="231" customWidth="1"/>
    <col min="11276" max="11276" width="11.125" style="231" customWidth="1"/>
    <col min="11277" max="11277" width="4.5" style="231" customWidth="1"/>
    <col min="11278" max="11278" width="8.5" style="231" customWidth="1"/>
    <col min="11279" max="11279" width="11.125" style="231" customWidth="1"/>
    <col min="11280" max="11280" width="4.5" style="231" customWidth="1"/>
    <col min="11281" max="11281" width="8.5" style="231" customWidth="1"/>
    <col min="11282" max="11282" width="11.125" style="231" customWidth="1"/>
    <col min="11283" max="11283" width="4.5" style="231" customWidth="1"/>
    <col min="11284" max="11284" width="8.5" style="231" customWidth="1"/>
    <col min="11285" max="11285" width="11.125" style="231" customWidth="1"/>
    <col min="11286" max="11286" width="4.5" style="231" customWidth="1"/>
    <col min="11287" max="11287" width="8.5" style="231" customWidth="1"/>
    <col min="11288" max="11288" width="11.125" style="231" customWidth="1"/>
    <col min="11289" max="11289" width="4.5" style="231" customWidth="1"/>
    <col min="11290" max="11290" width="8.5" style="231" customWidth="1"/>
    <col min="11291" max="11291" width="11.125" style="231" customWidth="1"/>
    <col min="11292" max="11292" width="4.5" style="231" customWidth="1"/>
    <col min="11293" max="11293" width="8.5" style="231" customWidth="1"/>
    <col min="11294" max="11294" width="11.125" style="231" customWidth="1"/>
    <col min="11295" max="11295" width="4.5" style="231" customWidth="1"/>
    <col min="11296" max="11296" width="8.5" style="231" customWidth="1"/>
    <col min="11297" max="11297" width="11.125" style="231" customWidth="1"/>
    <col min="11298" max="11298" width="33" style="231" customWidth="1"/>
    <col min="11299" max="11501" width="9" style="231"/>
    <col min="11502" max="11502" width="1.5" style="231" customWidth="1"/>
    <col min="11503" max="11503" width="3.125" style="231" customWidth="1"/>
    <col min="11504" max="11504" width="9.625" style="231" customWidth="1"/>
    <col min="11505" max="11505" width="18.125" style="231" customWidth="1"/>
    <col min="11506" max="11507" width="10.25" style="231" customWidth="1"/>
    <col min="11508" max="11508" width="8.5" style="231" customWidth="1"/>
    <col min="11509" max="11509" width="8.875" style="231" bestFit="1" customWidth="1"/>
    <col min="11510" max="11511" width="6.75" style="231" customWidth="1"/>
    <col min="11512" max="11512" width="3.5" style="231" customWidth="1"/>
    <col min="11513" max="11513" width="8.5" style="231" customWidth="1"/>
    <col min="11514" max="11514" width="13.25" style="231" customWidth="1"/>
    <col min="11515" max="11515" width="4.5" style="231" customWidth="1"/>
    <col min="11516" max="11516" width="8.5" style="231" customWidth="1"/>
    <col min="11517" max="11517" width="12" style="231" customWidth="1"/>
    <col min="11518" max="11518" width="4.5" style="231" customWidth="1"/>
    <col min="11519" max="11519" width="8.5" style="231" customWidth="1"/>
    <col min="11520" max="11520" width="11" style="231" customWidth="1"/>
    <col min="11521" max="11521" width="4.5" style="231" customWidth="1"/>
    <col min="11522" max="11522" width="8.5" style="231" customWidth="1"/>
    <col min="11523" max="11523" width="11.125" style="231" customWidth="1"/>
    <col min="11524" max="11524" width="4.5" style="231" customWidth="1"/>
    <col min="11525" max="11525" width="8.5" style="231" customWidth="1"/>
    <col min="11526" max="11526" width="11.125" style="231" customWidth="1"/>
    <col min="11527" max="11527" width="4.5" style="231" customWidth="1"/>
    <col min="11528" max="11528" width="8.5" style="231" customWidth="1"/>
    <col min="11529" max="11529" width="11.125" style="231" customWidth="1"/>
    <col min="11530" max="11530" width="4.5" style="231" customWidth="1"/>
    <col min="11531" max="11531" width="8.5" style="231" customWidth="1"/>
    <col min="11532" max="11532" width="11.125" style="231" customWidth="1"/>
    <col min="11533" max="11533" width="4.5" style="231" customWidth="1"/>
    <col min="11534" max="11534" width="8.5" style="231" customWidth="1"/>
    <col min="11535" max="11535" width="11.125" style="231" customWidth="1"/>
    <col min="11536" max="11536" width="4.5" style="231" customWidth="1"/>
    <col min="11537" max="11537" width="8.5" style="231" customWidth="1"/>
    <col min="11538" max="11538" width="11.125" style="231" customWidth="1"/>
    <col min="11539" max="11539" width="4.5" style="231" customWidth="1"/>
    <col min="11540" max="11540" width="8.5" style="231" customWidth="1"/>
    <col min="11541" max="11541" width="11.125" style="231" customWidth="1"/>
    <col min="11542" max="11542" width="4.5" style="231" customWidth="1"/>
    <col min="11543" max="11543" width="8.5" style="231" customWidth="1"/>
    <col min="11544" max="11544" width="11.125" style="231" customWidth="1"/>
    <col min="11545" max="11545" width="4.5" style="231" customWidth="1"/>
    <col min="11546" max="11546" width="8.5" style="231" customWidth="1"/>
    <col min="11547" max="11547" width="11.125" style="231" customWidth="1"/>
    <col min="11548" max="11548" width="4.5" style="231" customWidth="1"/>
    <col min="11549" max="11549" width="8.5" style="231" customWidth="1"/>
    <col min="11550" max="11550" width="11.125" style="231" customWidth="1"/>
    <col min="11551" max="11551" width="4.5" style="231" customWidth="1"/>
    <col min="11552" max="11552" width="8.5" style="231" customWidth="1"/>
    <col min="11553" max="11553" width="11.125" style="231" customWidth="1"/>
    <col min="11554" max="11554" width="33" style="231" customWidth="1"/>
    <col min="11555" max="11757" width="9" style="231"/>
    <col min="11758" max="11758" width="1.5" style="231" customWidth="1"/>
    <col min="11759" max="11759" width="3.125" style="231" customWidth="1"/>
    <col min="11760" max="11760" width="9.625" style="231" customWidth="1"/>
    <col min="11761" max="11761" width="18.125" style="231" customWidth="1"/>
    <col min="11762" max="11763" width="10.25" style="231" customWidth="1"/>
    <col min="11764" max="11764" width="8.5" style="231" customWidth="1"/>
    <col min="11765" max="11765" width="8.875" style="231" bestFit="1" customWidth="1"/>
    <col min="11766" max="11767" width="6.75" style="231" customWidth="1"/>
    <col min="11768" max="11768" width="3.5" style="231" customWidth="1"/>
    <col min="11769" max="11769" width="8.5" style="231" customWidth="1"/>
    <col min="11770" max="11770" width="13.25" style="231" customWidth="1"/>
    <col min="11771" max="11771" width="4.5" style="231" customWidth="1"/>
    <col min="11772" max="11772" width="8.5" style="231" customWidth="1"/>
    <col min="11773" max="11773" width="12" style="231" customWidth="1"/>
    <col min="11774" max="11774" width="4.5" style="231" customWidth="1"/>
    <col min="11775" max="11775" width="8.5" style="231" customWidth="1"/>
    <col min="11776" max="11776" width="11" style="231" customWidth="1"/>
    <col min="11777" max="11777" width="4.5" style="231" customWidth="1"/>
    <col min="11778" max="11778" width="8.5" style="231" customWidth="1"/>
    <col min="11779" max="11779" width="11.125" style="231" customWidth="1"/>
    <col min="11780" max="11780" width="4.5" style="231" customWidth="1"/>
    <col min="11781" max="11781" width="8.5" style="231" customWidth="1"/>
    <col min="11782" max="11782" width="11.125" style="231" customWidth="1"/>
    <col min="11783" max="11783" width="4.5" style="231" customWidth="1"/>
    <col min="11784" max="11784" width="8.5" style="231" customWidth="1"/>
    <col min="11785" max="11785" width="11.125" style="231" customWidth="1"/>
    <col min="11786" max="11786" width="4.5" style="231" customWidth="1"/>
    <col min="11787" max="11787" width="8.5" style="231" customWidth="1"/>
    <col min="11788" max="11788" width="11.125" style="231" customWidth="1"/>
    <col min="11789" max="11789" width="4.5" style="231" customWidth="1"/>
    <col min="11790" max="11790" width="8.5" style="231" customWidth="1"/>
    <col min="11791" max="11791" width="11.125" style="231" customWidth="1"/>
    <col min="11792" max="11792" width="4.5" style="231" customWidth="1"/>
    <col min="11793" max="11793" width="8.5" style="231" customWidth="1"/>
    <col min="11794" max="11794" width="11.125" style="231" customWidth="1"/>
    <col min="11795" max="11795" width="4.5" style="231" customWidth="1"/>
    <col min="11796" max="11796" width="8.5" style="231" customWidth="1"/>
    <col min="11797" max="11797" width="11.125" style="231" customWidth="1"/>
    <col min="11798" max="11798" width="4.5" style="231" customWidth="1"/>
    <col min="11799" max="11799" width="8.5" style="231" customWidth="1"/>
    <col min="11800" max="11800" width="11.125" style="231" customWidth="1"/>
    <col min="11801" max="11801" width="4.5" style="231" customWidth="1"/>
    <col min="11802" max="11802" width="8.5" style="231" customWidth="1"/>
    <col min="11803" max="11803" width="11.125" style="231" customWidth="1"/>
    <col min="11804" max="11804" width="4.5" style="231" customWidth="1"/>
    <col min="11805" max="11805" width="8.5" style="231" customWidth="1"/>
    <col min="11806" max="11806" width="11.125" style="231" customWidth="1"/>
    <col min="11807" max="11807" width="4.5" style="231" customWidth="1"/>
    <col min="11808" max="11808" width="8.5" style="231" customWidth="1"/>
    <col min="11809" max="11809" width="11.125" style="231" customWidth="1"/>
    <col min="11810" max="11810" width="33" style="231" customWidth="1"/>
    <col min="11811" max="12013" width="9" style="231"/>
    <col min="12014" max="12014" width="1.5" style="231" customWidth="1"/>
    <col min="12015" max="12015" width="3.125" style="231" customWidth="1"/>
    <col min="12016" max="12016" width="9.625" style="231" customWidth="1"/>
    <col min="12017" max="12017" width="18.125" style="231" customWidth="1"/>
    <col min="12018" max="12019" width="10.25" style="231" customWidth="1"/>
    <col min="12020" max="12020" width="8.5" style="231" customWidth="1"/>
    <col min="12021" max="12021" width="8.875" style="231" bestFit="1" customWidth="1"/>
    <col min="12022" max="12023" width="6.75" style="231" customWidth="1"/>
    <col min="12024" max="12024" width="3.5" style="231" customWidth="1"/>
    <col min="12025" max="12025" width="8.5" style="231" customWidth="1"/>
    <col min="12026" max="12026" width="13.25" style="231" customWidth="1"/>
    <col min="12027" max="12027" width="4.5" style="231" customWidth="1"/>
    <col min="12028" max="12028" width="8.5" style="231" customWidth="1"/>
    <col min="12029" max="12029" width="12" style="231" customWidth="1"/>
    <col min="12030" max="12030" width="4.5" style="231" customWidth="1"/>
    <col min="12031" max="12031" width="8.5" style="231" customWidth="1"/>
    <col min="12032" max="12032" width="11" style="231" customWidth="1"/>
    <col min="12033" max="12033" width="4.5" style="231" customWidth="1"/>
    <col min="12034" max="12034" width="8.5" style="231" customWidth="1"/>
    <col min="12035" max="12035" width="11.125" style="231" customWidth="1"/>
    <col min="12036" max="12036" width="4.5" style="231" customWidth="1"/>
    <col min="12037" max="12037" width="8.5" style="231" customWidth="1"/>
    <col min="12038" max="12038" width="11.125" style="231" customWidth="1"/>
    <col min="12039" max="12039" width="4.5" style="231" customWidth="1"/>
    <col min="12040" max="12040" width="8.5" style="231" customWidth="1"/>
    <col min="12041" max="12041" width="11.125" style="231" customWidth="1"/>
    <col min="12042" max="12042" width="4.5" style="231" customWidth="1"/>
    <col min="12043" max="12043" width="8.5" style="231" customWidth="1"/>
    <col min="12044" max="12044" width="11.125" style="231" customWidth="1"/>
    <col min="12045" max="12045" width="4.5" style="231" customWidth="1"/>
    <col min="12046" max="12046" width="8.5" style="231" customWidth="1"/>
    <col min="12047" max="12047" width="11.125" style="231" customWidth="1"/>
    <col min="12048" max="12048" width="4.5" style="231" customWidth="1"/>
    <col min="12049" max="12049" width="8.5" style="231" customWidth="1"/>
    <col min="12050" max="12050" width="11.125" style="231" customWidth="1"/>
    <col min="12051" max="12051" width="4.5" style="231" customWidth="1"/>
    <col min="12052" max="12052" width="8.5" style="231" customWidth="1"/>
    <col min="12053" max="12053" width="11.125" style="231" customWidth="1"/>
    <col min="12054" max="12054" width="4.5" style="231" customWidth="1"/>
    <col min="12055" max="12055" width="8.5" style="231" customWidth="1"/>
    <col min="12056" max="12056" width="11.125" style="231" customWidth="1"/>
    <col min="12057" max="12057" width="4.5" style="231" customWidth="1"/>
    <col min="12058" max="12058" width="8.5" style="231" customWidth="1"/>
    <col min="12059" max="12059" width="11.125" style="231" customWidth="1"/>
    <col min="12060" max="12060" width="4.5" style="231" customWidth="1"/>
    <col min="12061" max="12061" width="8.5" style="231" customWidth="1"/>
    <col min="12062" max="12062" width="11.125" style="231" customWidth="1"/>
    <col min="12063" max="12063" width="4.5" style="231" customWidth="1"/>
    <col min="12064" max="12064" width="8.5" style="231" customWidth="1"/>
    <col min="12065" max="12065" width="11.125" style="231" customWidth="1"/>
    <col min="12066" max="12066" width="33" style="231" customWidth="1"/>
    <col min="12067" max="12269" width="9" style="231"/>
    <col min="12270" max="12270" width="1.5" style="231" customWidth="1"/>
    <col min="12271" max="12271" width="3.125" style="231" customWidth="1"/>
    <col min="12272" max="12272" width="9.625" style="231" customWidth="1"/>
    <col min="12273" max="12273" width="18.125" style="231" customWidth="1"/>
    <col min="12274" max="12275" width="10.25" style="231" customWidth="1"/>
    <col min="12276" max="12276" width="8.5" style="231" customWidth="1"/>
    <col min="12277" max="12277" width="8.875" style="231" bestFit="1" customWidth="1"/>
    <col min="12278" max="12279" width="6.75" style="231" customWidth="1"/>
    <col min="12280" max="12280" width="3.5" style="231" customWidth="1"/>
    <col min="12281" max="12281" width="8.5" style="231" customWidth="1"/>
    <col min="12282" max="12282" width="13.25" style="231" customWidth="1"/>
    <col min="12283" max="12283" width="4.5" style="231" customWidth="1"/>
    <col min="12284" max="12284" width="8.5" style="231" customWidth="1"/>
    <col min="12285" max="12285" width="12" style="231" customWidth="1"/>
    <col min="12286" max="12286" width="4.5" style="231" customWidth="1"/>
    <col min="12287" max="12287" width="8.5" style="231" customWidth="1"/>
    <col min="12288" max="12288" width="11" style="231" customWidth="1"/>
    <col min="12289" max="12289" width="4.5" style="231" customWidth="1"/>
    <col min="12290" max="12290" width="8.5" style="231" customWidth="1"/>
    <col min="12291" max="12291" width="11.125" style="231" customWidth="1"/>
    <col min="12292" max="12292" width="4.5" style="231" customWidth="1"/>
    <col min="12293" max="12293" width="8.5" style="231" customWidth="1"/>
    <col min="12294" max="12294" width="11.125" style="231" customWidth="1"/>
    <col min="12295" max="12295" width="4.5" style="231" customWidth="1"/>
    <col min="12296" max="12296" width="8.5" style="231" customWidth="1"/>
    <col min="12297" max="12297" width="11.125" style="231" customWidth="1"/>
    <col min="12298" max="12298" width="4.5" style="231" customWidth="1"/>
    <col min="12299" max="12299" width="8.5" style="231" customWidth="1"/>
    <col min="12300" max="12300" width="11.125" style="231" customWidth="1"/>
    <col min="12301" max="12301" width="4.5" style="231" customWidth="1"/>
    <col min="12302" max="12302" width="8.5" style="231" customWidth="1"/>
    <col min="12303" max="12303" width="11.125" style="231" customWidth="1"/>
    <col min="12304" max="12304" width="4.5" style="231" customWidth="1"/>
    <col min="12305" max="12305" width="8.5" style="231" customWidth="1"/>
    <col min="12306" max="12306" width="11.125" style="231" customWidth="1"/>
    <col min="12307" max="12307" width="4.5" style="231" customWidth="1"/>
    <col min="12308" max="12308" width="8.5" style="231" customWidth="1"/>
    <col min="12309" max="12309" width="11.125" style="231" customWidth="1"/>
    <col min="12310" max="12310" width="4.5" style="231" customWidth="1"/>
    <col min="12311" max="12311" width="8.5" style="231" customWidth="1"/>
    <col min="12312" max="12312" width="11.125" style="231" customWidth="1"/>
    <col min="12313" max="12313" width="4.5" style="231" customWidth="1"/>
    <col min="12314" max="12314" width="8.5" style="231" customWidth="1"/>
    <col min="12315" max="12315" width="11.125" style="231" customWidth="1"/>
    <col min="12316" max="12316" width="4.5" style="231" customWidth="1"/>
    <col min="12317" max="12317" width="8.5" style="231" customWidth="1"/>
    <col min="12318" max="12318" width="11.125" style="231" customWidth="1"/>
    <col min="12319" max="12319" width="4.5" style="231" customWidth="1"/>
    <col min="12320" max="12320" width="8.5" style="231" customWidth="1"/>
    <col min="12321" max="12321" width="11.125" style="231" customWidth="1"/>
    <col min="12322" max="12322" width="33" style="231" customWidth="1"/>
    <col min="12323" max="12525" width="9" style="231"/>
    <col min="12526" max="12526" width="1.5" style="231" customWidth="1"/>
    <col min="12527" max="12527" width="3.125" style="231" customWidth="1"/>
    <col min="12528" max="12528" width="9.625" style="231" customWidth="1"/>
    <col min="12529" max="12529" width="18.125" style="231" customWidth="1"/>
    <col min="12530" max="12531" width="10.25" style="231" customWidth="1"/>
    <col min="12532" max="12532" width="8.5" style="231" customWidth="1"/>
    <col min="12533" max="12533" width="8.875" style="231" bestFit="1" customWidth="1"/>
    <col min="12534" max="12535" width="6.75" style="231" customWidth="1"/>
    <col min="12536" max="12536" width="3.5" style="231" customWidth="1"/>
    <col min="12537" max="12537" width="8.5" style="231" customWidth="1"/>
    <col min="12538" max="12538" width="13.25" style="231" customWidth="1"/>
    <col min="12539" max="12539" width="4.5" style="231" customWidth="1"/>
    <col min="12540" max="12540" width="8.5" style="231" customWidth="1"/>
    <col min="12541" max="12541" width="12" style="231" customWidth="1"/>
    <col min="12542" max="12542" width="4.5" style="231" customWidth="1"/>
    <col min="12543" max="12543" width="8.5" style="231" customWidth="1"/>
    <col min="12544" max="12544" width="11" style="231" customWidth="1"/>
    <col min="12545" max="12545" width="4.5" style="231" customWidth="1"/>
    <col min="12546" max="12546" width="8.5" style="231" customWidth="1"/>
    <col min="12547" max="12547" width="11.125" style="231" customWidth="1"/>
    <col min="12548" max="12548" width="4.5" style="231" customWidth="1"/>
    <col min="12549" max="12549" width="8.5" style="231" customWidth="1"/>
    <col min="12550" max="12550" width="11.125" style="231" customWidth="1"/>
    <col min="12551" max="12551" width="4.5" style="231" customWidth="1"/>
    <col min="12552" max="12552" width="8.5" style="231" customWidth="1"/>
    <col min="12553" max="12553" width="11.125" style="231" customWidth="1"/>
    <col min="12554" max="12554" width="4.5" style="231" customWidth="1"/>
    <col min="12555" max="12555" width="8.5" style="231" customWidth="1"/>
    <col min="12556" max="12556" width="11.125" style="231" customWidth="1"/>
    <col min="12557" max="12557" width="4.5" style="231" customWidth="1"/>
    <col min="12558" max="12558" width="8.5" style="231" customWidth="1"/>
    <col min="12559" max="12559" width="11.125" style="231" customWidth="1"/>
    <col min="12560" max="12560" width="4.5" style="231" customWidth="1"/>
    <col min="12561" max="12561" width="8.5" style="231" customWidth="1"/>
    <col min="12562" max="12562" width="11.125" style="231" customWidth="1"/>
    <col min="12563" max="12563" width="4.5" style="231" customWidth="1"/>
    <col min="12564" max="12564" width="8.5" style="231" customWidth="1"/>
    <col min="12565" max="12565" width="11.125" style="231" customWidth="1"/>
    <col min="12566" max="12566" width="4.5" style="231" customWidth="1"/>
    <col min="12567" max="12567" width="8.5" style="231" customWidth="1"/>
    <col min="12568" max="12568" width="11.125" style="231" customWidth="1"/>
    <col min="12569" max="12569" width="4.5" style="231" customWidth="1"/>
    <col min="12570" max="12570" width="8.5" style="231" customWidth="1"/>
    <col min="12571" max="12571" width="11.125" style="231" customWidth="1"/>
    <col min="12572" max="12572" width="4.5" style="231" customWidth="1"/>
    <col min="12573" max="12573" width="8.5" style="231" customWidth="1"/>
    <col min="12574" max="12574" width="11.125" style="231" customWidth="1"/>
    <col min="12575" max="12575" width="4.5" style="231" customWidth="1"/>
    <col min="12576" max="12576" width="8.5" style="231" customWidth="1"/>
    <col min="12577" max="12577" width="11.125" style="231" customWidth="1"/>
    <col min="12578" max="12578" width="33" style="231" customWidth="1"/>
    <col min="12579" max="12781" width="9" style="231"/>
    <col min="12782" max="12782" width="1.5" style="231" customWidth="1"/>
    <col min="12783" max="12783" width="3.125" style="231" customWidth="1"/>
    <col min="12784" max="12784" width="9.625" style="231" customWidth="1"/>
    <col min="12785" max="12785" width="18.125" style="231" customWidth="1"/>
    <col min="12786" max="12787" width="10.25" style="231" customWidth="1"/>
    <col min="12788" max="12788" width="8.5" style="231" customWidth="1"/>
    <col min="12789" max="12789" width="8.875" style="231" bestFit="1" customWidth="1"/>
    <col min="12790" max="12791" width="6.75" style="231" customWidth="1"/>
    <col min="12792" max="12792" width="3.5" style="231" customWidth="1"/>
    <col min="12793" max="12793" width="8.5" style="231" customWidth="1"/>
    <col min="12794" max="12794" width="13.25" style="231" customWidth="1"/>
    <col min="12795" max="12795" width="4.5" style="231" customWidth="1"/>
    <col min="12796" max="12796" width="8.5" style="231" customWidth="1"/>
    <col min="12797" max="12797" width="12" style="231" customWidth="1"/>
    <col min="12798" max="12798" width="4.5" style="231" customWidth="1"/>
    <col min="12799" max="12799" width="8.5" style="231" customWidth="1"/>
    <col min="12800" max="12800" width="11" style="231" customWidth="1"/>
    <col min="12801" max="12801" width="4.5" style="231" customWidth="1"/>
    <col min="12802" max="12802" width="8.5" style="231" customWidth="1"/>
    <col min="12803" max="12803" width="11.125" style="231" customWidth="1"/>
    <col min="12804" max="12804" width="4.5" style="231" customWidth="1"/>
    <col min="12805" max="12805" width="8.5" style="231" customWidth="1"/>
    <col min="12806" max="12806" width="11.125" style="231" customWidth="1"/>
    <col min="12807" max="12807" width="4.5" style="231" customWidth="1"/>
    <col min="12808" max="12808" width="8.5" style="231" customWidth="1"/>
    <col min="12809" max="12809" width="11.125" style="231" customWidth="1"/>
    <col min="12810" max="12810" width="4.5" style="231" customWidth="1"/>
    <col min="12811" max="12811" width="8.5" style="231" customWidth="1"/>
    <col min="12812" max="12812" width="11.125" style="231" customWidth="1"/>
    <col min="12813" max="12813" width="4.5" style="231" customWidth="1"/>
    <col min="12814" max="12814" width="8.5" style="231" customWidth="1"/>
    <col min="12815" max="12815" width="11.125" style="231" customWidth="1"/>
    <col min="12816" max="12816" width="4.5" style="231" customWidth="1"/>
    <col min="12817" max="12817" width="8.5" style="231" customWidth="1"/>
    <col min="12818" max="12818" width="11.125" style="231" customWidth="1"/>
    <col min="12819" max="12819" width="4.5" style="231" customWidth="1"/>
    <col min="12820" max="12820" width="8.5" style="231" customWidth="1"/>
    <col min="12821" max="12821" width="11.125" style="231" customWidth="1"/>
    <col min="12822" max="12822" width="4.5" style="231" customWidth="1"/>
    <col min="12823" max="12823" width="8.5" style="231" customWidth="1"/>
    <col min="12824" max="12824" width="11.125" style="231" customWidth="1"/>
    <col min="12825" max="12825" width="4.5" style="231" customWidth="1"/>
    <col min="12826" max="12826" width="8.5" style="231" customWidth="1"/>
    <col min="12827" max="12827" width="11.125" style="231" customWidth="1"/>
    <col min="12828" max="12828" width="4.5" style="231" customWidth="1"/>
    <col min="12829" max="12829" width="8.5" style="231" customWidth="1"/>
    <col min="12830" max="12830" width="11.125" style="231" customWidth="1"/>
    <col min="12831" max="12831" width="4.5" style="231" customWidth="1"/>
    <col min="12832" max="12832" width="8.5" style="231" customWidth="1"/>
    <col min="12833" max="12833" width="11.125" style="231" customWidth="1"/>
    <col min="12834" max="12834" width="33" style="231" customWidth="1"/>
    <col min="12835" max="13037" width="9" style="231"/>
    <col min="13038" max="13038" width="1.5" style="231" customWidth="1"/>
    <col min="13039" max="13039" width="3.125" style="231" customWidth="1"/>
    <col min="13040" max="13040" width="9.625" style="231" customWidth="1"/>
    <col min="13041" max="13041" width="18.125" style="231" customWidth="1"/>
    <col min="13042" max="13043" width="10.25" style="231" customWidth="1"/>
    <col min="13044" max="13044" width="8.5" style="231" customWidth="1"/>
    <col min="13045" max="13045" width="8.875" style="231" bestFit="1" customWidth="1"/>
    <col min="13046" max="13047" width="6.75" style="231" customWidth="1"/>
    <col min="13048" max="13048" width="3.5" style="231" customWidth="1"/>
    <col min="13049" max="13049" width="8.5" style="231" customWidth="1"/>
    <col min="13050" max="13050" width="13.25" style="231" customWidth="1"/>
    <col min="13051" max="13051" width="4.5" style="231" customWidth="1"/>
    <col min="13052" max="13052" width="8.5" style="231" customWidth="1"/>
    <col min="13053" max="13053" width="12" style="231" customWidth="1"/>
    <col min="13054" max="13054" width="4.5" style="231" customWidth="1"/>
    <col min="13055" max="13055" width="8.5" style="231" customWidth="1"/>
    <col min="13056" max="13056" width="11" style="231" customWidth="1"/>
    <col min="13057" max="13057" width="4.5" style="231" customWidth="1"/>
    <col min="13058" max="13058" width="8.5" style="231" customWidth="1"/>
    <col min="13059" max="13059" width="11.125" style="231" customWidth="1"/>
    <col min="13060" max="13060" width="4.5" style="231" customWidth="1"/>
    <col min="13061" max="13061" width="8.5" style="231" customWidth="1"/>
    <col min="13062" max="13062" width="11.125" style="231" customWidth="1"/>
    <col min="13063" max="13063" width="4.5" style="231" customWidth="1"/>
    <col min="13064" max="13064" width="8.5" style="231" customWidth="1"/>
    <col min="13065" max="13065" width="11.125" style="231" customWidth="1"/>
    <col min="13066" max="13066" width="4.5" style="231" customWidth="1"/>
    <col min="13067" max="13067" width="8.5" style="231" customWidth="1"/>
    <col min="13068" max="13068" width="11.125" style="231" customWidth="1"/>
    <col min="13069" max="13069" width="4.5" style="231" customWidth="1"/>
    <col min="13070" max="13070" width="8.5" style="231" customWidth="1"/>
    <col min="13071" max="13071" width="11.125" style="231" customWidth="1"/>
    <col min="13072" max="13072" width="4.5" style="231" customWidth="1"/>
    <col min="13073" max="13073" width="8.5" style="231" customWidth="1"/>
    <col min="13074" max="13074" width="11.125" style="231" customWidth="1"/>
    <col min="13075" max="13075" width="4.5" style="231" customWidth="1"/>
    <col min="13076" max="13076" width="8.5" style="231" customWidth="1"/>
    <col min="13077" max="13077" width="11.125" style="231" customWidth="1"/>
    <col min="13078" max="13078" width="4.5" style="231" customWidth="1"/>
    <col min="13079" max="13079" width="8.5" style="231" customWidth="1"/>
    <col min="13080" max="13080" width="11.125" style="231" customWidth="1"/>
    <col min="13081" max="13081" width="4.5" style="231" customWidth="1"/>
    <col min="13082" max="13082" width="8.5" style="231" customWidth="1"/>
    <col min="13083" max="13083" width="11.125" style="231" customWidth="1"/>
    <col min="13084" max="13084" width="4.5" style="231" customWidth="1"/>
    <col min="13085" max="13085" width="8.5" style="231" customWidth="1"/>
    <col min="13086" max="13086" width="11.125" style="231" customWidth="1"/>
    <col min="13087" max="13087" width="4.5" style="231" customWidth="1"/>
    <col min="13088" max="13088" width="8.5" style="231" customWidth="1"/>
    <col min="13089" max="13089" width="11.125" style="231" customWidth="1"/>
    <col min="13090" max="13090" width="33" style="231" customWidth="1"/>
    <col min="13091" max="13293" width="9" style="231"/>
    <col min="13294" max="13294" width="1.5" style="231" customWidth="1"/>
    <col min="13295" max="13295" width="3.125" style="231" customWidth="1"/>
    <col min="13296" max="13296" width="9.625" style="231" customWidth="1"/>
    <col min="13297" max="13297" width="18.125" style="231" customWidth="1"/>
    <col min="13298" max="13299" width="10.25" style="231" customWidth="1"/>
    <col min="13300" max="13300" width="8.5" style="231" customWidth="1"/>
    <col min="13301" max="13301" width="8.875" style="231" bestFit="1" customWidth="1"/>
    <col min="13302" max="13303" width="6.75" style="231" customWidth="1"/>
    <col min="13304" max="13304" width="3.5" style="231" customWidth="1"/>
    <col min="13305" max="13305" width="8.5" style="231" customWidth="1"/>
    <col min="13306" max="13306" width="13.25" style="231" customWidth="1"/>
    <col min="13307" max="13307" width="4.5" style="231" customWidth="1"/>
    <col min="13308" max="13308" width="8.5" style="231" customWidth="1"/>
    <col min="13309" max="13309" width="12" style="231" customWidth="1"/>
    <col min="13310" max="13310" width="4.5" style="231" customWidth="1"/>
    <col min="13311" max="13311" width="8.5" style="231" customWidth="1"/>
    <col min="13312" max="13312" width="11" style="231" customWidth="1"/>
    <col min="13313" max="13313" width="4.5" style="231" customWidth="1"/>
    <col min="13314" max="13314" width="8.5" style="231" customWidth="1"/>
    <col min="13315" max="13315" width="11.125" style="231" customWidth="1"/>
    <col min="13316" max="13316" width="4.5" style="231" customWidth="1"/>
    <col min="13317" max="13317" width="8.5" style="231" customWidth="1"/>
    <col min="13318" max="13318" width="11.125" style="231" customWidth="1"/>
    <col min="13319" max="13319" width="4.5" style="231" customWidth="1"/>
    <col min="13320" max="13320" width="8.5" style="231" customWidth="1"/>
    <col min="13321" max="13321" width="11.125" style="231" customWidth="1"/>
    <col min="13322" max="13322" width="4.5" style="231" customWidth="1"/>
    <col min="13323" max="13323" width="8.5" style="231" customWidth="1"/>
    <col min="13324" max="13324" width="11.125" style="231" customWidth="1"/>
    <col min="13325" max="13325" width="4.5" style="231" customWidth="1"/>
    <col min="13326" max="13326" width="8.5" style="231" customWidth="1"/>
    <col min="13327" max="13327" width="11.125" style="231" customWidth="1"/>
    <col min="13328" max="13328" width="4.5" style="231" customWidth="1"/>
    <col min="13329" max="13329" width="8.5" style="231" customWidth="1"/>
    <col min="13330" max="13330" width="11.125" style="231" customWidth="1"/>
    <col min="13331" max="13331" width="4.5" style="231" customWidth="1"/>
    <col min="13332" max="13332" width="8.5" style="231" customWidth="1"/>
    <col min="13333" max="13333" width="11.125" style="231" customWidth="1"/>
    <col min="13334" max="13334" width="4.5" style="231" customWidth="1"/>
    <col min="13335" max="13335" width="8.5" style="231" customWidth="1"/>
    <col min="13336" max="13336" width="11.125" style="231" customWidth="1"/>
    <col min="13337" max="13337" width="4.5" style="231" customWidth="1"/>
    <col min="13338" max="13338" width="8.5" style="231" customWidth="1"/>
    <col min="13339" max="13339" width="11.125" style="231" customWidth="1"/>
    <col min="13340" max="13340" width="4.5" style="231" customWidth="1"/>
    <col min="13341" max="13341" width="8.5" style="231" customWidth="1"/>
    <col min="13342" max="13342" width="11.125" style="231" customWidth="1"/>
    <col min="13343" max="13343" width="4.5" style="231" customWidth="1"/>
    <col min="13344" max="13344" width="8.5" style="231" customWidth="1"/>
    <col min="13345" max="13345" width="11.125" style="231" customWidth="1"/>
    <col min="13346" max="13346" width="33" style="231" customWidth="1"/>
    <col min="13347" max="13549" width="9" style="231"/>
    <col min="13550" max="13550" width="1.5" style="231" customWidth="1"/>
    <col min="13551" max="13551" width="3.125" style="231" customWidth="1"/>
    <col min="13552" max="13552" width="9.625" style="231" customWidth="1"/>
    <col min="13553" max="13553" width="18.125" style="231" customWidth="1"/>
    <col min="13554" max="13555" width="10.25" style="231" customWidth="1"/>
    <col min="13556" max="13556" width="8.5" style="231" customWidth="1"/>
    <col min="13557" max="13557" width="8.875" style="231" bestFit="1" customWidth="1"/>
    <col min="13558" max="13559" width="6.75" style="231" customWidth="1"/>
    <col min="13560" max="13560" width="3.5" style="231" customWidth="1"/>
    <col min="13561" max="13561" width="8.5" style="231" customWidth="1"/>
    <col min="13562" max="13562" width="13.25" style="231" customWidth="1"/>
    <col min="13563" max="13563" width="4.5" style="231" customWidth="1"/>
    <col min="13564" max="13564" width="8.5" style="231" customWidth="1"/>
    <col min="13565" max="13565" width="12" style="231" customWidth="1"/>
    <col min="13566" max="13566" width="4.5" style="231" customWidth="1"/>
    <col min="13567" max="13567" width="8.5" style="231" customWidth="1"/>
    <col min="13568" max="13568" width="11" style="231" customWidth="1"/>
    <col min="13569" max="13569" width="4.5" style="231" customWidth="1"/>
    <col min="13570" max="13570" width="8.5" style="231" customWidth="1"/>
    <col min="13571" max="13571" width="11.125" style="231" customWidth="1"/>
    <col min="13572" max="13572" width="4.5" style="231" customWidth="1"/>
    <col min="13573" max="13573" width="8.5" style="231" customWidth="1"/>
    <col min="13574" max="13574" width="11.125" style="231" customWidth="1"/>
    <col min="13575" max="13575" width="4.5" style="231" customWidth="1"/>
    <col min="13576" max="13576" width="8.5" style="231" customWidth="1"/>
    <col min="13577" max="13577" width="11.125" style="231" customWidth="1"/>
    <col min="13578" max="13578" width="4.5" style="231" customWidth="1"/>
    <col min="13579" max="13579" width="8.5" style="231" customWidth="1"/>
    <col min="13580" max="13580" width="11.125" style="231" customWidth="1"/>
    <col min="13581" max="13581" width="4.5" style="231" customWidth="1"/>
    <col min="13582" max="13582" width="8.5" style="231" customWidth="1"/>
    <col min="13583" max="13583" width="11.125" style="231" customWidth="1"/>
    <col min="13584" max="13584" width="4.5" style="231" customWidth="1"/>
    <col min="13585" max="13585" width="8.5" style="231" customWidth="1"/>
    <col min="13586" max="13586" width="11.125" style="231" customWidth="1"/>
    <col min="13587" max="13587" width="4.5" style="231" customWidth="1"/>
    <col min="13588" max="13588" width="8.5" style="231" customWidth="1"/>
    <col min="13589" max="13589" width="11.125" style="231" customWidth="1"/>
    <col min="13590" max="13590" width="4.5" style="231" customWidth="1"/>
    <col min="13591" max="13591" width="8.5" style="231" customWidth="1"/>
    <col min="13592" max="13592" width="11.125" style="231" customWidth="1"/>
    <col min="13593" max="13593" width="4.5" style="231" customWidth="1"/>
    <col min="13594" max="13594" width="8.5" style="231" customWidth="1"/>
    <col min="13595" max="13595" width="11.125" style="231" customWidth="1"/>
    <col min="13596" max="13596" width="4.5" style="231" customWidth="1"/>
    <col min="13597" max="13597" width="8.5" style="231" customWidth="1"/>
    <col min="13598" max="13598" width="11.125" style="231" customWidth="1"/>
    <col min="13599" max="13599" width="4.5" style="231" customWidth="1"/>
    <col min="13600" max="13600" width="8.5" style="231" customWidth="1"/>
    <col min="13601" max="13601" width="11.125" style="231" customWidth="1"/>
    <col min="13602" max="13602" width="33" style="231" customWidth="1"/>
    <col min="13603" max="13805" width="9" style="231"/>
    <col min="13806" max="13806" width="1.5" style="231" customWidth="1"/>
    <col min="13807" max="13807" width="3.125" style="231" customWidth="1"/>
    <col min="13808" max="13808" width="9.625" style="231" customWidth="1"/>
    <col min="13809" max="13809" width="18.125" style="231" customWidth="1"/>
    <col min="13810" max="13811" width="10.25" style="231" customWidth="1"/>
    <col min="13812" max="13812" width="8.5" style="231" customWidth="1"/>
    <col min="13813" max="13813" width="8.875" style="231" bestFit="1" customWidth="1"/>
    <col min="13814" max="13815" width="6.75" style="231" customWidth="1"/>
    <col min="13816" max="13816" width="3.5" style="231" customWidth="1"/>
    <col min="13817" max="13817" width="8.5" style="231" customWidth="1"/>
    <col min="13818" max="13818" width="13.25" style="231" customWidth="1"/>
    <col min="13819" max="13819" width="4.5" style="231" customWidth="1"/>
    <col min="13820" max="13820" width="8.5" style="231" customWidth="1"/>
    <col min="13821" max="13821" width="12" style="231" customWidth="1"/>
    <col min="13822" max="13822" width="4.5" style="231" customWidth="1"/>
    <col min="13823" max="13823" width="8.5" style="231" customWidth="1"/>
    <col min="13824" max="13824" width="11" style="231" customWidth="1"/>
    <col min="13825" max="13825" width="4.5" style="231" customWidth="1"/>
    <col min="13826" max="13826" width="8.5" style="231" customWidth="1"/>
    <col min="13827" max="13827" width="11.125" style="231" customWidth="1"/>
    <col min="13828" max="13828" width="4.5" style="231" customWidth="1"/>
    <col min="13829" max="13829" width="8.5" style="231" customWidth="1"/>
    <col min="13830" max="13830" width="11.125" style="231" customWidth="1"/>
    <col min="13831" max="13831" width="4.5" style="231" customWidth="1"/>
    <col min="13832" max="13832" width="8.5" style="231" customWidth="1"/>
    <col min="13833" max="13833" width="11.125" style="231" customWidth="1"/>
    <col min="13834" max="13834" width="4.5" style="231" customWidth="1"/>
    <col min="13835" max="13835" width="8.5" style="231" customWidth="1"/>
    <col min="13836" max="13836" width="11.125" style="231" customWidth="1"/>
    <col min="13837" max="13837" width="4.5" style="231" customWidth="1"/>
    <col min="13838" max="13838" width="8.5" style="231" customWidth="1"/>
    <col min="13839" max="13839" width="11.125" style="231" customWidth="1"/>
    <col min="13840" max="13840" width="4.5" style="231" customWidth="1"/>
    <col min="13841" max="13841" width="8.5" style="231" customWidth="1"/>
    <col min="13842" max="13842" width="11.125" style="231" customWidth="1"/>
    <col min="13843" max="13843" width="4.5" style="231" customWidth="1"/>
    <col min="13844" max="13844" width="8.5" style="231" customWidth="1"/>
    <col min="13845" max="13845" width="11.125" style="231" customWidth="1"/>
    <col min="13846" max="13846" width="4.5" style="231" customWidth="1"/>
    <col min="13847" max="13847" width="8.5" style="231" customWidth="1"/>
    <col min="13848" max="13848" width="11.125" style="231" customWidth="1"/>
    <col min="13849" max="13849" width="4.5" style="231" customWidth="1"/>
    <col min="13850" max="13850" width="8.5" style="231" customWidth="1"/>
    <col min="13851" max="13851" width="11.125" style="231" customWidth="1"/>
    <col min="13852" max="13852" width="4.5" style="231" customWidth="1"/>
    <col min="13853" max="13853" width="8.5" style="231" customWidth="1"/>
    <col min="13854" max="13854" width="11.125" style="231" customWidth="1"/>
    <col min="13855" max="13855" width="4.5" style="231" customWidth="1"/>
    <col min="13856" max="13856" width="8.5" style="231" customWidth="1"/>
    <col min="13857" max="13857" width="11.125" style="231" customWidth="1"/>
    <col min="13858" max="13858" width="33" style="231" customWidth="1"/>
    <col min="13859" max="14061" width="9" style="231"/>
    <col min="14062" max="14062" width="1.5" style="231" customWidth="1"/>
    <col min="14063" max="14063" width="3.125" style="231" customWidth="1"/>
    <col min="14064" max="14064" width="9.625" style="231" customWidth="1"/>
    <col min="14065" max="14065" width="18.125" style="231" customWidth="1"/>
    <col min="14066" max="14067" width="10.25" style="231" customWidth="1"/>
    <col min="14068" max="14068" width="8.5" style="231" customWidth="1"/>
    <col min="14069" max="14069" width="8.875" style="231" bestFit="1" customWidth="1"/>
    <col min="14070" max="14071" width="6.75" style="231" customWidth="1"/>
    <col min="14072" max="14072" width="3.5" style="231" customWidth="1"/>
    <col min="14073" max="14073" width="8.5" style="231" customWidth="1"/>
    <col min="14074" max="14074" width="13.25" style="231" customWidth="1"/>
    <col min="14075" max="14075" width="4.5" style="231" customWidth="1"/>
    <col min="14076" max="14076" width="8.5" style="231" customWidth="1"/>
    <col min="14077" max="14077" width="12" style="231" customWidth="1"/>
    <col min="14078" max="14078" width="4.5" style="231" customWidth="1"/>
    <col min="14079" max="14079" width="8.5" style="231" customWidth="1"/>
    <col min="14080" max="14080" width="11" style="231" customWidth="1"/>
    <col min="14081" max="14081" width="4.5" style="231" customWidth="1"/>
    <col min="14082" max="14082" width="8.5" style="231" customWidth="1"/>
    <col min="14083" max="14083" width="11.125" style="231" customWidth="1"/>
    <col min="14084" max="14084" width="4.5" style="231" customWidth="1"/>
    <col min="14085" max="14085" width="8.5" style="231" customWidth="1"/>
    <col min="14086" max="14086" width="11.125" style="231" customWidth="1"/>
    <col min="14087" max="14087" width="4.5" style="231" customWidth="1"/>
    <col min="14088" max="14088" width="8.5" style="231" customWidth="1"/>
    <col min="14089" max="14089" width="11.125" style="231" customWidth="1"/>
    <col min="14090" max="14090" width="4.5" style="231" customWidth="1"/>
    <col min="14091" max="14091" width="8.5" style="231" customWidth="1"/>
    <col min="14092" max="14092" width="11.125" style="231" customWidth="1"/>
    <col min="14093" max="14093" width="4.5" style="231" customWidth="1"/>
    <col min="14094" max="14094" width="8.5" style="231" customWidth="1"/>
    <col min="14095" max="14095" width="11.125" style="231" customWidth="1"/>
    <col min="14096" max="14096" width="4.5" style="231" customWidth="1"/>
    <col min="14097" max="14097" width="8.5" style="231" customWidth="1"/>
    <col min="14098" max="14098" width="11.125" style="231" customWidth="1"/>
    <col min="14099" max="14099" width="4.5" style="231" customWidth="1"/>
    <col min="14100" max="14100" width="8.5" style="231" customWidth="1"/>
    <col min="14101" max="14101" width="11.125" style="231" customWidth="1"/>
    <col min="14102" max="14102" width="4.5" style="231" customWidth="1"/>
    <col min="14103" max="14103" width="8.5" style="231" customWidth="1"/>
    <col min="14104" max="14104" width="11.125" style="231" customWidth="1"/>
    <col min="14105" max="14105" width="4.5" style="231" customWidth="1"/>
    <col min="14106" max="14106" width="8.5" style="231" customWidth="1"/>
    <col min="14107" max="14107" width="11.125" style="231" customWidth="1"/>
    <col min="14108" max="14108" width="4.5" style="231" customWidth="1"/>
    <col min="14109" max="14109" width="8.5" style="231" customWidth="1"/>
    <col min="14110" max="14110" width="11.125" style="231" customWidth="1"/>
    <col min="14111" max="14111" width="4.5" style="231" customWidth="1"/>
    <col min="14112" max="14112" width="8.5" style="231" customWidth="1"/>
    <col min="14113" max="14113" width="11.125" style="231" customWidth="1"/>
    <col min="14114" max="14114" width="33" style="231" customWidth="1"/>
    <col min="14115" max="14317" width="9" style="231"/>
    <col min="14318" max="14318" width="1.5" style="231" customWidth="1"/>
    <col min="14319" max="14319" width="3.125" style="231" customWidth="1"/>
    <col min="14320" max="14320" width="9.625" style="231" customWidth="1"/>
    <col min="14321" max="14321" width="18.125" style="231" customWidth="1"/>
    <col min="14322" max="14323" width="10.25" style="231" customWidth="1"/>
    <col min="14324" max="14324" width="8.5" style="231" customWidth="1"/>
    <col min="14325" max="14325" width="8.875" style="231" bestFit="1" customWidth="1"/>
    <col min="14326" max="14327" width="6.75" style="231" customWidth="1"/>
    <col min="14328" max="14328" width="3.5" style="231" customWidth="1"/>
    <col min="14329" max="14329" width="8.5" style="231" customWidth="1"/>
    <col min="14330" max="14330" width="13.25" style="231" customWidth="1"/>
    <col min="14331" max="14331" width="4.5" style="231" customWidth="1"/>
    <col min="14332" max="14332" width="8.5" style="231" customWidth="1"/>
    <col min="14333" max="14333" width="12" style="231" customWidth="1"/>
    <col min="14334" max="14334" width="4.5" style="231" customWidth="1"/>
    <col min="14335" max="14335" width="8.5" style="231" customWidth="1"/>
    <col min="14336" max="14336" width="11" style="231" customWidth="1"/>
    <col min="14337" max="14337" width="4.5" style="231" customWidth="1"/>
    <col min="14338" max="14338" width="8.5" style="231" customWidth="1"/>
    <col min="14339" max="14339" width="11.125" style="231" customWidth="1"/>
    <col min="14340" max="14340" width="4.5" style="231" customWidth="1"/>
    <col min="14341" max="14341" width="8.5" style="231" customWidth="1"/>
    <col min="14342" max="14342" width="11.125" style="231" customWidth="1"/>
    <col min="14343" max="14343" width="4.5" style="231" customWidth="1"/>
    <col min="14344" max="14344" width="8.5" style="231" customWidth="1"/>
    <col min="14345" max="14345" width="11.125" style="231" customWidth="1"/>
    <col min="14346" max="14346" width="4.5" style="231" customWidth="1"/>
    <col min="14347" max="14347" width="8.5" style="231" customWidth="1"/>
    <col min="14348" max="14348" width="11.125" style="231" customWidth="1"/>
    <col min="14349" max="14349" width="4.5" style="231" customWidth="1"/>
    <col min="14350" max="14350" width="8.5" style="231" customWidth="1"/>
    <col min="14351" max="14351" width="11.125" style="231" customWidth="1"/>
    <col min="14352" max="14352" width="4.5" style="231" customWidth="1"/>
    <col min="14353" max="14353" width="8.5" style="231" customWidth="1"/>
    <col min="14354" max="14354" width="11.125" style="231" customWidth="1"/>
    <col min="14355" max="14355" width="4.5" style="231" customWidth="1"/>
    <col min="14356" max="14356" width="8.5" style="231" customWidth="1"/>
    <col min="14357" max="14357" width="11.125" style="231" customWidth="1"/>
    <col min="14358" max="14358" width="4.5" style="231" customWidth="1"/>
    <col min="14359" max="14359" width="8.5" style="231" customWidth="1"/>
    <col min="14360" max="14360" width="11.125" style="231" customWidth="1"/>
    <col min="14361" max="14361" width="4.5" style="231" customWidth="1"/>
    <col min="14362" max="14362" width="8.5" style="231" customWidth="1"/>
    <col min="14363" max="14363" width="11.125" style="231" customWidth="1"/>
    <col min="14364" max="14364" width="4.5" style="231" customWidth="1"/>
    <col min="14365" max="14365" width="8.5" style="231" customWidth="1"/>
    <col min="14366" max="14366" width="11.125" style="231" customWidth="1"/>
    <col min="14367" max="14367" width="4.5" style="231" customWidth="1"/>
    <col min="14368" max="14368" width="8.5" style="231" customWidth="1"/>
    <col min="14369" max="14369" width="11.125" style="231" customWidth="1"/>
    <col min="14370" max="14370" width="33" style="231" customWidth="1"/>
    <col min="14371" max="14573" width="9" style="231"/>
    <col min="14574" max="14574" width="1.5" style="231" customWidth="1"/>
    <col min="14575" max="14575" width="3.125" style="231" customWidth="1"/>
    <col min="14576" max="14576" width="9.625" style="231" customWidth="1"/>
    <col min="14577" max="14577" width="18.125" style="231" customWidth="1"/>
    <col min="14578" max="14579" width="10.25" style="231" customWidth="1"/>
    <col min="14580" max="14580" width="8.5" style="231" customWidth="1"/>
    <col min="14581" max="14581" width="8.875" style="231" bestFit="1" customWidth="1"/>
    <col min="14582" max="14583" width="6.75" style="231" customWidth="1"/>
    <col min="14584" max="14584" width="3.5" style="231" customWidth="1"/>
    <col min="14585" max="14585" width="8.5" style="231" customWidth="1"/>
    <col min="14586" max="14586" width="13.25" style="231" customWidth="1"/>
    <col min="14587" max="14587" width="4.5" style="231" customWidth="1"/>
    <col min="14588" max="14588" width="8.5" style="231" customWidth="1"/>
    <col min="14589" max="14589" width="12" style="231" customWidth="1"/>
    <col min="14590" max="14590" width="4.5" style="231" customWidth="1"/>
    <col min="14591" max="14591" width="8.5" style="231" customWidth="1"/>
    <col min="14592" max="14592" width="11" style="231" customWidth="1"/>
    <col min="14593" max="14593" width="4.5" style="231" customWidth="1"/>
    <col min="14594" max="14594" width="8.5" style="231" customWidth="1"/>
    <col min="14595" max="14595" width="11.125" style="231" customWidth="1"/>
    <col min="14596" max="14596" width="4.5" style="231" customWidth="1"/>
    <col min="14597" max="14597" width="8.5" style="231" customWidth="1"/>
    <col min="14598" max="14598" width="11.125" style="231" customWidth="1"/>
    <col min="14599" max="14599" width="4.5" style="231" customWidth="1"/>
    <col min="14600" max="14600" width="8.5" style="231" customWidth="1"/>
    <col min="14601" max="14601" width="11.125" style="231" customWidth="1"/>
    <col min="14602" max="14602" width="4.5" style="231" customWidth="1"/>
    <col min="14603" max="14603" width="8.5" style="231" customWidth="1"/>
    <col min="14604" max="14604" width="11.125" style="231" customWidth="1"/>
    <col min="14605" max="14605" width="4.5" style="231" customWidth="1"/>
    <col min="14606" max="14606" width="8.5" style="231" customWidth="1"/>
    <col min="14607" max="14607" width="11.125" style="231" customWidth="1"/>
    <col min="14608" max="14608" width="4.5" style="231" customWidth="1"/>
    <col min="14609" max="14609" width="8.5" style="231" customWidth="1"/>
    <col min="14610" max="14610" width="11.125" style="231" customWidth="1"/>
    <col min="14611" max="14611" width="4.5" style="231" customWidth="1"/>
    <col min="14612" max="14612" width="8.5" style="231" customWidth="1"/>
    <col min="14613" max="14613" width="11.125" style="231" customWidth="1"/>
    <col min="14614" max="14614" width="4.5" style="231" customWidth="1"/>
    <col min="14615" max="14615" width="8.5" style="231" customWidth="1"/>
    <col min="14616" max="14616" width="11.125" style="231" customWidth="1"/>
    <col min="14617" max="14617" width="4.5" style="231" customWidth="1"/>
    <col min="14618" max="14618" width="8.5" style="231" customWidth="1"/>
    <col min="14619" max="14619" width="11.125" style="231" customWidth="1"/>
    <col min="14620" max="14620" width="4.5" style="231" customWidth="1"/>
    <col min="14621" max="14621" width="8.5" style="231" customWidth="1"/>
    <col min="14622" max="14622" width="11.125" style="231" customWidth="1"/>
    <col min="14623" max="14623" width="4.5" style="231" customWidth="1"/>
    <col min="14624" max="14624" width="8.5" style="231" customWidth="1"/>
    <col min="14625" max="14625" width="11.125" style="231" customWidth="1"/>
    <col min="14626" max="14626" width="33" style="231" customWidth="1"/>
    <col min="14627" max="14829" width="9" style="231"/>
    <col min="14830" max="14830" width="1.5" style="231" customWidth="1"/>
    <col min="14831" max="14831" width="3.125" style="231" customWidth="1"/>
    <col min="14832" max="14832" width="9.625" style="231" customWidth="1"/>
    <col min="14833" max="14833" width="18.125" style="231" customWidth="1"/>
    <col min="14834" max="14835" width="10.25" style="231" customWidth="1"/>
    <col min="14836" max="14836" width="8.5" style="231" customWidth="1"/>
    <col min="14837" max="14837" width="8.875" style="231" bestFit="1" customWidth="1"/>
    <col min="14838" max="14839" width="6.75" style="231" customWidth="1"/>
    <col min="14840" max="14840" width="3.5" style="231" customWidth="1"/>
    <col min="14841" max="14841" width="8.5" style="231" customWidth="1"/>
    <col min="14842" max="14842" width="13.25" style="231" customWidth="1"/>
    <col min="14843" max="14843" width="4.5" style="231" customWidth="1"/>
    <col min="14844" max="14844" width="8.5" style="231" customWidth="1"/>
    <col min="14845" max="14845" width="12" style="231" customWidth="1"/>
    <col min="14846" max="14846" width="4.5" style="231" customWidth="1"/>
    <col min="14847" max="14847" width="8.5" style="231" customWidth="1"/>
    <col min="14848" max="14848" width="11" style="231" customWidth="1"/>
    <col min="14849" max="14849" width="4.5" style="231" customWidth="1"/>
    <col min="14850" max="14850" width="8.5" style="231" customWidth="1"/>
    <col min="14851" max="14851" width="11.125" style="231" customWidth="1"/>
    <col min="14852" max="14852" width="4.5" style="231" customWidth="1"/>
    <col min="14853" max="14853" width="8.5" style="231" customWidth="1"/>
    <col min="14854" max="14854" width="11.125" style="231" customWidth="1"/>
    <col min="14855" max="14855" width="4.5" style="231" customWidth="1"/>
    <col min="14856" max="14856" width="8.5" style="231" customWidth="1"/>
    <col min="14857" max="14857" width="11.125" style="231" customWidth="1"/>
    <col min="14858" max="14858" width="4.5" style="231" customWidth="1"/>
    <col min="14859" max="14859" width="8.5" style="231" customWidth="1"/>
    <col min="14860" max="14860" width="11.125" style="231" customWidth="1"/>
    <col min="14861" max="14861" width="4.5" style="231" customWidth="1"/>
    <col min="14862" max="14862" width="8.5" style="231" customWidth="1"/>
    <col min="14863" max="14863" width="11.125" style="231" customWidth="1"/>
    <col min="14864" max="14864" width="4.5" style="231" customWidth="1"/>
    <col min="14865" max="14865" width="8.5" style="231" customWidth="1"/>
    <col min="14866" max="14866" width="11.125" style="231" customWidth="1"/>
    <col min="14867" max="14867" width="4.5" style="231" customWidth="1"/>
    <col min="14868" max="14868" width="8.5" style="231" customWidth="1"/>
    <col min="14869" max="14869" width="11.125" style="231" customWidth="1"/>
    <col min="14870" max="14870" width="4.5" style="231" customWidth="1"/>
    <col min="14871" max="14871" width="8.5" style="231" customWidth="1"/>
    <col min="14872" max="14872" width="11.125" style="231" customWidth="1"/>
    <col min="14873" max="14873" width="4.5" style="231" customWidth="1"/>
    <col min="14874" max="14874" width="8.5" style="231" customWidth="1"/>
    <col min="14875" max="14875" width="11.125" style="231" customWidth="1"/>
    <col min="14876" max="14876" width="4.5" style="231" customWidth="1"/>
    <col min="14877" max="14877" width="8.5" style="231" customWidth="1"/>
    <col min="14878" max="14878" width="11.125" style="231" customWidth="1"/>
    <col min="14879" max="14879" width="4.5" style="231" customWidth="1"/>
    <col min="14880" max="14880" width="8.5" style="231" customWidth="1"/>
    <col min="14881" max="14881" width="11.125" style="231" customWidth="1"/>
    <col min="14882" max="14882" width="33" style="231" customWidth="1"/>
    <col min="14883" max="15085" width="9" style="231"/>
    <col min="15086" max="15086" width="1.5" style="231" customWidth="1"/>
    <col min="15087" max="15087" width="3.125" style="231" customWidth="1"/>
    <col min="15088" max="15088" width="9.625" style="231" customWidth="1"/>
    <col min="15089" max="15089" width="18.125" style="231" customWidth="1"/>
    <col min="15090" max="15091" width="10.25" style="231" customWidth="1"/>
    <col min="15092" max="15092" width="8.5" style="231" customWidth="1"/>
    <col min="15093" max="15093" width="8.875" style="231" bestFit="1" customWidth="1"/>
    <col min="15094" max="15095" width="6.75" style="231" customWidth="1"/>
    <col min="15096" max="15096" width="3.5" style="231" customWidth="1"/>
    <col min="15097" max="15097" width="8.5" style="231" customWidth="1"/>
    <col min="15098" max="15098" width="13.25" style="231" customWidth="1"/>
    <col min="15099" max="15099" width="4.5" style="231" customWidth="1"/>
    <col min="15100" max="15100" width="8.5" style="231" customWidth="1"/>
    <col min="15101" max="15101" width="12" style="231" customWidth="1"/>
    <col min="15102" max="15102" width="4.5" style="231" customWidth="1"/>
    <col min="15103" max="15103" width="8.5" style="231" customWidth="1"/>
    <col min="15104" max="15104" width="11" style="231" customWidth="1"/>
    <col min="15105" max="15105" width="4.5" style="231" customWidth="1"/>
    <col min="15106" max="15106" width="8.5" style="231" customWidth="1"/>
    <col min="15107" max="15107" width="11.125" style="231" customWidth="1"/>
    <col min="15108" max="15108" width="4.5" style="231" customWidth="1"/>
    <col min="15109" max="15109" width="8.5" style="231" customWidth="1"/>
    <col min="15110" max="15110" width="11.125" style="231" customWidth="1"/>
    <col min="15111" max="15111" width="4.5" style="231" customWidth="1"/>
    <col min="15112" max="15112" width="8.5" style="231" customWidth="1"/>
    <col min="15113" max="15113" width="11.125" style="231" customWidth="1"/>
    <col min="15114" max="15114" width="4.5" style="231" customWidth="1"/>
    <col min="15115" max="15115" width="8.5" style="231" customWidth="1"/>
    <col min="15116" max="15116" width="11.125" style="231" customWidth="1"/>
    <col min="15117" max="15117" width="4.5" style="231" customWidth="1"/>
    <col min="15118" max="15118" width="8.5" style="231" customWidth="1"/>
    <col min="15119" max="15119" width="11.125" style="231" customWidth="1"/>
    <col min="15120" max="15120" width="4.5" style="231" customWidth="1"/>
    <col min="15121" max="15121" width="8.5" style="231" customWidth="1"/>
    <col min="15122" max="15122" width="11.125" style="231" customWidth="1"/>
    <col min="15123" max="15123" width="4.5" style="231" customWidth="1"/>
    <col min="15124" max="15124" width="8.5" style="231" customWidth="1"/>
    <col min="15125" max="15125" width="11.125" style="231" customWidth="1"/>
    <col min="15126" max="15126" width="4.5" style="231" customWidth="1"/>
    <col min="15127" max="15127" width="8.5" style="231" customWidth="1"/>
    <col min="15128" max="15128" width="11.125" style="231" customWidth="1"/>
    <col min="15129" max="15129" width="4.5" style="231" customWidth="1"/>
    <col min="15130" max="15130" width="8.5" style="231" customWidth="1"/>
    <col min="15131" max="15131" width="11.125" style="231" customWidth="1"/>
    <col min="15132" max="15132" width="4.5" style="231" customWidth="1"/>
    <col min="15133" max="15133" width="8.5" style="231" customWidth="1"/>
    <col min="15134" max="15134" width="11.125" style="231" customWidth="1"/>
    <col min="15135" max="15135" width="4.5" style="231" customWidth="1"/>
    <col min="15136" max="15136" width="8.5" style="231" customWidth="1"/>
    <col min="15137" max="15137" width="11.125" style="231" customWidth="1"/>
    <col min="15138" max="15138" width="33" style="231" customWidth="1"/>
    <col min="15139" max="15341" width="9" style="231"/>
    <col min="15342" max="15342" width="1.5" style="231" customWidth="1"/>
    <col min="15343" max="15343" width="3.125" style="231" customWidth="1"/>
    <col min="15344" max="15344" width="9.625" style="231" customWidth="1"/>
    <col min="15345" max="15345" width="18.125" style="231" customWidth="1"/>
    <col min="15346" max="15347" width="10.25" style="231" customWidth="1"/>
    <col min="15348" max="15348" width="8.5" style="231" customWidth="1"/>
    <col min="15349" max="15349" width="8.875" style="231" bestFit="1" customWidth="1"/>
    <col min="15350" max="15351" width="6.75" style="231" customWidth="1"/>
    <col min="15352" max="15352" width="3.5" style="231" customWidth="1"/>
    <col min="15353" max="15353" width="8.5" style="231" customWidth="1"/>
    <col min="15354" max="15354" width="13.25" style="231" customWidth="1"/>
    <col min="15355" max="15355" width="4.5" style="231" customWidth="1"/>
    <col min="15356" max="15356" width="8.5" style="231" customWidth="1"/>
    <col min="15357" max="15357" width="12" style="231" customWidth="1"/>
    <col min="15358" max="15358" width="4.5" style="231" customWidth="1"/>
    <col min="15359" max="15359" width="8.5" style="231" customWidth="1"/>
    <col min="15360" max="15360" width="11" style="231" customWidth="1"/>
    <col min="15361" max="15361" width="4.5" style="231" customWidth="1"/>
    <col min="15362" max="15362" width="8.5" style="231" customWidth="1"/>
    <col min="15363" max="15363" width="11.125" style="231" customWidth="1"/>
    <col min="15364" max="15364" width="4.5" style="231" customWidth="1"/>
    <col min="15365" max="15365" width="8.5" style="231" customWidth="1"/>
    <col min="15366" max="15366" width="11.125" style="231" customWidth="1"/>
    <col min="15367" max="15367" width="4.5" style="231" customWidth="1"/>
    <col min="15368" max="15368" width="8.5" style="231" customWidth="1"/>
    <col min="15369" max="15369" width="11.125" style="231" customWidth="1"/>
    <col min="15370" max="15370" width="4.5" style="231" customWidth="1"/>
    <col min="15371" max="15371" width="8.5" style="231" customWidth="1"/>
    <col min="15372" max="15372" width="11.125" style="231" customWidth="1"/>
    <col min="15373" max="15373" width="4.5" style="231" customWidth="1"/>
    <col min="15374" max="15374" width="8.5" style="231" customWidth="1"/>
    <col min="15375" max="15375" width="11.125" style="231" customWidth="1"/>
    <col min="15376" max="15376" width="4.5" style="231" customWidth="1"/>
    <col min="15377" max="15377" width="8.5" style="231" customWidth="1"/>
    <col min="15378" max="15378" width="11.125" style="231" customWidth="1"/>
    <col min="15379" max="15379" width="4.5" style="231" customWidth="1"/>
    <col min="15380" max="15380" width="8.5" style="231" customWidth="1"/>
    <col min="15381" max="15381" width="11.125" style="231" customWidth="1"/>
    <col min="15382" max="15382" width="4.5" style="231" customWidth="1"/>
    <col min="15383" max="15383" width="8.5" style="231" customWidth="1"/>
    <col min="15384" max="15384" width="11.125" style="231" customWidth="1"/>
    <col min="15385" max="15385" width="4.5" style="231" customWidth="1"/>
    <col min="15386" max="15386" width="8.5" style="231" customWidth="1"/>
    <col min="15387" max="15387" width="11.125" style="231" customWidth="1"/>
    <col min="15388" max="15388" width="4.5" style="231" customWidth="1"/>
    <col min="15389" max="15389" width="8.5" style="231" customWidth="1"/>
    <col min="15390" max="15390" width="11.125" style="231" customWidth="1"/>
    <col min="15391" max="15391" width="4.5" style="231" customWidth="1"/>
    <col min="15392" max="15392" width="8.5" style="231" customWidth="1"/>
    <col min="15393" max="15393" width="11.125" style="231" customWidth="1"/>
    <col min="15394" max="15394" width="33" style="231" customWidth="1"/>
    <col min="15395" max="15597" width="9" style="231"/>
    <col min="15598" max="15598" width="1.5" style="231" customWidth="1"/>
    <col min="15599" max="15599" width="3.125" style="231" customWidth="1"/>
    <col min="15600" max="15600" width="9.625" style="231" customWidth="1"/>
    <col min="15601" max="15601" width="18.125" style="231" customWidth="1"/>
    <col min="15602" max="15603" width="10.25" style="231" customWidth="1"/>
    <col min="15604" max="15604" width="8.5" style="231" customWidth="1"/>
    <col min="15605" max="15605" width="8.875" style="231" bestFit="1" customWidth="1"/>
    <col min="15606" max="15607" width="6.75" style="231" customWidth="1"/>
    <col min="15608" max="15608" width="3.5" style="231" customWidth="1"/>
    <col min="15609" max="15609" width="8.5" style="231" customWidth="1"/>
    <col min="15610" max="15610" width="13.25" style="231" customWidth="1"/>
    <col min="15611" max="15611" width="4.5" style="231" customWidth="1"/>
    <col min="15612" max="15612" width="8.5" style="231" customWidth="1"/>
    <col min="15613" max="15613" width="12" style="231" customWidth="1"/>
    <col min="15614" max="15614" width="4.5" style="231" customWidth="1"/>
    <col min="15615" max="15615" width="8.5" style="231" customWidth="1"/>
    <col min="15616" max="15616" width="11" style="231" customWidth="1"/>
    <col min="15617" max="15617" width="4.5" style="231" customWidth="1"/>
    <col min="15618" max="15618" width="8.5" style="231" customWidth="1"/>
    <col min="15619" max="15619" width="11.125" style="231" customWidth="1"/>
    <col min="15620" max="15620" width="4.5" style="231" customWidth="1"/>
    <col min="15621" max="15621" width="8.5" style="231" customWidth="1"/>
    <col min="15622" max="15622" width="11.125" style="231" customWidth="1"/>
    <col min="15623" max="15623" width="4.5" style="231" customWidth="1"/>
    <col min="15624" max="15624" width="8.5" style="231" customWidth="1"/>
    <col min="15625" max="15625" width="11.125" style="231" customWidth="1"/>
    <col min="15626" max="15626" width="4.5" style="231" customWidth="1"/>
    <col min="15627" max="15627" width="8.5" style="231" customWidth="1"/>
    <col min="15628" max="15628" width="11.125" style="231" customWidth="1"/>
    <col min="15629" max="15629" width="4.5" style="231" customWidth="1"/>
    <col min="15630" max="15630" width="8.5" style="231" customWidth="1"/>
    <col min="15631" max="15631" width="11.125" style="231" customWidth="1"/>
    <col min="15632" max="15632" width="4.5" style="231" customWidth="1"/>
    <col min="15633" max="15633" width="8.5" style="231" customWidth="1"/>
    <col min="15634" max="15634" width="11.125" style="231" customWidth="1"/>
    <col min="15635" max="15635" width="4.5" style="231" customWidth="1"/>
    <col min="15636" max="15636" width="8.5" style="231" customWidth="1"/>
    <col min="15637" max="15637" width="11.125" style="231" customWidth="1"/>
    <col min="15638" max="15638" width="4.5" style="231" customWidth="1"/>
    <col min="15639" max="15639" width="8.5" style="231" customWidth="1"/>
    <col min="15640" max="15640" width="11.125" style="231" customWidth="1"/>
    <col min="15641" max="15641" width="4.5" style="231" customWidth="1"/>
    <col min="15642" max="15642" width="8.5" style="231" customWidth="1"/>
    <col min="15643" max="15643" width="11.125" style="231" customWidth="1"/>
    <col min="15644" max="15644" width="4.5" style="231" customWidth="1"/>
    <col min="15645" max="15645" width="8.5" style="231" customWidth="1"/>
    <col min="15646" max="15646" width="11.125" style="231" customWidth="1"/>
    <col min="15647" max="15647" width="4.5" style="231" customWidth="1"/>
    <col min="15648" max="15648" width="8.5" style="231" customWidth="1"/>
    <col min="15649" max="15649" width="11.125" style="231" customWidth="1"/>
    <col min="15650" max="15650" width="33" style="231" customWidth="1"/>
    <col min="15651" max="15853" width="9" style="231"/>
    <col min="15854" max="15854" width="1.5" style="231" customWidth="1"/>
    <col min="15855" max="15855" width="3.125" style="231" customWidth="1"/>
    <col min="15856" max="15856" width="9.625" style="231" customWidth="1"/>
    <col min="15857" max="15857" width="18.125" style="231" customWidth="1"/>
    <col min="15858" max="15859" width="10.25" style="231" customWidth="1"/>
    <col min="15860" max="15860" width="8.5" style="231" customWidth="1"/>
    <col min="15861" max="15861" width="8.875" style="231" bestFit="1" customWidth="1"/>
    <col min="15862" max="15863" width="6.75" style="231" customWidth="1"/>
    <col min="15864" max="15864" width="3.5" style="231" customWidth="1"/>
    <col min="15865" max="15865" width="8.5" style="231" customWidth="1"/>
    <col min="15866" max="15866" width="13.25" style="231" customWidth="1"/>
    <col min="15867" max="15867" width="4.5" style="231" customWidth="1"/>
    <col min="15868" max="15868" width="8.5" style="231" customWidth="1"/>
    <col min="15869" max="15869" width="12" style="231" customWidth="1"/>
    <col min="15870" max="15870" width="4.5" style="231" customWidth="1"/>
    <col min="15871" max="15871" width="8.5" style="231" customWidth="1"/>
    <col min="15872" max="15872" width="11" style="231" customWidth="1"/>
    <col min="15873" max="15873" width="4.5" style="231" customWidth="1"/>
    <col min="15874" max="15874" width="8.5" style="231" customWidth="1"/>
    <col min="15875" max="15875" width="11.125" style="231" customWidth="1"/>
    <col min="15876" max="15876" width="4.5" style="231" customWidth="1"/>
    <col min="15877" max="15877" width="8.5" style="231" customWidth="1"/>
    <col min="15878" max="15878" width="11.125" style="231" customWidth="1"/>
    <col min="15879" max="15879" width="4.5" style="231" customWidth="1"/>
    <col min="15880" max="15880" width="8.5" style="231" customWidth="1"/>
    <col min="15881" max="15881" width="11.125" style="231" customWidth="1"/>
    <col min="15882" max="15882" width="4.5" style="231" customWidth="1"/>
    <col min="15883" max="15883" width="8.5" style="231" customWidth="1"/>
    <col min="15884" max="15884" width="11.125" style="231" customWidth="1"/>
    <col min="15885" max="15885" width="4.5" style="231" customWidth="1"/>
    <col min="15886" max="15886" width="8.5" style="231" customWidth="1"/>
    <col min="15887" max="15887" width="11.125" style="231" customWidth="1"/>
    <col min="15888" max="15888" width="4.5" style="231" customWidth="1"/>
    <col min="15889" max="15889" width="8.5" style="231" customWidth="1"/>
    <col min="15890" max="15890" width="11.125" style="231" customWidth="1"/>
    <col min="15891" max="15891" width="4.5" style="231" customWidth="1"/>
    <col min="15892" max="15892" width="8.5" style="231" customWidth="1"/>
    <col min="15893" max="15893" width="11.125" style="231" customWidth="1"/>
    <col min="15894" max="15894" width="4.5" style="231" customWidth="1"/>
    <col min="15895" max="15895" width="8.5" style="231" customWidth="1"/>
    <col min="15896" max="15896" width="11.125" style="231" customWidth="1"/>
    <col min="15897" max="15897" width="4.5" style="231" customWidth="1"/>
    <col min="15898" max="15898" width="8.5" style="231" customWidth="1"/>
    <col min="15899" max="15899" width="11.125" style="231" customWidth="1"/>
    <col min="15900" max="15900" width="4.5" style="231" customWidth="1"/>
    <col min="15901" max="15901" width="8.5" style="231" customWidth="1"/>
    <col min="15902" max="15902" width="11.125" style="231" customWidth="1"/>
    <col min="15903" max="15903" width="4.5" style="231" customWidth="1"/>
    <col min="15904" max="15904" width="8.5" style="231" customWidth="1"/>
    <col min="15905" max="15905" width="11.125" style="231" customWidth="1"/>
    <col min="15906" max="15906" width="33" style="231" customWidth="1"/>
    <col min="15907" max="16109" width="9" style="231"/>
    <col min="16110" max="16110" width="1.5" style="231" customWidth="1"/>
    <col min="16111" max="16111" width="3.125" style="231" customWidth="1"/>
    <col min="16112" max="16112" width="9.625" style="231" customWidth="1"/>
    <col min="16113" max="16113" width="18.125" style="231" customWidth="1"/>
    <col min="16114" max="16115" width="10.25" style="231" customWidth="1"/>
    <col min="16116" max="16116" width="8.5" style="231" customWidth="1"/>
    <col min="16117" max="16117" width="8.875" style="231" bestFit="1" customWidth="1"/>
    <col min="16118" max="16119" width="6.75" style="231" customWidth="1"/>
    <col min="16120" max="16120" width="3.5" style="231" customWidth="1"/>
    <col min="16121" max="16121" width="8.5" style="231" customWidth="1"/>
    <col min="16122" max="16122" width="13.25" style="231" customWidth="1"/>
    <col min="16123" max="16123" width="4.5" style="231" customWidth="1"/>
    <col min="16124" max="16124" width="8.5" style="231" customWidth="1"/>
    <col min="16125" max="16125" width="12" style="231" customWidth="1"/>
    <col min="16126" max="16126" width="4.5" style="231" customWidth="1"/>
    <col min="16127" max="16127" width="8.5" style="231" customWidth="1"/>
    <col min="16128" max="16128" width="11" style="231" customWidth="1"/>
    <col min="16129" max="16129" width="4.5" style="231" customWidth="1"/>
    <col min="16130" max="16130" width="8.5" style="231" customWidth="1"/>
    <col min="16131" max="16131" width="11.125" style="231" customWidth="1"/>
    <col min="16132" max="16132" width="4.5" style="231" customWidth="1"/>
    <col min="16133" max="16133" width="8.5" style="231" customWidth="1"/>
    <col min="16134" max="16134" width="11.125" style="231" customWidth="1"/>
    <col min="16135" max="16135" width="4.5" style="231" customWidth="1"/>
    <col min="16136" max="16136" width="8.5" style="231" customWidth="1"/>
    <col min="16137" max="16137" width="11.125" style="231" customWidth="1"/>
    <col min="16138" max="16138" width="4.5" style="231" customWidth="1"/>
    <col min="16139" max="16139" width="8.5" style="231" customWidth="1"/>
    <col min="16140" max="16140" width="11.125" style="231" customWidth="1"/>
    <col min="16141" max="16141" width="4.5" style="231" customWidth="1"/>
    <col min="16142" max="16142" width="8.5" style="231" customWidth="1"/>
    <col min="16143" max="16143" width="11.125" style="231" customWidth="1"/>
    <col min="16144" max="16144" width="4.5" style="231" customWidth="1"/>
    <col min="16145" max="16145" width="8.5" style="231" customWidth="1"/>
    <col min="16146" max="16146" width="11.125" style="231" customWidth="1"/>
    <col min="16147" max="16147" width="4.5" style="231" customWidth="1"/>
    <col min="16148" max="16148" width="8.5" style="231" customWidth="1"/>
    <col min="16149" max="16149" width="11.125" style="231" customWidth="1"/>
    <col min="16150" max="16150" width="4.5" style="231" customWidth="1"/>
    <col min="16151" max="16151" width="8.5" style="231" customWidth="1"/>
    <col min="16152" max="16152" width="11.125" style="231" customWidth="1"/>
    <col min="16153" max="16153" width="4.5" style="231" customWidth="1"/>
    <col min="16154" max="16154" width="8.5" style="231" customWidth="1"/>
    <col min="16155" max="16155" width="11.125" style="231" customWidth="1"/>
    <col min="16156" max="16156" width="4.5" style="231" customWidth="1"/>
    <col min="16157" max="16157" width="8.5" style="231" customWidth="1"/>
    <col min="16158" max="16158" width="11.125" style="231" customWidth="1"/>
    <col min="16159" max="16159" width="4.5" style="231" customWidth="1"/>
    <col min="16160" max="16160" width="8.5" style="231" customWidth="1"/>
    <col min="16161" max="16161" width="11.125" style="231" customWidth="1"/>
    <col min="16162" max="16162" width="33" style="231" customWidth="1"/>
    <col min="16163" max="16384" width="9" style="231"/>
  </cols>
  <sheetData>
    <row r="1" spans="1:34" ht="13.5" thickBot="1"/>
    <row r="2" spans="1:34" s="233" customFormat="1" ht="18" thickBot="1">
      <c r="A2" s="232"/>
      <c r="B2" s="1180" t="s">
        <v>582</v>
      </c>
      <c r="C2" s="1181"/>
      <c r="D2" s="1181"/>
      <c r="E2" s="1181"/>
      <c r="F2" s="1181"/>
      <c r="G2" s="1182"/>
      <c r="H2" s="1217" t="s">
        <v>583</v>
      </c>
      <c r="I2" s="1218"/>
      <c r="J2" s="1218"/>
      <c r="K2" s="1218"/>
      <c r="L2" s="1219"/>
      <c r="M2" s="1219"/>
      <c r="N2" s="1219"/>
      <c r="O2" s="1219"/>
      <c r="P2" s="1219"/>
      <c r="Q2" s="1219"/>
      <c r="R2" s="1219"/>
      <c r="S2" s="1219"/>
      <c r="T2" s="1219"/>
      <c r="U2" s="1219"/>
      <c r="V2" s="1219"/>
      <c r="W2" s="1219"/>
      <c r="X2" s="1219"/>
      <c r="Y2" s="1219"/>
      <c r="Z2" s="1219"/>
      <c r="AA2" s="1219"/>
      <c r="AB2" s="1219"/>
      <c r="AC2" s="1219"/>
      <c r="AD2" s="1219"/>
      <c r="AE2" s="1219"/>
      <c r="AF2" s="1219"/>
      <c r="AG2" s="1219"/>
      <c r="AH2" s="1220"/>
    </row>
    <row r="3" spans="1:34" ht="15">
      <c r="B3" s="1199" t="s">
        <v>584</v>
      </c>
      <c r="C3" s="1201" t="s">
        <v>585</v>
      </c>
      <c r="D3" s="1202"/>
      <c r="E3" s="1221" t="s">
        <v>111</v>
      </c>
      <c r="F3" s="1221" t="s">
        <v>586</v>
      </c>
      <c r="G3" s="1223" t="s">
        <v>587</v>
      </c>
      <c r="H3" s="1209" t="s">
        <v>588</v>
      </c>
      <c r="I3" s="1210"/>
      <c r="J3" s="1211">
        <v>43617</v>
      </c>
      <c r="K3" s="1198"/>
      <c r="L3" s="1212">
        <f>EDATE(J3,-1)</f>
        <v>43586</v>
      </c>
      <c r="M3" s="1213"/>
      <c r="N3" s="1212">
        <f>EDATE(L3,-1)</f>
        <v>43556</v>
      </c>
      <c r="O3" s="1213"/>
      <c r="P3" s="1212">
        <f>EDATE(N3,-1)</f>
        <v>43525</v>
      </c>
      <c r="Q3" s="1213"/>
      <c r="R3" s="1212">
        <f>EDATE(P3,-1)</f>
        <v>43497</v>
      </c>
      <c r="S3" s="1213"/>
      <c r="T3" s="1212">
        <f>EDATE(R3,-1)</f>
        <v>43466</v>
      </c>
      <c r="U3" s="1213"/>
      <c r="V3" s="1212">
        <f>EDATE(T3,-1)</f>
        <v>43435</v>
      </c>
      <c r="W3" s="1213"/>
      <c r="X3" s="1212">
        <f>EDATE(V3,-1)</f>
        <v>43405</v>
      </c>
      <c r="Y3" s="1213"/>
      <c r="Z3" s="1212">
        <f>EDATE(X3,-1)</f>
        <v>43374</v>
      </c>
      <c r="AA3" s="1213"/>
      <c r="AB3" s="1212">
        <f>EDATE(Z3,-1)</f>
        <v>43344</v>
      </c>
      <c r="AC3" s="1213"/>
      <c r="AD3" s="1212">
        <f>EDATE(AB3,-1)</f>
        <v>43313</v>
      </c>
      <c r="AE3" s="1213"/>
      <c r="AF3" s="1212">
        <f>EDATE(AD3,-1)</f>
        <v>43282</v>
      </c>
      <c r="AG3" s="1213"/>
      <c r="AH3" s="1225" t="s">
        <v>589</v>
      </c>
    </row>
    <row r="4" spans="1:34" ht="15">
      <c r="B4" s="1200"/>
      <c r="C4" s="1203"/>
      <c r="D4" s="1204"/>
      <c r="E4" s="1222"/>
      <c r="F4" s="1222"/>
      <c r="G4" s="1224"/>
      <c r="H4" s="234" t="s">
        <v>590</v>
      </c>
      <c r="I4" s="235" t="s">
        <v>111</v>
      </c>
      <c r="J4" s="236" t="s">
        <v>591</v>
      </c>
      <c r="K4" s="237" t="s">
        <v>111</v>
      </c>
      <c r="L4" s="238" t="s">
        <v>591</v>
      </c>
      <c r="M4" s="239" t="s">
        <v>111</v>
      </c>
      <c r="N4" s="238" t="s">
        <v>591</v>
      </c>
      <c r="O4" s="239" t="s">
        <v>111</v>
      </c>
      <c r="P4" s="238" t="s">
        <v>591</v>
      </c>
      <c r="Q4" s="239" t="s">
        <v>111</v>
      </c>
      <c r="R4" s="238" t="s">
        <v>591</v>
      </c>
      <c r="S4" s="239" t="s">
        <v>111</v>
      </c>
      <c r="T4" s="238" t="s">
        <v>591</v>
      </c>
      <c r="U4" s="239" t="s">
        <v>111</v>
      </c>
      <c r="V4" s="238" t="s">
        <v>591</v>
      </c>
      <c r="W4" s="239" t="s">
        <v>111</v>
      </c>
      <c r="X4" s="238" t="s">
        <v>591</v>
      </c>
      <c r="Y4" s="239" t="s">
        <v>111</v>
      </c>
      <c r="Z4" s="238" t="s">
        <v>591</v>
      </c>
      <c r="AA4" s="239" t="s">
        <v>111</v>
      </c>
      <c r="AB4" s="238" t="s">
        <v>591</v>
      </c>
      <c r="AC4" s="239" t="s">
        <v>111</v>
      </c>
      <c r="AD4" s="238" t="s">
        <v>591</v>
      </c>
      <c r="AE4" s="239" t="s">
        <v>111</v>
      </c>
      <c r="AF4" s="238" t="s">
        <v>591</v>
      </c>
      <c r="AG4" s="239" t="s">
        <v>111</v>
      </c>
      <c r="AH4" s="1226"/>
    </row>
    <row r="5" spans="1:34">
      <c r="B5" s="240"/>
      <c r="C5" s="1214"/>
      <c r="D5" s="1215"/>
      <c r="E5" s="241"/>
      <c r="F5" s="241"/>
      <c r="G5" s="241"/>
      <c r="H5" s="242">
        <f t="shared" ref="H5:H6" si="0">COUNT(J5,L5,N5,P5,R5,T5,V5,X5,Z5,AB5,AD5,AF5)</f>
        <v>0</v>
      </c>
      <c r="I5" s="242">
        <f>SUM(K5,M5,O5,Q5,S5,U5,W5,AE5,Y5,AA5,AC5,AG5)</f>
        <v>0</v>
      </c>
      <c r="J5" s="243"/>
      <c r="K5" s="243"/>
      <c r="L5" s="243"/>
      <c r="M5" s="243"/>
      <c r="N5" s="243"/>
      <c r="O5" s="243"/>
      <c r="P5" s="243"/>
      <c r="Q5" s="243"/>
      <c r="R5" s="243"/>
      <c r="S5" s="243"/>
      <c r="T5" s="243"/>
      <c r="U5" s="243"/>
      <c r="V5" s="243"/>
      <c r="W5" s="243"/>
      <c r="X5" s="243"/>
      <c r="Y5" s="243"/>
      <c r="Z5" s="243"/>
      <c r="AA5" s="243"/>
      <c r="AB5" s="243"/>
      <c r="AC5" s="243"/>
      <c r="AD5" s="243"/>
      <c r="AE5" s="243"/>
      <c r="AF5" s="243"/>
      <c r="AG5" s="243"/>
      <c r="AH5" s="244"/>
    </row>
    <row r="6" spans="1:34" ht="13.5" thickBot="1">
      <c r="B6" s="240"/>
      <c r="C6" s="1214"/>
      <c r="D6" s="1215"/>
      <c r="E6" s="241"/>
      <c r="F6" s="241"/>
      <c r="G6" s="241"/>
      <c r="H6" s="242">
        <f t="shared" si="0"/>
        <v>0</v>
      </c>
      <c r="I6" s="242">
        <f>SUM(K6,M6,O6,Q6,S6,U6,W6,AE6,Y6,AA6,AC6,AG6)</f>
        <v>0</v>
      </c>
      <c r="J6" s="243"/>
      <c r="K6" s="243"/>
      <c r="L6" s="243"/>
      <c r="M6" s="243"/>
      <c r="N6" s="243"/>
      <c r="O6" s="243"/>
      <c r="P6" s="243"/>
      <c r="Q6" s="243"/>
      <c r="R6" s="243"/>
      <c r="S6" s="243"/>
      <c r="T6" s="243"/>
      <c r="U6" s="243"/>
      <c r="V6" s="243"/>
      <c r="W6" s="243"/>
      <c r="X6" s="243"/>
      <c r="Y6" s="243"/>
      <c r="Z6" s="243"/>
      <c r="AA6" s="243"/>
      <c r="AB6" s="243"/>
      <c r="AC6" s="243"/>
      <c r="AD6" s="243"/>
      <c r="AE6" s="243"/>
      <c r="AF6" s="243"/>
      <c r="AG6" s="243"/>
      <c r="AH6" s="244"/>
    </row>
    <row r="7" spans="1:34" ht="15.75" thickBot="1">
      <c r="B7" s="1190" t="s">
        <v>191</v>
      </c>
      <c r="C7" s="1191"/>
      <c r="D7" s="245">
        <f>SUBTOTAL(103,C$5:$C$6)</f>
        <v>0</v>
      </c>
      <c r="E7" s="246">
        <f>SUBTOTAL(109,E$5:$E$6)</f>
        <v>0</v>
      </c>
      <c r="F7" s="246"/>
      <c r="G7" s="246"/>
      <c r="H7" s="247">
        <f>SUBTOTAL(109,H$5:$H$6)</f>
        <v>0</v>
      </c>
      <c r="I7" s="247">
        <f>SUBTOTAL(109,I$5:$I$6)</f>
        <v>0</v>
      </c>
      <c r="J7" s="247">
        <f>SUBTOTAL(103,J$5:$J$6)</f>
        <v>0</v>
      </c>
      <c r="K7" s="247">
        <f>SUBTOTAL(109,K$5:$K$6)</f>
        <v>0</v>
      </c>
      <c r="L7" s="247">
        <f>SUBTOTAL(103,L$5:$L$6)</f>
        <v>0</v>
      </c>
      <c r="M7" s="247">
        <f>SUBTOTAL(109,M$5:$M$6)</f>
        <v>0</v>
      </c>
      <c r="N7" s="247">
        <f>SUBTOTAL(103,N$5:$N$6)</f>
        <v>0</v>
      </c>
      <c r="O7" s="247">
        <f>SUBTOTAL(109,O$5:$O$6)</f>
        <v>0</v>
      </c>
      <c r="P7" s="247">
        <f>SUBTOTAL(103,P$5:$P$6)</f>
        <v>0</v>
      </c>
      <c r="Q7" s="247">
        <f>SUBTOTAL(109,Q$5:$Q$6)</f>
        <v>0</v>
      </c>
      <c r="R7" s="247">
        <f>SUBTOTAL(103,R$5:$R$6)</f>
        <v>0</v>
      </c>
      <c r="S7" s="247">
        <f>SUBTOTAL(109,S$5:$S$6)</f>
        <v>0</v>
      </c>
      <c r="T7" s="247">
        <f>SUBTOTAL(103,T$5:$T$6)</f>
        <v>0</v>
      </c>
      <c r="U7" s="247">
        <f>SUBTOTAL(109,U$5:$U$6)</f>
        <v>0</v>
      </c>
      <c r="V7" s="247">
        <f>SUBTOTAL(103,V$5:$V$6)</f>
        <v>0</v>
      </c>
      <c r="W7" s="247">
        <f>SUBTOTAL(109,W$5:$W$6)</f>
        <v>0</v>
      </c>
      <c r="X7" s="247">
        <f>SUBTOTAL(103,X$5:$X$6)</f>
        <v>0</v>
      </c>
      <c r="Y7" s="247">
        <f>SUBTOTAL(109,Y$5:$Y$6)</f>
        <v>0</v>
      </c>
      <c r="Z7" s="247">
        <f>SUBTOTAL(103,Z$5:$Z$6)</f>
        <v>0</v>
      </c>
      <c r="AA7" s="247">
        <f>SUBTOTAL(109,AA$5:$AA$6)</f>
        <v>0</v>
      </c>
      <c r="AB7" s="247">
        <f>SUBTOTAL(103,AB$5:$AB$6)</f>
        <v>0</v>
      </c>
      <c r="AC7" s="247">
        <f>SUBTOTAL(109,AC$5:$AC$6)</f>
        <v>0</v>
      </c>
      <c r="AD7" s="247">
        <f>SUBTOTAL(103,AD$5:$AD$6)</f>
        <v>0</v>
      </c>
      <c r="AE7" s="247">
        <f>SUBTOTAL(109,AE$5:$AE$6)</f>
        <v>0</v>
      </c>
      <c r="AF7" s="247">
        <f>SUBTOTAL(103,AF$5:$AF$6)</f>
        <v>0</v>
      </c>
      <c r="AG7" s="247">
        <f>SUBTOTAL(109,AG$5:$AG$6)</f>
        <v>0</v>
      </c>
      <c r="AH7" s="248">
        <f>SUBTOTAL(103,AH$5:$AH$6)</f>
        <v>0</v>
      </c>
    </row>
    <row r="8" spans="1:34" ht="13.5" thickBot="1"/>
    <row r="9" spans="1:34" s="233" customFormat="1" ht="18" thickBot="1">
      <c r="A9" s="232">
        <v>2</v>
      </c>
      <c r="B9" s="1180" t="s">
        <v>592</v>
      </c>
      <c r="C9" s="1181"/>
      <c r="D9" s="1181"/>
      <c r="E9" s="1181"/>
      <c r="F9" s="1181"/>
      <c r="G9" s="1182"/>
      <c r="H9" s="1216" t="s">
        <v>593</v>
      </c>
      <c r="I9" s="1181"/>
      <c r="J9" s="1181"/>
      <c r="K9" s="1181"/>
      <c r="L9" s="1181"/>
      <c r="M9" s="1181"/>
      <c r="N9" s="1181"/>
      <c r="O9" s="1181"/>
      <c r="P9" s="1181"/>
      <c r="Q9" s="1181"/>
      <c r="R9" s="1181"/>
      <c r="S9" s="1181"/>
      <c r="T9" s="1181"/>
      <c r="U9" s="1182"/>
    </row>
    <row r="10" spans="1:34" ht="15">
      <c r="B10" s="1199" t="s">
        <v>584</v>
      </c>
      <c r="C10" s="1201" t="s">
        <v>594</v>
      </c>
      <c r="D10" s="1202"/>
      <c r="E10" s="1201" t="s">
        <v>587</v>
      </c>
      <c r="F10" s="1205"/>
      <c r="G10" s="1206"/>
      <c r="H10" s="1209" t="s">
        <v>595</v>
      </c>
      <c r="I10" s="1210"/>
      <c r="J10" s="1211">
        <f>J3</f>
        <v>43617</v>
      </c>
      <c r="K10" s="1198"/>
      <c r="L10" s="1196">
        <f>EDATE(J10,-1)</f>
        <v>43586</v>
      </c>
      <c r="M10" s="1197"/>
      <c r="N10" s="1196">
        <f>EDATE(L10,-1)</f>
        <v>43556</v>
      </c>
      <c r="O10" s="1197"/>
      <c r="P10" s="1196">
        <f>EDATE(N10,-1)</f>
        <v>43525</v>
      </c>
      <c r="Q10" s="1197"/>
      <c r="R10" s="1196">
        <f>EDATE(P10,-1)</f>
        <v>43497</v>
      </c>
      <c r="S10" s="1197"/>
      <c r="T10" s="1196">
        <f>EDATE(R10,-1)</f>
        <v>43466</v>
      </c>
      <c r="U10" s="1198"/>
    </row>
    <row r="11" spans="1:34" ht="15">
      <c r="B11" s="1200"/>
      <c r="C11" s="1203"/>
      <c r="D11" s="1204"/>
      <c r="E11" s="1203"/>
      <c r="F11" s="1207"/>
      <c r="G11" s="1208"/>
      <c r="H11" s="234" t="s">
        <v>590</v>
      </c>
      <c r="I11" s="235" t="s">
        <v>596</v>
      </c>
      <c r="J11" s="236" t="s">
        <v>590</v>
      </c>
      <c r="K11" s="237" t="s">
        <v>596</v>
      </c>
      <c r="L11" s="238" t="s">
        <v>590</v>
      </c>
      <c r="M11" s="239" t="s">
        <v>596</v>
      </c>
      <c r="N11" s="238" t="s">
        <v>590</v>
      </c>
      <c r="O11" s="239" t="s">
        <v>596</v>
      </c>
      <c r="P11" s="238" t="s">
        <v>590</v>
      </c>
      <c r="Q11" s="239" t="s">
        <v>596</v>
      </c>
      <c r="R11" s="238" t="s">
        <v>590</v>
      </c>
      <c r="S11" s="239" t="s">
        <v>596</v>
      </c>
      <c r="T11" s="238" t="s">
        <v>590</v>
      </c>
      <c r="U11" s="237" t="s">
        <v>596</v>
      </c>
    </row>
    <row r="12" spans="1:34">
      <c r="B12" s="240">
        <v>1</v>
      </c>
      <c r="C12" s="1176" t="s">
        <v>597</v>
      </c>
      <c r="D12" s="1176"/>
      <c r="E12" s="1195"/>
      <c r="F12" s="1195"/>
      <c r="G12" s="1195"/>
      <c r="H12" s="249">
        <f>SUM(J12,L12,N12,P12,R12,T12)</f>
        <v>0</v>
      </c>
      <c r="I12" s="249">
        <f>SUM(K12,M12,O12,Q12,S12,U12)</f>
        <v>0</v>
      </c>
      <c r="J12" s="250"/>
      <c r="K12" s="250"/>
      <c r="L12" s="250"/>
      <c r="M12" s="250"/>
      <c r="N12" s="250"/>
      <c r="O12" s="250"/>
      <c r="P12" s="250"/>
      <c r="Q12" s="250"/>
      <c r="R12" s="250"/>
      <c r="S12" s="250"/>
      <c r="T12" s="250"/>
      <c r="U12" s="251"/>
    </row>
    <row r="13" spans="1:34">
      <c r="B13" s="240">
        <v>2</v>
      </c>
      <c r="C13" s="1176" t="s">
        <v>598</v>
      </c>
      <c r="D13" s="1176"/>
      <c r="E13" s="1195"/>
      <c r="F13" s="1195"/>
      <c r="G13" s="1195"/>
      <c r="H13" s="249">
        <f t="shared" ref="H13:I17" si="1">SUM(J13,L13,N13,P13,R13,T13)</f>
        <v>0</v>
      </c>
      <c r="I13" s="249">
        <f t="shared" si="1"/>
        <v>0</v>
      </c>
      <c r="J13" s="250"/>
      <c r="K13" s="250"/>
      <c r="L13" s="250"/>
      <c r="M13" s="250"/>
      <c r="N13" s="250"/>
      <c r="O13" s="250"/>
      <c r="P13" s="250"/>
      <c r="Q13" s="250"/>
      <c r="R13" s="250"/>
      <c r="S13" s="250"/>
      <c r="T13" s="250"/>
      <c r="U13" s="251"/>
    </row>
    <row r="14" spans="1:34">
      <c r="B14" s="240">
        <v>3</v>
      </c>
      <c r="C14" s="1176" t="s">
        <v>599</v>
      </c>
      <c r="D14" s="1176"/>
      <c r="E14" s="1177"/>
      <c r="F14" s="1178"/>
      <c r="G14" s="1179"/>
      <c r="H14" s="249">
        <f t="shared" si="1"/>
        <v>0</v>
      </c>
      <c r="I14" s="249">
        <f t="shared" si="1"/>
        <v>0</v>
      </c>
      <c r="J14" s="250"/>
      <c r="K14" s="250"/>
      <c r="L14" s="250"/>
      <c r="M14" s="250"/>
      <c r="N14" s="250"/>
      <c r="O14" s="250"/>
      <c r="P14" s="250"/>
      <c r="Q14" s="250"/>
      <c r="R14" s="250"/>
      <c r="S14" s="250"/>
      <c r="T14" s="250"/>
      <c r="U14" s="251"/>
    </row>
    <row r="15" spans="1:34">
      <c r="B15" s="240">
        <v>4</v>
      </c>
      <c r="C15" s="1176" t="s">
        <v>600</v>
      </c>
      <c r="D15" s="1176"/>
      <c r="E15" s="1177"/>
      <c r="F15" s="1178"/>
      <c r="G15" s="1179"/>
      <c r="H15" s="249">
        <f t="shared" si="1"/>
        <v>0</v>
      </c>
      <c r="I15" s="249">
        <f t="shared" si="1"/>
        <v>0</v>
      </c>
      <c r="J15" s="250"/>
      <c r="K15" s="250"/>
      <c r="L15" s="250"/>
      <c r="M15" s="250"/>
      <c r="N15" s="250"/>
      <c r="O15" s="250"/>
      <c r="P15" s="250"/>
      <c r="Q15" s="250"/>
      <c r="R15" s="250"/>
      <c r="S15" s="250"/>
      <c r="T15" s="250"/>
      <c r="U15" s="251"/>
    </row>
    <row r="16" spans="1:34">
      <c r="B16" s="240">
        <v>5</v>
      </c>
      <c r="C16" s="1183" t="s">
        <v>601</v>
      </c>
      <c r="D16" s="1184"/>
      <c r="E16" s="1177"/>
      <c r="F16" s="1178"/>
      <c r="G16" s="1179"/>
      <c r="H16" s="249">
        <f t="shared" si="1"/>
        <v>0</v>
      </c>
      <c r="I16" s="249">
        <f t="shared" si="1"/>
        <v>0</v>
      </c>
      <c r="J16" s="250"/>
      <c r="K16" s="250"/>
      <c r="L16" s="250"/>
      <c r="M16" s="250"/>
      <c r="N16" s="250"/>
      <c r="O16" s="250"/>
      <c r="P16" s="250"/>
      <c r="Q16" s="250"/>
      <c r="R16" s="250"/>
      <c r="S16" s="250"/>
      <c r="T16" s="250"/>
      <c r="U16" s="251"/>
    </row>
    <row r="17" spans="1:21" ht="13.5" thickBot="1">
      <c r="B17" s="252"/>
      <c r="C17" s="1185"/>
      <c r="D17" s="1186"/>
      <c r="E17" s="1187"/>
      <c r="F17" s="1188"/>
      <c r="G17" s="1189"/>
      <c r="H17" s="253">
        <f t="shared" si="1"/>
        <v>0</v>
      </c>
      <c r="I17" s="253">
        <f>SUM(K17,M17,O17,Q17,S17,U17)</f>
        <v>0</v>
      </c>
      <c r="J17" s="254"/>
      <c r="K17" s="254"/>
      <c r="L17" s="254"/>
      <c r="M17" s="254"/>
      <c r="N17" s="254"/>
      <c r="O17" s="254"/>
      <c r="P17" s="254"/>
      <c r="Q17" s="254"/>
      <c r="R17" s="254"/>
      <c r="S17" s="254"/>
      <c r="T17" s="254"/>
      <c r="U17" s="255"/>
    </row>
    <row r="18" spans="1:21" ht="15.75" thickBot="1">
      <c r="B18" s="1190" t="s">
        <v>191</v>
      </c>
      <c r="C18" s="1191"/>
      <c r="D18" s="256"/>
      <c r="E18" s="1192"/>
      <c r="F18" s="1193"/>
      <c r="G18" s="1194"/>
      <c r="H18" s="247">
        <f t="shared" ref="H18:U18" si="2">SUBTOTAL(109,H12:H17)</f>
        <v>0</v>
      </c>
      <c r="I18" s="247">
        <f t="shared" si="2"/>
        <v>0</v>
      </c>
      <c r="J18" s="247">
        <f t="shared" si="2"/>
        <v>0</v>
      </c>
      <c r="K18" s="247">
        <f t="shared" si="2"/>
        <v>0</v>
      </c>
      <c r="L18" s="247">
        <f t="shared" si="2"/>
        <v>0</v>
      </c>
      <c r="M18" s="247">
        <f t="shared" si="2"/>
        <v>0</v>
      </c>
      <c r="N18" s="247">
        <f t="shared" si="2"/>
        <v>0</v>
      </c>
      <c r="O18" s="247">
        <f t="shared" si="2"/>
        <v>0</v>
      </c>
      <c r="P18" s="247">
        <f t="shared" si="2"/>
        <v>0</v>
      </c>
      <c r="Q18" s="247">
        <f t="shared" si="2"/>
        <v>0</v>
      </c>
      <c r="R18" s="247">
        <f t="shared" si="2"/>
        <v>0</v>
      </c>
      <c r="S18" s="247">
        <f t="shared" si="2"/>
        <v>0</v>
      </c>
      <c r="T18" s="247">
        <f t="shared" si="2"/>
        <v>0</v>
      </c>
      <c r="U18" s="248">
        <f t="shared" si="2"/>
        <v>0</v>
      </c>
    </row>
    <row r="19" spans="1:21" ht="13.5" thickBot="1"/>
    <row r="20" spans="1:21" s="233" customFormat="1" ht="18" thickBot="1">
      <c r="A20" s="232">
        <v>3</v>
      </c>
      <c r="B20" s="1180" t="s">
        <v>602</v>
      </c>
      <c r="C20" s="1181"/>
      <c r="D20" s="1181"/>
      <c r="E20" s="1181"/>
      <c r="F20" s="1181"/>
      <c r="G20" s="1182"/>
    </row>
    <row r="21" spans="1:21" ht="30">
      <c r="B21" s="257" t="s">
        <v>584</v>
      </c>
      <c r="C21" s="258" t="s">
        <v>591</v>
      </c>
      <c r="D21" s="259" t="s">
        <v>585</v>
      </c>
      <c r="E21" s="259" t="s">
        <v>111</v>
      </c>
      <c r="F21" s="260" t="s">
        <v>586</v>
      </c>
      <c r="G21" s="261" t="s">
        <v>587</v>
      </c>
    </row>
    <row r="22" spans="1:21">
      <c r="B22" s="262"/>
      <c r="C22" s="263"/>
      <c r="D22" s="264"/>
      <c r="E22" s="265"/>
      <c r="F22" s="265"/>
      <c r="G22" s="266"/>
    </row>
    <row r="23" spans="1:21" ht="13.5" thickBot="1">
      <c r="B23" s="252"/>
      <c r="C23" s="267"/>
      <c r="D23" s="267"/>
      <c r="E23" s="268"/>
      <c r="F23" s="268"/>
      <c r="G23" s="269"/>
    </row>
  </sheetData>
  <mergeCells count="51">
    <mergeCell ref="B2:G2"/>
    <mergeCell ref="H2:AH2"/>
    <mergeCell ref="B3:B4"/>
    <mergeCell ref="C3:D4"/>
    <mergeCell ref="E3:E4"/>
    <mergeCell ref="F3:F4"/>
    <mergeCell ref="G3:G4"/>
    <mergeCell ref="H3:I3"/>
    <mergeCell ref="J3:K3"/>
    <mergeCell ref="L3:M3"/>
    <mergeCell ref="Z3:AA3"/>
    <mergeCell ref="AB3:AC3"/>
    <mergeCell ref="AD3:AE3"/>
    <mergeCell ref="AF3:AG3"/>
    <mergeCell ref="AH3:AH4"/>
    <mergeCell ref="N3:O3"/>
    <mergeCell ref="C6:D6"/>
    <mergeCell ref="B7:C7"/>
    <mergeCell ref="B9:G9"/>
    <mergeCell ref="H9:U9"/>
    <mergeCell ref="C5:D5"/>
    <mergeCell ref="P3:Q3"/>
    <mergeCell ref="R3:S3"/>
    <mergeCell ref="T3:U3"/>
    <mergeCell ref="V3:W3"/>
    <mergeCell ref="X3:Y3"/>
    <mergeCell ref="B10:B11"/>
    <mergeCell ref="C10:D11"/>
    <mergeCell ref="E10:G11"/>
    <mergeCell ref="H10:I10"/>
    <mergeCell ref="J10:K10"/>
    <mergeCell ref="L10:M10"/>
    <mergeCell ref="N10:O10"/>
    <mergeCell ref="P10:Q10"/>
    <mergeCell ref="R10:S10"/>
    <mergeCell ref="T10:U10"/>
    <mergeCell ref="C12:D12"/>
    <mergeCell ref="E12:G12"/>
    <mergeCell ref="C13:D13"/>
    <mergeCell ref="E13:G13"/>
    <mergeCell ref="C14:D14"/>
    <mergeCell ref="E14:G14"/>
    <mergeCell ref="C15:D15"/>
    <mergeCell ref="E15:G15"/>
    <mergeCell ref="B20:G20"/>
    <mergeCell ref="C16:D16"/>
    <mergeCell ref="E16:G16"/>
    <mergeCell ref="C17:D17"/>
    <mergeCell ref="E17:G17"/>
    <mergeCell ref="B18:C18"/>
    <mergeCell ref="E18:G18"/>
  </mergeCells>
  <dataValidations count="2">
    <dataValidation allowBlank="1" showInputMessage="1" sqref="J12:U17" xr:uid="{3B434B5A-68C8-4E86-BB28-0F156D9DF523}"/>
    <dataValidation type="list" allowBlank="1" showInputMessage="1" showErrorMessage="1" sqref="WUE11:WUE12 IF65536:IF65537 SB65536:SB65537 ABX65536:ABX65537 ALT65536:ALT65537 AVP65536:AVP65537 BFL65536:BFL65537 BPH65536:BPH65537 BZD65536:BZD65537 CIZ65536:CIZ65537 CSV65536:CSV65537 DCR65536:DCR65537 DMN65536:DMN65537 DWJ65536:DWJ65537 EGF65536:EGF65537 EQB65536:EQB65537 EZX65536:EZX65537 FJT65536:FJT65537 FTP65536:FTP65537 GDL65536:GDL65537 GNH65536:GNH65537 GXD65536:GXD65537 HGZ65536:HGZ65537 HQV65536:HQV65537 IAR65536:IAR65537 IKN65536:IKN65537 IUJ65536:IUJ65537 JEF65536:JEF65537 JOB65536:JOB65537 JXX65536:JXX65537 KHT65536:KHT65537 KRP65536:KRP65537 LBL65536:LBL65537 LLH65536:LLH65537 LVD65536:LVD65537 MEZ65536:MEZ65537 MOV65536:MOV65537 MYR65536:MYR65537 NIN65536:NIN65537 NSJ65536:NSJ65537 OCF65536:OCF65537 OMB65536:OMB65537 OVX65536:OVX65537 PFT65536:PFT65537 PPP65536:PPP65537 PZL65536:PZL65537 QJH65536:QJH65537 QTD65536:QTD65537 RCZ65536:RCZ65537 RMV65536:RMV65537 RWR65536:RWR65537 SGN65536:SGN65537 SQJ65536:SQJ65537 TAF65536:TAF65537 TKB65536:TKB65537 TTX65536:TTX65537 UDT65536:UDT65537 UNP65536:UNP65537 UXL65536:UXL65537 VHH65536:VHH65537 VRD65536:VRD65537 WAZ65536:WAZ65537 WKV65536:WKV65537 WUR65536:WUR65537 IF131072:IF131073 SB131072:SB131073 ABX131072:ABX131073 ALT131072:ALT131073 AVP131072:AVP131073 BFL131072:BFL131073 BPH131072:BPH131073 BZD131072:BZD131073 CIZ131072:CIZ131073 CSV131072:CSV131073 DCR131072:DCR131073 DMN131072:DMN131073 DWJ131072:DWJ131073 EGF131072:EGF131073 EQB131072:EQB131073 EZX131072:EZX131073 FJT131072:FJT131073 FTP131072:FTP131073 GDL131072:GDL131073 GNH131072:GNH131073 GXD131072:GXD131073 HGZ131072:HGZ131073 HQV131072:HQV131073 IAR131072:IAR131073 IKN131072:IKN131073 IUJ131072:IUJ131073 JEF131072:JEF131073 JOB131072:JOB131073 JXX131072:JXX131073 KHT131072:KHT131073 KRP131072:KRP131073 LBL131072:LBL131073 LLH131072:LLH131073 LVD131072:LVD131073 MEZ131072:MEZ131073 MOV131072:MOV131073 MYR131072:MYR131073 NIN131072:NIN131073 NSJ131072:NSJ131073 OCF131072:OCF131073 OMB131072:OMB131073 OVX131072:OVX131073 PFT131072:PFT131073 PPP131072:PPP131073 PZL131072:PZL131073 QJH131072:QJH131073 QTD131072:QTD131073 RCZ131072:RCZ131073 RMV131072:RMV131073 RWR131072:RWR131073 SGN131072:SGN131073 SQJ131072:SQJ131073 TAF131072:TAF131073 TKB131072:TKB131073 TTX131072:TTX131073 UDT131072:UDT131073 UNP131072:UNP131073 UXL131072:UXL131073 VHH131072:VHH131073 VRD131072:VRD131073 WAZ131072:WAZ131073 WKV131072:WKV131073 WUR131072:WUR131073 IF196608:IF196609 SB196608:SB196609 ABX196608:ABX196609 ALT196608:ALT196609 AVP196608:AVP196609 BFL196608:BFL196609 BPH196608:BPH196609 BZD196608:BZD196609 CIZ196608:CIZ196609 CSV196608:CSV196609 DCR196608:DCR196609 DMN196608:DMN196609 DWJ196608:DWJ196609 EGF196608:EGF196609 EQB196608:EQB196609 EZX196608:EZX196609 FJT196608:FJT196609 FTP196608:FTP196609 GDL196608:GDL196609 GNH196608:GNH196609 GXD196608:GXD196609 HGZ196608:HGZ196609 HQV196608:HQV196609 IAR196608:IAR196609 IKN196608:IKN196609 IUJ196608:IUJ196609 JEF196608:JEF196609 JOB196608:JOB196609 JXX196608:JXX196609 KHT196608:KHT196609 KRP196608:KRP196609 LBL196608:LBL196609 LLH196608:LLH196609 LVD196608:LVD196609 MEZ196608:MEZ196609 MOV196608:MOV196609 MYR196608:MYR196609 NIN196608:NIN196609 NSJ196608:NSJ196609 OCF196608:OCF196609 OMB196608:OMB196609 OVX196608:OVX196609 PFT196608:PFT196609 PPP196608:PPP196609 PZL196608:PZL196609 QJH196608:QJH196609 QTD196608:QTD196609 RCZ196608:RCZ196609 RMV196608:RMV196609 RWR196608:RWR196609 SGN196608:SGN196609 SQJ196608:SQJ196609 TAF196608:TAF196609 TKB196608:TKB196609 TTX196608:TTX196609 UDT196608:UDT196609 UNP196608:UNP196609 UXL196608:UXL196609 VHH196608:VHH196609 VRD196608:VRD196609 WAZ196608:WAZ196609 WKV196608:WKV196609 WUR196608:WUR196609 IF262144:IF262145 SB262144:SB262145 ABX262144:ABX262145 ALT262144:ALT262145 AVP262144:AVP262145 BFL262144:BFL262145 BPH262144:BPH262145 BZD262144:BZD262145 CIZ262144:CIZ262145 CSV262144:CSV262145 DCR262144:DCR262145 DMN262144:DMN262145 DWJ262144:DWJ262145 EGF262144:EGF262145 EQB262144:EQB262145 EZX262144:EZX262145 FJT262144:FJT262145 FTP262144:FTP262145 GDL262144:GDL262145 GNH262144:GNH262145 GXD262144:GXD262145 HGZ262144:HGZ262145 HQV262144:HQV262145 IAR262144:IAR262145 IKN262144:IKN262145 IUJ262144:IUJ262145 JEF262144:JEF262145 JOB262144:JOB262145 JXX262144:JXX262145 KHT262144:KHT262145 KRP262144:KRP262145 LBL262144:LBL262145 LLH262144:LLH262145 LVD262144:LVD262145 MEZ262144:MEZ262145 MOV262144:MOV262145 MYR262144:MYR262145 NIN262144:NIN262145 NSJ262144:NSJ262145 OCF262144:OCF262145 OMB262144:OMB262145 OVX262144:OVX262145 PFT262144:PFT262145 PPP262144:PPP262145 PZL262144:PZL262145 QJH262144:QJH262145 QTD262144:QTD262145 RCZ262144:RCZ262145 RMV262144:RMV262145 RWR262144:RWR262145 SGN262144:SGN262145 SQJ262144:SQJ262145 TAF262144:TAF262145 TKB262144:TKB262145 TTX262144:TTX262145 UDT262144:UDT262145 UNP262144:UNP262145 UXL262144:UXL262145 VHH262144:VHH262145 VRD262144:VRD262145 WAZ262144:WAZ262145 WKV262144:WKV262145 WUR262144:WUR262145 IF327680:IF327681 SB327680:SB327681 ABX327680:ABX327681 ALT327680:ALT327681 AVP327680:AVP327681 BFL327680:BFL327681 BPH327680:BPH327681 BZD327680:BZD327681 CIZ327680:CIZ327681 CSV327680:CSV327681 DCR327680:DCR327681 DMN327680:DMN327681 DWJ327680:DWJ327681 EGF327680:EGF327681 EQB327680:EQB327681 EZX327680:EZX327681 FJT327680:FJT327681 FTP327680:FTP327681 GDL327680:GDL327681 GNH327680:GNH327681 GXD327680:GXD327681 HGZ327680:HGZ327681 HQV327680:HQV327681 IAR327680:IAR327681 IKN327680:IKN327681 IUJ327680:IUJ327681 JEF327680:JEF327681 JOB327680:JOB327681 JXX327680:JXX327681 KHT327680:KHT327681 KRP327680:KRP327681 LBL327680:LBL327681 LLH327680:LLH327681 LVD327680:LVD327681 MEZ327680:MEZ327681 MOV327680:MOV327681 MYR327680:MYR327681 NIN327680:NIN327681 NSJ327680:NSJ327681 OCF327680:OCF327681 OMB327680:OMB327681 OVX327680:OVX327681 PFT327680:PFT327681 PPP327680:PPP327681 PZL327680:PZL327681 QJH327680:QJH327681 QTD327680:QTD327681 RCZ327680:RCZ327681 RMV327680:RMV327681 RWR327680:RWR327681 SGN327680:SGN327681 SQJ327680:SQJ327681 TAF327680:TAF327681 TKB327680:TKB327681 TTX327680:TTX327681 UDT327680:UDT327681 UNP327680:UNP327681 UXL327680:UXL327681 VHH327680:VHH327681 VRD327680:VRD327681 WAZ327680:WAZ327681 WKV327680:WKV327681 WUR327680:WUR327681 IF393216:IF393217 SB393216:SB393217 ABX393216:ABX393217 ALT393216:ALT393217 AVP393216:AVP393217 BFL393216:BFL393217 BPH393216:BPH393217 BZD393216:BZD393217 CIZ393216:CIZ393217 CSV393216:CSV393217 DCR393216:DCR393217 DMN393216:DMN393217 DWJ393216:DWJ393217 EGF393216:EGF393217 EQB393216:EQB393217 EZX393216:EZX393217 FJT393216:FJT393217 FTP393216:FTP393217 GDL393216:GDL393217 GNH393216:GNH393217 GXD393216:GXD393217 HGZ393216:HGZ393217 HQV393216:HQV393217 IAR393216:IAR393217 IKN393216:IKN393217 IUJ393216:IUJ393217 JEF393216:JEF393217 JOB393216:JOB393217 JXX393216:JXX393217 KHT393216:KHT393217 KRP393216:KRP393217 LBL393216:LBL393217 LLH393216:LLH393217 LVD393216:LVD393217 MEZ393216:MEZ393217 MOV393216:MOV393217 MYR393216:MYR393217 NIN393216:NIN393217 NSJ393216:NSJ393217 OCF393216:OCF393217 OMB393216:OMB393217 OVX393216:OVX393217 PFT393216:PFT393217 PPP393216:PPP393217 PZL393216:PZL393217 QJH393216:QJH393217 QTD393216:QTD393217 RCZ393216:RCZ393217 RMV393216:RMV393217 RWR393216:RWR393217 SGN393216:SGN393217 SQJ393216:SQJ393217 TAF393216:TAF393217 TKB393216:TKB393217 TTX393216:TTX393217 UDT393216:UDT393217 UNP393216:UNP393217 UXL393216:UXL393217 VHH393216:VHH393217 VRD393216:VRD393217 WAZ393216:WAZ393217 WKV393216:WKV393217 WUR393216:WUR393217 IF458752:IF458753 SB458752:SB458753 ABX458752:ABX458753 ALT458752:ALT458753 AVP458752:AVP458753 BFL458752:BFL458753 BPH458752:BPH458753 BZD458752:BZD458753 CIZ458752:CIZ458753 CSV458752:CSV458753 DCR458752:DCR458753 DMN458752:DMN458753 DWJ458752:DWJ458753 EGF458752:EGF458753 EQB458752:EQB458753 EZX458752:EZX458753 FJT458752:FJT458753 FTP458752:FTP458753 GDL458752:GDL458753 GNH458752:GNH458753 GXD458752:GXD458753 HGZ458752:HGZ458753 HQV458752:HQV458753 IAR458752:IAR458753 IKN458752:IKN458753 IUJ458752:IUJ458753 JEF458752:JEF458753 JOB458752:JOB458753 JXX458752:JXX458753 KHT458752:KHT458753 KRP458752:KRP458753 LBL458752:LBL458753 LLH458752:LLH458753 LVD458752:LVD458753 MEZ458752:MEZ458753 MOV458752:MOV458753 MYR458752:MYR458753 NIN458752:NIN458753 NSJ458752:NSJ458753 OCF458752:OCF458753 OMB458752:OMB458753 OVX458752:OVX458753 PFT458752:PFT458753 PPP458752:PPP458753 PZL458752:PZL458753 QJH458752:QJH458753 QTD458752:QTD458753 RCZ458752:RCZ458753 RMV458752:RMV458753 RWR458752:RWR458753 SGN458752:SGN458753 SQJ458752:SQJ458753 TAF458752:TAF458753 TKB458752:TKB458753 TTX458752:TTX458753 UDT458752:UDT458753 UNP458752:UNP458753 UXL458752:UXL458753 VHH458752:VHH458753 VRD458752:VRD458753 WAZ458752:WAZ458753 WKV458752:WKV458753 WUR458752:WUR458753 IF524288:IF524289 SB524288:SB524289 ABX524288:ABX524289 ALT524288:ALT524289 AVP524288:AVP524289 BFL524288:BFL524289 BPH524288:BPH524289 BZD524288:BZD524289 CIZ524288:CIZ524289 CSV524288:CSV524289 DCR524288:DCR524289 DMN524288:DMN524289 DWJ524288:DWJ524289 EGF524288:EGF524289 EQB524288:EQB524289 EZX524288:EZX524289 FJT524288:FJT524289 FTP524288:FTP524289 GDL524288:GDL524289 GNH524288:GNH524289 GXD524288:GXD524289 HGZ524288:HGZ524289 HQV524288:HQV524289 IAR524288:IAR524289 IKN524288:IKN524289 IUJ524288:IUJ524289 JEF524288:JEF524289 JOB524288:JOB524289 JXX524288:JXX524289 KHT524288:KHT524289 KRP524288:KRP524289 LBL524288:LBL524289 LLH524288:LLH524289 LVD524288:LVD524289 MEZ524288:MEZ524289 MOV524288:MOV524289 MYR524288:MYR524289 NIN524288:NIN524289 NSJ524288:NSJ524289 OCF524288:OCF524289 OMB524288:OMB524289 OVX524288:OVX524289 PFT524288:PFT524289 PPP524288:PPP524289 PZL524288:PZL524289 QJH524288:QJH524289 QTD524288:QTD524289 RCZ524288:RCZ524289 RMV524288:RMV524289 RWR524288:RWR524289 SGN524288:SGN524289 SQJ524288:SQJ524289 TAF524288:TAF524289 TKB524288:TKB524289 TTX524288:TTX524289 UDT524288:UDT524289 UNP524288:UNP524289 UXL524288:UXL524289 VHH524288:VHH524289 VRD524288:VRD524289 WAZ524288:WAZ524289 WKV524288:WKV524289 WUR524288:WUR524289 IF589824:IF589825 SB589824:SB589825 ABX589824:ABX589825 ALT589824:ALT589825 AVP589824:AVP589825 BFL589824:BFL589825 BPH589824:BPH589825 BZD589824:BZD589825 CIZ589824:CIZ589825 CSV589824:CSV589825 DCR589824:DCR589825 DMN589824:DMN589825 DWJ589824:DWJ589825 EGF589824:EGF589825 EQB589824:EQB589825 EZX589824:EZX589825 FJT589824:FJT589825 FTP589824:FTP589825 GDL589824:GDL589825 GNH589824:GNH589825 GXD589824:GXD589825 HGZ589824:HGZ589825 HQV589824:HQV589825 IAR589824:IAR589825 IKN589824:IKN589825 IUJ589824:IUJ589825 JEF589824:JEF589825 JOB589824:JOB589825 JXX589824:JXX589825 KHT589824:KHT589825 KRP589824:KRP589825 LBL589824:LBL589825 LLH589824:LLH589825 LVD589824:LVD589825 MEZ589824:MEZ589825 MOV589824:MOV589825 MYR589824:MYR589825 NIN589824:NIN589825 NSJ589824:NSJ589825 OCF589824:OCF589825 OMB589824:OMB589825 OVX589824:OVX589825 PFT589824:PFT589825 PPP589824:PPP589825 PZL589824:PZL589825 QJH589824:QJH589825 QTD589824:QTD589825 RCZ589824:RCZ589825 RMV589824:RMV589825 RWR589824:RWR589825 SGN589824:SGN589825 SQJ589824:SQJ589825 TAF589824:TAF589825 TKB589824:TKB589825 TTX589824:TTX589825 UDT589824:UDT589825 UNP589824:UNP589825 UXL589824:UXL589825 VHH589824:VHH589825 VRD589824:VRD589825 WAZ589824:WAZ589825 WKV589824:WKV589825 WUR589824:WUR589825 IF655360:IF655361 SB655360:SB655361 ABX655360:ABX655361 ALT655360:ALT655361 AVP655360:AVP655361 BFL655360:BFL655361 BPH655360:BPH655361 BZD655360:BZD655361 CIZ655360:CIZ655361 CSV655360:CSV655361 DCR655360:DCR655361 DMN655360:DMN655361 DWJ655360:DWJ655361 EGF655360:EGF655361 EQB655360:EQB655361 EZX655360:EZX655361 FJT655360:FJT655361 FTP655360:FTP655361 GDL655360:GDL655361 GNH655360:GNH655361 GXD655360:GXD655361 HGZ655360:HGZ655361 HQV655360:HQV655361 IAR655360:IAR655361 IKN655360:IKN655361 IUJ655360:IUJ655361 JEF655360:JEF655361 JOB655360:JOB655361 JXX655360:JXX655361 KHT655360:KHT655361 KRP655360:KRP655361 LBL655360:LBL655361 LLH655360:LLH655361 LVD655360:LVD655361 MEZ655360:MEZ655361 MOV655360:MOV655361 MYR655360:MYR655361 NIN655360:NIN655361 NSJ655360:NSJ655361 OCF655360:OCF655361 OMB655360:OMB655361 OVX655360:OVX655361 PFT655360:PFT655361 PPP655360:PPP655361 PZL655360:PZL655361 QJH655360:QJH655361 QTD655360:QTD655361 RCZ655360:RCZ655361 RMV655360:RMV655361 RWR655360:RWR655361 SGN655360:SGN655361 SQJ655360:SQJ655361 TAF655360:TAF655361 TKB655360:TKB655361 TTX655360:TTX655361 UDT655360:UDT655361 UNP655360:UNP655361 UXL655360:UXL655361 VHH655360:VHH655361 VRD655360:VRD655361 WAZ655360:WAZ655361 WKV655360:WKV655361 WUR655360:WUR655361 IF720896:IF720897 SB720896:SB720897 ABX720896:ABX720897 ALT720896:ALT720897 AVP720896:AVP720897 BFL720896:BFL720897 BPH720896:BPH720897 BZD720896:BZD720897 CIZ720896:CIZ720897 CSV720896:CSV720897 DCR720896:DCR720897 DMN720896:DMN720897 DWJ720896:DWJ720897 EGF720896:EGF720897 EQB720896:EQB720897 EZX720896:EZX720897 FJT720896:FJT720897 FTP720896:FTP720897 GDL720896:GDL720897 GNH720896:GNH720897 GXD720896:GXD720897 HGZ720896:HGZ720897 HQV720896:HQV720897 IAR720896:IAR720897 IKN720896:IKN720897 IUJ720896:IUJ720897 JEF720896:JEF720897 JOB720896:JOB720897 JXX720896:JXX720897 KHT720896:KHT720897 KRP720896:KRP720897 LBL720896:LBL720897 LLH720896:LLH720897 LVD720896:LVD720897 MEZ720896:MEZ720897 MOV720896:MOV720897 MYR720896:MYR720897 NIN720896:NIN720897 NSJ720896:NSJ720897 OCF720896:OCF720897 OMB720896:OMB720897 OVX720896:OVX720897 PFT720896:PFT720897 PPP720896:PPP720897 PZL720896:PZL720897 QJH720896:QJH720897 QTD720896:QTD720897 RCZ720896:RCZ720897 RMV720896:RMV720897 RWR720896:RWR720897 SGN720896:SGN720897 SQJ720896:SQJ720897 TAF720896:TAF720897 TKB720896:TKB720897 TTX720896:TTX720897 UDT720896:UDT720897 UNP720896:UNP720897 UXL720896:UXL720897 VHH720896:VHH720897 VRD720896:VRD720897 WAZ720896:WAZ720897 WKV720896:WKV720897 WUR720896:WUR720897 IF786432:IF786433 SB786432:SB786433 ABX786432:ABX786433 ALT786432:ALT786433 AVP786432:AVP786433 BFL786432:BFL786433 BPH786432:BPH786433 BZD786432:BZD786433 CIZ786432:CIZ786433 CSV786432:CSV786433 DCR786432:DCR786433 DMN786432:DMN786433 DWJ786432:DWJ786433 EGF786432:EGF786433 EQB786432:EQB786433 EZX786432:EZX786433 FJT786432:FJT786433 FTP786432:FTP786433 GDL786432:GDL786433 GNH786432:GNH786433 GXD786432:GXD786433 HGZ786432:HGZ786433 HQV786432:HQV786433 IAR786432:IAR786433 IKN786432:IKN786433 IUJ786432:IUJ786433 JEF786432:JEF786433 JOB786432:JOB786433 JXX786432:JXX786433 KHT786432:KHT786433 KRP786432:KRP786433 LBL786432:LBL786433 LLH786432:LLH786433 LVD786432:LVD786433 MEZ786432:MEZ786433 MOV786432:MOV786433 MYR786432:MYR786433 NIN786432:NIN786433 NSJ786432:NSJ786433 OCF786432:OCF786433 OMB786432:OMB786433 OVX786432:OVX786433 PFT786432:PFT786433 PPP786432:PPP786433 PZL786432:PZL786433 QJH786432:QJH786433 QTD786432:QTD786433 RCZ786432:RCZ786433 RMV786432:RMV786433 RWR786432:RWR786433 SGN786432:SGN786433 SQJ786432:SQJ786433 TAF786432:TAF786433 TKB786432:TKB786433 TTX786432:TTX786433 UDT786432:UDT786433 UNP786432:UNP786433 UXL786432:UXL786433 VHH786432:VHH786433 VRD786432:VRD786433 WAZ786432:WAZ786433 WKV786432:WKV786433 WUR786432:WUR786433 IF851968:IF851969 SB851968:SB851969 ABX851968:ABX851969 ALT851968:ALT851969 AVP851968:AVP851969 BFL851968:BFL851969 BPH851968:BPH851969 BZD851968:BZD851969 CIZ851968:CIZ851969 CSV851968:CSV851969 DCR851968:DCR851969 DMN851968:DMN851969 DWJ851968:DWJ851969 EGF851968:EGF851969 EQB851968:EQB851969 EZX851968:EZX851969 FJT851968:FJT851969 FTP851968:FTP851969 GDL851968:GDL851969 GNH851968:GNH851969 GXD851968:GXD851969 HGZ851968:HGZ851969 HQV851968:HQV851969 IAR851968:IAR851969 IKN851968:IKN851969 IUJ851968:IUJ851969 JEF851968:JEF851969 JOB851968:JOB851969 JXX851968:JXX851969 KHT851968:KHT851969 KRP851968:KRP851969 LBL851968:LBL851969 LLH851968:LLH851969 LVD851968:LVD851969 MEZ851968:MEZ851969 MOV851968:MOV851969 MYR851968:MYR851969 NIN851968:NIN851969 NSJ851968:NSJ851969 OCF851968:OCF851969 OMB851968:OMB851969 OVX851968:OVX851969 PFT851968:PFT851969 PPP851968:PPP851969 PZL851968:PZL851969 QJH851968:QJH851969 QTD851968:QTD851969 RCZ851968:RCZ851969 RMV851968:RMV851969 RWR851968:RWR851969 SGN851968:SGN851969 SQJ851968:SQJ851969 TAF851968:TAF851969 TKB851968:TKB851969 TTX851968:TTX851969 UDT851968:UDT851969 UNP851968:UNP851969 UXL851968:UXL851969 VHH851968:VHH851969 VRD851968:VRD851969 WAZ851968:WAZ851969 WKV851968:WKV851969 WUR851968:WUR851969 IF917504:IF917505 SB917504:SB917505 ABX917504:ABX917505 ALT917504:ALT917505 AVP917504:AVP917505 BFL917504:BFL917505 BPH917504:BPH917505 BZD917504:BZD917505 CIZ917504:CIZ917505 CSV917504:CSV917505 DCR917504:DCR917505 DMN917504:DMN917505 DWJ917504:DWJ917505 EGF917504:EGF917505 EQB917504:EQB917505 EZX917504:EZX917505 FJT917504:FJT917505 FTP917504:FTP917505 GDL917504:GDL917505 GNH917504:GNH917505 GXD917504:GXD917505 HGZ917504:HGZ917505 HQV917504:HQV917505 IAR917504:IAR917505 IKN917504:IKN917505 IUJ917504:IUJ917505 JEF917504:JEF917505 JOB917504:JOB917505 JXX917504:JXX917505 KHT917504:KHT917505 KRP917504:KRP917505 LBL917504:LBL917505 LLH917504:LLH917505 LVD917504:LVD917505 MEZ917504:MEZ917505 MOV917504:MOV917505 MYR917504:MYR917505 NIN917504:NIN917505 NSJ917504:NSJ917505 OCF917504:OCF917505 OMB917504:OMB917505 OVX917504:OVX917505 PFT917504:PFT917505 PPP917504:PPP917505 PZL917504:PZL917505 QJH917504:QJH917505 QTD917504:QTD917505 RCZ917504:RCZ917505 RMV917504:RMV917505 RWR917504:RWR917505 SGN917504:SGN917505 SQJ917504:SQJ917505 TAF917504:TAF917505 TKB917504:TKB917505 TTX917504:TTX917505 UDT917504:UDT917505 UNP917504:UNP917505 UXL917504:UXL917505 VHH917504:VHH917505 VRD917504:VRD917505 WAZ917504:WAZ917505 WKV917504:WKV917505 WUR917504:WUR917505 IF983040:IF983041 SB983040:SB983041 ABX983040:ABX983041 ALT983040:ALT983041 AVP983040:AVP983041 BFL983040:BFL983041 BPH983040:BPH983041 BZD983040:BZD983041 CIZ983040:CIZ983041 CSV983040:CSV983041 DCR983040:DCR983041 DMN983040:DMN983041 DWJ983040:DWJ983041 EGF983040:EGF983041 EQB983040:EQB983041 EZX983040:EZX983041 FJT983040:FJT983041 FTP983040:FTP983041 GDL983040:GDL983041 GNH983040:GNH983041 GXD983040:GXD983041 HGZ983040:HGZ983041 HQV983040:HQV983041 IAR983040:IAR983041 IKN983040:IKN983041 IUJ983040:IUJ983041 JEF983040:JEF983041 JOB983040:JOB983041 JXX983040:JXX983041 KHT983040:KHT983041 KRP983040:KRP983041 LBL983040:LBL983041 LLH983040:LLH983041 LVD983040:LVD983041 MEZ983040:MEZ983041 MOV983040:MOV983041 MYR983040:MYR983041 NIN983040:NIN983041 NSJ983040:NSJ983041 OCF983040:OCF983041 OMB983040:OMB983041 OVX983040:OVX983041 PFT983040:PFT983041 PPP983040:PPP983041 PZL983040:PZL983041 QJH983040:QJH983041 QTD983040:QTD983041 RCZ983040:RCZ983041 RMV983040:RMV983041 RWR983040:RWR983041 SGN983040:SGN983041 SQJ983040:SQJ983041 TAF983040:TAF983041 TKB983040:TKB983041 TTX983040:TTX983041 UDT983040:UDT983041 UNP983040:UNP983041 UXL983040:UXL983041 VHH983040:VHH983041 VRD983040:VRD983041 WAZ983040:WAZ983041 WKV983040:WKV983041 WUR983040:WUR983041 HS11:HS12 RO11:RO12 ABK11:ABK12 ALG11:ALG12 AVC11:AVC12 BEY11:BEY12 BOU11:BOU12 BYQ11:BYQ12 CIM11:CIM12 CSI11:CSI12 DCE11:DCE12 DMA11:DMA12 DVW11:DVW12 EFS11:EFS12 EPO11:EPO12 EZK11:EZK12 FJG11:FJG12 FTC11:FTC12 GCY11:GCY12 GMU11:GMU12 GWQ11:GWQ12 HGM11:HGM12 HQI11:HQI12 IAE11:IAE12 IKA11:IKA12 ITW11:ITW12 JDS11:JDS12 JNO11:JNO12 JXK11:JXK12 KHG11:KHG12 KRC11:KRC12 LAY11:LAY12 LKU11:LKU12 LUQ11:LUQ12 MEM11:MEM12 MOI11:MOI12 MYE11:MYE12 NIA11:NIA12 NRW11:NRW12 OBS11:OBS12 OLO11:OLO12 OVK11:OVK12 PFG11:PFG12 PPC11:PPC12 PYY11:PYY12 QIU11:QIU12 QSQ11:QSQ12 RCM11:RCM12 RMI11:RMI12 RWE11:RWE12 SGA11:SGA12 SPW11:SPW12 SZS11:SZS12 TJO11:TJO12 TTK11:TTK12 UDG11:UDG12 UNC11:UNC12 UWY11:UWY12 VGU11:VGU12 VQQ11:VQQ12 WAM11:WAM12 WKI11:WKI12 IF5:IF6 WUR5:WUR6 WKV5:WKV6 WAZ5:WAZ6 VRD5:VRD6 VHH5:VHH6 UXL5:UXL6 UNP5:UNP6 UDT5:UDT6 TTX5:TTX6 TKB5:TKB6 TAF5:TAF6 SQJ5:SQJ6 SGN5:SGN6 RWR5:RWR6 RMV5:RMV6 RCZ5:RCZ6 QTD5:QTD6 QJH5:QJH6 PZL5:PZL6 PPP5:PPP6 PFT5:PFT6 OVX5:OVX6 OMB5:OMB6 OCF5:OCF6 NSJ5:NSJ6 NIN5:NIN6 MYR5:MYR6 MOV5:MOV6 MEZ5:MEZ6 LVD5:LVD6 LLH5:LLH6 LBL5:LBL6 KRP5:KRP6 KHT5:KHT6 JXX5:JXX6 JOB5:JOB6 JEF5:JEF6 IUJ5:IUJ6 IKN5:IKN6 IAR5:IAR6 HQV5:HQV6 HGZ5:HGZ6 GXD5:GXD6 GNH5:GNH6 GDL5:GDL6 FTP5:FTP6 FJT5:FJT6 EZX5:EZX6 EQB5:EQB6 EGF5:EGF6 DWJ5:DWJ6 DMN5:DMN6 DCR5:DCR6 CSV5:CSV6 CIZ5:CIZ6 BZD5:BZD6 BPH5:BPH6 BFL5:BFL6 AVP5:AVP6 ALT5:ALT6 ABX5:ABX6 SB5:SB6" xr:uid="{7720E2F9-6A3E-443A-94B2-01B00341CAAA}">
      <formula1>"Home Loan, LAP,Vehicle Loan,CVL, Personal Loan,Business Loan, CC/OD,Term Loan,Machinery Loan,Education Loan"</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whole" allowBlank="1" showInputMessage="1" showErrorMessage="1" errorTitle="Error" error="Not a valid Date" promptTitle="Date" prompt="Insert a date (DD)" xr:uid="{D7CFE0C8-2D45-482C-BBDC-F05E2A07698E}">
          <x14:formula1>
            <xm:f>1</xm:f>
          </x14:formula1>
          <x14:formula2>
            <xm:f>31</xm:f>
          </x14:formula2>
          <xm:sqref>J65537:J65538 IT65536:IT65537 SP65536:SP65537 ACL65536:ACL65537 AMH65536:AMH65537 AWD65536:AWD65537 BFZ65536:BFZ65537 BPV65536:BPV65537 BZR65536:BZR65537 CJN65536:CJN65537 CTJ65536:CTJ65537 DDF65536:DDF65537 DNB65536:DNB65537 DWX65536:DWX65537 EGT65536:EGT65537 EQP65536:EQP65537 FAL65536:FAL65537 FKH65536:FKH65537 FUD65536:FUD65537 GDZ65536:GDZ65537 GNV65536:GNV65537 GXR65536:GXR65537 HHN65536:HHN65537 HRJ65536:HRJ65537 IBF65536:IBF65537 ILB65536:ILB65537 IUX65536:IUX65537 JET65536:JET65537 JOP65536:JOP65537 JYL65536:JYL65537 KIH65536:KIH65537 KSD65536:KSD65537 LBZ65536:LBZ65537 LLV65536:LLV65537 LVR65536:LVR65537 MFN65536:MFN65537 MPJ65536:MPJ65537 MZF65536:MZF65537 NJB65536:NJB65537 NSX65536:NSX65537 OCT65536:OCT65537 OMP65536:OMP65537 OWL65536:OWL65537 PGH65536:PGH65537 PQD65536:PQD65537 PZZ65536:PZZ65537 QJV65536:QJV65537 QTR65536:QTR65537 RDN65536:RDN65537 RNJ65536:RNJ65537 RXF65536:RXF65537 SHB65536:SHB65537 SQX65536:SQX65537 TAT65536:TAT65537 TKP65536:TKP65537 TUL65536:TUL65537 UEH65536:UEH65537 UOD65536:UOD65537 UXZ65536:UXZ65537 VHV65536:VHV65537 VRR65536:VRR65537 WBN65536:WBN65537 WLJ65536:WLJ65537 WVF65536:WVF65537 J131073:J131074 IT131072:IT131073 SP131072:SP131073 ACL131072:ACL131073 AMH131072:AMH131073 AWD131072:AWD131073 BFZ131072:BFZ131073 BPV131072:BPV131073 BZR131072:BZR131073 CJN131072:CJN131073 CTJ131072:CTJ131073 DDF131072:DDF131073 DNB131072:DNB131073 DWX131072:DWX131073 EGT131072:EGT131073 EQP131072:EQP131073 FAL131072:FAL131073 FKH131072:FKH131073 FUD131072:FUD131073 GDZ131072:GDZ131073 GNV131072:GNV131073 GXR131072:GXR131073 HHN131072:HHN131073 HRJ131072:HRJ131073 IBF131072:IBF131073 ILB131072:ILB131073 IUX131072:IUX131073 JET131072:JET131073 JOP131072:JOP131073 JYL131072:JYL131073 KIH131072:KIH131073 KSD131072:KSD131073 LBZ131072:LBZ131073 LLV131072:LLV131073 LVR131072:LVR131073 MFN131072:MFN131073 MPJ131072:MPJ131073 MZF131072:MZF131073 NJB131072:NJB131073 NSX131072:NSX131073 OCT131072:OCT131073 OMP131072:OMP131073 OWL131072:OWL131073 PGH131072:PGH131073 PQD131072:PQD131073 PZZ131072:PZZ131073 QJV131072:QJV131073 QTR131072:QTR131073 RDN131072:RDN131073 RNJ131072:RNJ131073 RXF131072:RXF131073 SHB131072:SHB131073 SQX131072:SQX131073 TAT131072:TAT131073 TKP131072:TKP131073 TUL131072:TUL131073 UEH131072:UEH131073 UOD131072:UOD131073 UXZ131072:UXZ131073 VHV131072:VHV131073 VRR131072:VRR131073 WBN131072:WBN131073 WLJ131072:WLJ131073 WVF131072:WVF131073 J196609:J196610 IT196608:IT196609 SP196608:SP196609 ACL196608:ACL196609 AMH196608:AMH196609 AWD196608:AWD196609 BFZ196608:BFZ196609 BPV196608:BPV196609 BZR196608:BZR196609 CJN196608:CJN196609 CTJ196608:CTJ196609 DDF196608:DDF196609 DNB196608:DNB196609 DWX196608:DWX196609 EGT196608:EGT196609 EQP196608:EQP196609 FAL196608:FAL196609 FKH196608:FKH196609 FUD196608:FUD196609 GDZ196608:GDZ196609 GNV196608:GNV196609 GXR196608:GXR196609 HHN196608:HHN196609 HRJ196608:HRJ196609 IBF196608:IBF196609 ILB196608:ILB196609 IUX196608:IUX196609 JET196608:JET196609 JOP196608:JOP196609 JYL196608:JYL196609 KIH196608:KIH196609 KSD196608:KSD196609 LBZ196608:LBZ196609 LLV196608:LLV196609 LVR196608:LVR196609 MFN196608:MFN196609 MPJ196608:MPJ196609 MZF196608:MZF196609 NJB196608:NJB196609 NSX196608:NSX196609 OCT196608:OCT196609 OMP196608:OMP196609 OWL196608:OWL196609 PGH196608:PGH196609 PQD196608:PQD196609 PZZ196608:PZZ196609 QJV196608:QJV196609 QTR196608:QTR196609 RDN196608:RDN196609 RNJ196608:RNJ196609 RXF196608:RXF196609 SHB196608:SHB196609 SQX196608:SQX196609 TAT196608:TAT196609 TKP196608:TKP196609 TUL196608:TUL196609 UEH196608:UEH196609 UOD196608:UOD196609 UXZ196608:UXZ196609 VHV196608:VHV196609 VRR196608:VRR196609 WBN196608:WBN196609 WLJ196608:WLJ196609 WVF196608:WVF196609 J262145:J262146 IT262144:IT262145 SP262144:SP262145 ACL262144:ACL262145 AMH262144:AMH262145 AWD262144:AWD262145 BFZ262144:BFZ262145 BPV262144:BPV262145 BZR262144:BZR262145 CJN262144:CJN262145 CTJ262144:CTJ262145 DDF262144:DDF262145 DNB262144:DNB262145 DWX262144:DWX262145 EGT262144:EGT262145 EQP262144:EQP262145 FAL262144:FAL262145 FKH262144:FKH262145 FUD262144:FUD262145 GDZ262144:GDZ262145 GNV262144:GNV262145 GXR262144:GXR262145 HHN262144:HHN262145 HRJ262144:HRJ262145 IBF262144:IBF262145 ILB262144:ILB262145 IUX262144:IUX262145 JET262144:JET262145 JOP262144:JOP262145 JYL262144:JYL262145 KIH262144:KIH262145 KSD262144:KSD262145 LBZ262144:LBZ262145 LLV262144:LLV262145 LVR262144:LVR262145 MFN262144:MFN262145 MPJ262144:MPJ262145 MZF262144:MZF262145 NJB262144:NJB262145 NSX262144:NSX262145 OCT262144:OCT262145 OMP262144:OMP262145 OWL262144:OWL262145 PGH262144:PGH262145 PQD262144:PQD262145 PZZ262144:PZZ262145 QJV262144:QJV262145 QTR262144:QTR262145 RDN262144:RDN262145 RNJ262144:RNJ262145 RXF262144:RXF262145 SHB262144:SHB262145 SQX262144:SQX262145 TAT262144:TAT262145 TKP262144:TKP262145 TUL262144:TUL262145 UEH262144:UEH262145 UOD262144:UOD262145 UXZ262144:UXZ262145 VHV262144:VHV262145 VRR262144:VRR262145 WBN262144:WBN262145 WLJ262144:WLJ262145 WVF262144:WVF262145 J327681:J327682 IT327680:IT327681 SP327680:SP327681 ACL327680:ACL327681 AMH327680:AMH327681 AWD327680:AWD327681 BFZ327680:BFZ327681 BPV327680:BPV327681 BZR327680:BZR327681 CJN327680:CJN327681 CTJ327680:CTJ327681 DDF327680:DDF327681 DNB327680:DNB327681 DWX327680:DWX327681 EGT327680:EGT327681 EQP327680:EQP327681 FAL327680:FAL327681 FKH327680:FKH327681 FUD327680:FUD327681 GDZ327680:GDZ327681 GNV327680:GNV327681 GXR327680:GXR327681 HHN327680:HHN327681 HRJ327680:HRJ327681 IBF327680:IBF327681 ILB327680:ILB327681 IUX327680:IUX327681 JET327680:JET327681 JOP327680:JOP327681 JYL327680:JYL327681 KIH327680:KIH327681 KSD327680:KSD327681 LBZ327680:LBZ327681 LLV327680:LLV327681 LVR327680:LVR327681 MFN327680:MFN327681 MPJ327680:MPJ327681 MZF327680:MZF327681 NJB327680:NJB327681 NSX327680:NSX327681 OCT327680:OCT327681 OMP327680:OMP327681 OWL327680:OWL327681 PGH327680:PGH327681 PQD327680:PQD327681 PZZ327680:PZZ327681 QJV327680:QJV327681 QTR327680:QTR327681 RDN327680:RDN327681 RNJ327680:RNJ327681 RXF327680:RXF327681 SHB327680:SHB327681 SQX327680:SQX327681 TAT327680:TAT327681 TKP327680:TKP327681 TUL327680:TUL327681 UEH327680:UEH327681 UOD327680:UOD327681 UXZ327680:UXZ327681 VHV327680:VHV327681 VRR327680:VRR327681 WBN327680:WBN327681 WLJ327680:WLJ327681 WVF327680:WVF327681 J393217:J393218 IT393216:IT393217 SP393216:SP393217 ACL393216:ACL393217 AMH393216:AMH393217 AWD393216:AWD393217 BFZ393216:BFZ393217 BPV393216:BPV393217 BZR393216:BZR393217 CJN393216:CJN393217 CTJ393216:CTJ393217 DDF393216:DDF393217 DNB393216:DNB393217 DWX393216:DWX393217 EGT393216:EGT393217 EQP393216:EQP393217 FAL393216:FAL393217 FKH393216:FKH393217 FUD393216:FUD393217 GDZ393216:GDZ393217 GNV393216:GNV393217 GXR393216:GXR393217 HHN393216:HHN393217 HRJ393216:HRJ393217 IBF393216:IBF393217 ILB393216:ILB393217 IUX393216:IUX393217 JET393216:JET393217 JOP393216:JOP393217 JYL393216:JYL393217 KIH393216:KIH393217 KSD393216:KSD393217 LBZ393216:LBZ393217 LLV393216:LLV393217 LVR393216:LVR393217 MFN393216:MFN393217 MPJ393216:MPJ393217 MZF393216:MZF393217 NJB393216:NJB393217 NSX393216:NSX393217 OCT393216:OCT393217 OMP393216:OMP393217 OWL393216:OWL393217 PGH393216:PGH393217 PQD393216:PQD393217 PZZ393216:PZZ393217 QJV393216:QJV393217 QTR393216:QTR393217 RDN393216:RDN393217 RNJ393216:RNJ393217 RXF393216:RXF393217 SHB393216:SHB393217 SQX393216:SQX393217 TAT393216:TAT393217 TKP393216:TKP393217 TUL393216:TUL393217 UEH393216:UEH393217 UOD393216:UOD393217 UXZ393216:UXZ393217 VHV393216:VHV393217 VRR393216:VRR393217 WBN393216:WBN393217 WLJ393216:WLJ393217 WVF393216:WVF393217 J458753:J458754 IT458752:IT458753 SP458752:SP458753 ACL458752:ACL458753 AMH458752:AMH458753 AWD458752:AWD458753 BFZ458752:BFZ458753 BPV458752:BPV458753 BZR458752:BZR458753 CJN458752:CJN458753 CTJ458752:CTJ458753 DDF458752:DDF458753 DNB458752:DNB458753 DWX458752:DWX458753 EGT458752:EGT458753 EQP458752:EQP458753 FAL458752:FAL458753 FKH458752:FKH458753 FUD458752:FUD458753 GDZ458752:GDZ458753 GNV458752:GNV458753 GXR458752:GXR458753 HHN458752:HHN458753 HRJ458752:HRJ458753 IBF458752:IBF458753 ILB458752:ILB458753 IUX458752:IUX458753 JET458752:JET458753 JOP458752:JOP458753 JYL458752:JYL458753 KIH458752:KIH458753 KSD458752:KSD458753 LBZ458752:LBZ458753 LLV458752:LLV458753 LVR458752:LVR458753 MFN458752:MFN458753 MPJ458752:MPJ458753 MZF458752:MZF458753 NJB458752:NJB458753 NSX458752:NSX458753 OCT458752:OCT458753 OMP458752:OMP458753 OWL458752:OWL458753 PGH458752:PGH458753 PQD458752:PQD458753 PZZ458752:PZZ458753 QJV458752:QJV458753 QTR458752:QTR458753 RDN458752:RDN458753 RNJ458752:RNJ458753 RXF458752:RXF458753 SHB458752:SHB458753 SQX458752:SQX458753 TAT458752:TAT458753 TKP458752:TKP458753 TUL458752:TUL458753 UEH458752:UEH458753 UOD458752:UOD458753 UXZ458752:UXZ458753 VHV458752:VHV458753 VRR458752:VRR458753 WBN458752:WBN458753 WLJ458752:WLJ458753 WVF458752:WVF458753 J524289:J524290 IT524288:IT524289 SP524288:SP524289 ACL524288:ACL524289 AMH524288:AMH524289 AWD524288:AWD524289 BFZ524288:BFZ524289 BPV524288:BPV524289 BZR524288:BZR524289 CJN524288:CJN524289 CTJ524288:CTJ524289 DDF524288:DDF524289 DNB524288:DNB524289 DWX524288:DWX524289 EGT524288:EGT524289 EQP524288:EQP524289 FAL524288:FAL524289 FKH524288:FKH524289 FUD524288:FUD524289 GDZ524288:GDZ524289 GNV524288:GNV524289 GXR524288:GXR524289 HHN524288:HHN524289 HRJ524288:HRJ524289 IBF524288:IBF524289 ILB524288:ILB524289 IUX524288:IUX524289 JET524288:JET524289 JOP524288:JOP524289 JYL524288:JYL524289 KIH524288:KIH524289 KSD524288:KSD524289 LBZ524288:LBZ524289 LLV524288:LLV524289 LVR524288:LVR524289 MFN524288:MFN524289 MPJ524288:MPJ524289 MZF524288:MZF524289 NJB524288:NJB524289 NSX524288:NSX524289 OCT524288:OCT524289 OMP524288:OMP524289 OWL524288:OWL524289 PGH524288:PGH524289 PQD524288:PQD524289 PZZ524288:PZZ524289 QJV524288:QJV524289 QTR524288:QTR524289 RDN524288:RDN524289 RNJ524288:RNJ524289 RXF524288:RXF524289 SHB524288:SHB524289 SQX524288:SQX524289 TAT524288:TAT524289 TKP524288:TKP524289 TUL524288:TUL524289 UEH524288:UEH524289 UOD524288:UOD524289 UXZ524288:UXZ524289 VHV524288:VHV524289 VRR524288:VRR524289 WBN524288:WBN524289 WLJ524288:WLJ524289 WVF524288:WVF524289 J589825:J589826 IT589824:IT589825 SP589824:SP589825 ACL589824:ACL589825 AMH589824:AMH589825 AWD589824:AWD589825 BFZ589824:BFZ589825 BPV589824:BPV589825 BZR589824:BZR589825 CJN589824:CJN589825 CTJ589824:CTJ589825 DDF589824:DDF589825 DNB589824:DNB589825 DWX589824:DWX589825 EGT589824:EGT589825 EQP589824:EQP589825 FAL589824:FAL589825 FKH589824:FKH589825 FUD589824:FUD589825 GDZ589824:GDZ589825 GNV589824:GNV589825 GXR589824:GXR589825 HHN589824:HHN589825 HRJ589824:HRJ589825 IBF589824:IBF589825 ILB589824:ILB589825 IUX589824:IUX589825 JET589824:JET589825 JOP589824:JOP589825 JYL589824:JYL589825 KIH589824:KIH589825 KSD589824:KSD589825 LBZ589824:LBZ589825 LLV589824:LLV589825 LVR589824:LVR589825 MFN589824:MFN589825 MPJ589824:MPJ589825 MZF589824:MZF589825 NJB589824:NJB589825 NSX589824:NSX589825 OCT589824:OCT589825 OMP589824:OMP589825 OWL589824:OWL589825 PGH589824:PGH589825 PQD589824:PQD589825 PZZ589824:PZZ589825 QJV589824:QJV589825 QTR589824:QTR589825 RDN589824:RDN589825 RNJ589824:RNJ589825 RXF589824:RXF589825 SHB589824:SHB589825 SQX589824:SQX589825 TAT589824:TAT589825 TKP589824:TKP589825 TUL589824:TUL589825 UEH589824:UEH589825 UOD589824:UOD589825 UXZ589824:UXZ589825 VHV589824:VHV589825 VRR589824:VRR589825 WBN589824:WBN589825 WLJ589824:WLJ589825 WVF589824:WVF589825 J655361:J655362 IT655360:IT655361 SP655360:SP655361 ACL655360:ACL655361 AMH655360:AMH655361 AWD655360:AWD655361 BFZ655360:BFZ655361 BPV655360:BPV655361 BZR655360:BZR655361 CJN655360:CJN655361 CTJ655360:CTJ655361 DDF655360:DDF655361 DNB655360:DNB655361 DWX655360:DWX655361 EGT655360:EGT655361 EQP655360:EQP655361 FAL655360:FAL655361 FKH655360:FKH655361 FUD655360:FUD655361 GDZ655360:GDZ655361 GNV655360:GNV655361 GXR655360:GXR655361 HHN655360:HHN655361 HRJ655360:HRJ655361 IBF655360:IBF655361 ILB655360:ILB655361 IUX655360:IUX655361 JET655360:JET655361 JOP655360:JOP655361 JYL655360:JYL655361 KIH655360:KIH655361 KSD655360:KSD655361 LBZ655360:LBZ655361 LLV655360:LLV655361 LVR655360:LVR655361 MFN655360:MFN655361 MPJ655360:MPJ655361 MZF655360:MZF655361 NJB655360:NJB655361 NSX655360:NSX655361 OCT655360:OCT655361 OMP655360:OMP655361 OWL655360:OWL655361 PGH655360:PGH655361 PQD655360:PQD655361 PZZ655360:PZZ655361 QJV655360:QJV655361 QTR655360:QTR655361 RDN655360:RDN655361 RNJ655360:RNJ655361 RXF655360:RXF655361 SHB655360:SHB655361 SQX655360:SQX655361 TAT655360:TAT655361 TKP655360:TKP655361 TUL655360:TUL655361 UEH655360:UEH655361 UOD655360:UOD655361 UXZ655360:UXZ655361 VHV655360:VHV655361 VRR655360:VRR655361 WBN655360:WBN655361 WLJ655360:WLJ655361 WVF655360:WVF655361 J720897:J720898 IT720896:IT720897 SP720896:SP720897 ACL720896:ACL720897 AMH720896:AMH720897 AWD720896:AWD720897 BFZ720896:BFZ720897 BPV720896:BPV720897 BZR720896:BZR720897 CJN720896:CJN720897 CTJ720896:CTJ720897 DDF720896:DDF720897 DNB720896:DNB720897 DWX720896:DWX720897 EGT720896:EGT720897 EQP720896:EQP720897 FAL720896:FAL720897 FKH720896:FKH720897 FUD720896:FUD720897 GDZ720896:GDZ720897 GNV720896:GNV720897 GXR720896:GXR720897 HHN720896:HHN720897 HRJ720896:HRJ720897 IBF720896:IBF720897 ILB720896:ILB720897 IUX720896:IUX720897 JET720896:JET720897 JOP720896:JOP720897 JYL720896:JYL720897 KIH720896:KIH720897 KSD720896:KSD720897 LBZ720896:LBZ720897 LLV720896:LLV720897 LVR720896:LVR720897 MFN720896:MFN720897 MPJ720896:MPJ720897 MZF720896:MZF720897 NJB720896:NJB720897 NSX720896:NSX720897 OCT720896:OCT720897 OMP720896:OMP720897 OWL720896:OWL720897 PGH720896:PGH720897 PQD720896:PQD720897 PZZ720896:PZZ720897 QJV720896:QJV720897 QTR720896:QTR720897 RDN720896:RDN720897 RNJ720896:RNJ720897 RXF720896:RXF720897 SHB720896:SHB720897 SQX720896:SQX720897 TAT720896:TAT720897 TKP720896:TKP720897 TUL720896:TUL720897 UEH720896:UEH720897 UOD720896:UOD720897 UXZ720896:UXZ720897 VHV720896:VHV720897 VRR720896:VRR720897 WBN720896:WBN720897 WLJ720896:WLJ720897 WVF720896:WVF720897 J786433:J786434 IT786432:IT786433 SP786432:SP786433 ACL786432:ACL786433 AMH786432:AMH786433 AWD786432:AWD786433 BFZ786432:BFZ786433 BPV786432:BPV786433 BZR786432:BZR786433 CJN786432:CJN786433 CTJ786432:CTJ786433 DDF786432:DDF786433 DNB786432:DNB786433 DWX786432:DWX786433 EGT786432:EGT786433 EQP786432:EQP786433 FAL786432:FAL786433 FKH786432:FKH786433 FUD786432:FUD786433 GDZ786432:GDZ786433 GNV786432:GNV786433 GXR786432:GXR786433 HHN786432:HHN786433 HRJ786432:HRJ786433 IBF786432:IBF786433 ILB786432:ILB786433 IUX786432:IUX786433 JET786432:JET786433 JOP786432:JOP786433 JYL786432:JYL786433 KIH786432:KIH786433 KSD786432:KSD786433 LBZ786432:LBZ786433 LLV786432:LLV786433 LVR786432:LVR786433 MFN786432:MFN786433 MPJ786432:MPJ786433 MZF786432:MZF786433 NJB786432:NJB786433 NSX786432:NSX786433 OCT786432:OCT786433 OMP786432:OMP786433 OWL786432:OWL786433 PGH786432:PGH786433 PQD786432:PQD786433 PZZ786432:PZZ786433 QJV786432:QJV786433 QTR786432:QTR786433 RDN786432:RDN786433 RNJ786432:RNJ786433 RXF786432:RXF786433 SHB786432:SHB786433 SQX786432:SQX786433 TAT786432:TAT786433 TKP786432:TKP786433 TUL786432:TUL786433 UEH786432:UEH786433 UOD786432:UOD786433 UXZ786432:UXZ786433 VHV786432:VHV786433 VRR786432:VRR786433 WBN786432:WBN786433 WLJ786432:WLJ786433 WVF786432:WVF786433 J851969:J851970 IT851968:IT851969 SP851968:SP851969 ACL851968:ACL851969 AMH851968:AMH851969 AWD851968:AWD851969 BFZ851968:BFZ851969 BPV851968:BPV851969 BZR851968:BZR851969 CJN851968:CJN851969 CTJ851968:CTJ851969 DDF851968:DDF851969 DNB851968:DNB851969 DWX851968:DWX851969 EGT851968:EGT851969 EQP851968:EQP851969 FAL851968:FAL851969 FKH851968:FKH851969 FUD851968:FUD851969 GDZ851968:GDZ851969 GNV851968:GNV851969 GXR851968:GXR851969 HHN851968:HHN851969 HRJ851968:HRJ851969 IBF851968:IBF851969 ILB851968:ILB851969 IUX851968:IUX851969 JET851968:JET851969 JOP851968:JOP851969 JYL851968:JYL851969 KIH851968:KIH851969 KSD851968:KSD851969 LBZ851968:LBZ851969 LLV851968:LLV851969 LVR851968:LVR851969 MFN851968:MFN851969 MPJ851968:MPJ851969 MZF851968:MZF851969 NJB851968:NJB851969 NSX851968:NSX851969 OCT851968:OCT851969 OMP851968:OMP851969 OWL851968:OWL851969 PGH851968:PGH851969 PQD851968:PQD851969 PZZ851968:PZZ851969 QJV851968:QJV851969 QTR851968:QTR851969 RDN851968:RDN851969 RNJ851968:RNJ851969 RXF851968:RXF851969 SHB851968:SHB851969 SQX851968:SQX851969 TAT851968:TAT851969 TKP851968:TKP851969 TUL851968:TUL851969 UEH851968:UEH851969 UOD851968:UOD851969 UXZ851968:UXZ851969 VHV851968:VHV851969 VRR851968:VRR851969 WBN851968:WBN851969 WLJ851968:WLJ851969 WVF851968:WVF851969 J917505:J917506 IT917504:IT917505 SP917504:SP917505 ACL917504:ACL917505 AMH917504:AMH917505 AWD917504:AWD917505 BFZ917504:BFZ917505 BPV917504:BPV917505 BZR917504:BZR917505 CJN917504:CJN917505 CTJ917504:CTJ917505 DDF917504:DDF917505 DNB917504:DNB917505 DWX917504:DWX917505 EGT917504:EGT917505 EQP917504:EQP917505 FAL917504:FAL917505 FKH917504:FKH917505 FUD917504:FUD917505 GDZ917504:GDZ917505 GNV917504:GNV917505 GXR917504:GXR917505 HHN917504:HHN917505 HRJ917504:HRJ917505 IBF917504:IBF917505 ILB917504:ILB917505 IUX917504:IUX917505 JET917504:JET917505 JOP917504:JOP917505 JYL917504:JYL917505 KIH917504:KIH917505 KSD917504:KSD917505 LBZ917504:LBZ917505 LLV917504:LLV917505 LVR917504:LVR917505 MFN917504:MFN917505 MPJ917504:MPJ917505 MZF917504:MZF917505 NJB917504:NJB917505 NSX917504:NSX917505 OCT917504:OCT917505 OMP917504:OMP917505 OWL917504:OWL917505 PGH917504:PGH917505 PQD917504:PQD917505 PZZ917504:PZZ917505 QJV917504:QJV917505 QTR917504:QTR917505 RDN917504:RDN917505 RNJ917504:RNJ917505 RXF917504:RXF917505 SHB917504:SHB917505 SQX917504:SQX917505 TAT917504:TAT917505 TKP917504:TKP917505 TUL917504:TUL917505 UEH917504:UEH917505 UOD917504:UOD917505 UXZ917504:UXZ917505 VHV917504:VHV917505 VRR917504:VRR917505 WBN917504:WBN917505 WLJ917504:WLJ917505 WVF917504:WVF917505 J983041:J983042 IT983040:IT983041 SP983040:SP983041 ACL983040:ACL983041 AMH983040:AMH983041 AWD983040:AWD983041 BFZ983040:BFZ983041 BPV983040:BPV983041 BZR983040:BZR983041 CJN983040:CJN983041 CTJ983040:CTJ983041 DDF983040:DDF983041 DNB983040:DNB983041 DWX983040:DWX983041 EGT983040:EGT983041 EQP983040:EQP983041 FAL983040:FAL983041 FKH983040:FKH983041 FUD983040:FUD983041 GDZ983040:GDZ983041 GNV983040:GNV983041 GXR983040:GXR983041 HHN983040:HHN983041 HRJ983040:HRJ983041 IBF983040:IBF983041 ILB983040:ILB983041 IUX983040:IUX983041 JET983040:JET983041 JOP983040:JOP983041 JYL983040:JYL983041 KIH983040:KIH983041 KSD983040:KSD983041 LBZ983040:LBZ983041 LLV983040:LLV983041 LVR983040:LVR983041 MFN983040:MFN983041 MPJ983040:MPJ983041 MZF983040:MZF983041 NJB983040:NJB983041 NSX983040:NSX983041 OCT983040:OCT983041 OMP983040:OMP983041 OWL983040:OWL983041 PGH983040:PGH983041 PQD983040:PQD983041 PZZ983040:PZZ983041 QJV983040:QJV983041 QTR983040:QTR983041 RDN983040:RDN983041 RNJ983040:RNJ983041 RXF983040:RXF983041 SHB983040:SHB983041 SQX983040:SQX983041 TAT983040:TAT983041 TKP983040:TKP983041 TUL983040:TUL983041 UEH983040:UEH983041 UOD983040:UOD983041 UXZ983040:UXZ983041 VHV983040:VHV983041 VRR983040:VRR983041 WBN983040:WBN983041 WLJ983040:WLJ983041 WVF983040:WVF983041 L65537:L65538 IW65536:IW65537 SS65536:SS65537 ACO65536:ACO65537 AMK65536:AMK65537 AWG65536:AWG65537 BGC65536:BGC65537 BPY65536:BPY65537 BZU65536:BZU65537 CJQ65536:CJQ65537 CTM65536:CTM65537 DDI65536:DDI65537 DNE65536:DNE65537 DXA65536:DXA65537 EGW65536:EGW65537 EQS65536:EQS65537 FAO65536:FAO65537 FKK65536:FKK65537 FUG65536:FUG65537 GEC65536:GEC65537 GNY65536:GNY65537 GXU65536:GXU65537 HHQ65536:HHQ65537 HRM65536:HRM65537 IBI65536:IBI65537 ILE65536:ILE65537 IVA65536:IVA65537 JEW65536:JEW65537 JOS65536:JOS65537 JYO65536:JYO65537 KIK65536:KIK65537 KSG65536:KSG65537 LCC65536:LCC65537 LLY65536:LLY65537 LVU65536:LVU65537 MFQ65536:MFQ65537 MPM65536:MPM65537 MZI65536:MZI65537 NJE65536:NJE65537 NTA65536:NTA65537 OCW65536:OCW65537 OMS65536:OMS65537 OWO65536:OWO65537 PGK65536:PGK65537 PQG65536:PQG65537 QAC65536:QAC65537 QJY65536:QJY65537 QTU65536:QTU65537 RDQ65536:RDQ65537 RNM65536:RNM65537 RXI65536:RXI65537 SHE65536:SHE65537 SRA65536:SRA65537 TAW65536:TAW65537 TKS65536:TKS65537 TUO65536:TUO65537 UEK65536:UEK65537 UOG65536:UOG65537 UYC65536:UYC65537 VHY65536:VHY65537 VRU65536:VRU65537 WBQ65536:WBQ65537 WLM65536:WLM65537 WVI65536:WVI65537 L131073:L131074 IW131072:IW131073 SS131072:SS131073 ACO131072:ACO131073 AMK131072:AMK131073 AWG131072:AWG131073 BGC131072:BGC131073 BPY131072:BPY131073 BZU131072:BZU131073 CJQ131072:CJQ131073 CTM131072:CTM131073 DDI131072:DDI131073 DNE131072:DNE131073 DXA131072:DXA131073 EGW131072:EGW131073 EQS131072:EQS131073 FAO131072:FAO131073 FKK131072:FKK131073 FUG131072:FUG131073 GEC131072:GEC131073 GNY131072:GNY131073 GXU131072:GXU131073 HHQ131072:HHQ131073 HRM131072:HRM131073 IBI131072:IBI131073 ILE131072:ILE131073 IVA131072:IVA131073 JEW131072:JEW131073 JOS131072:JOS131073 JYO131072:JYO131073 KIK131072:KIK131073 KSG131072:KSG131073 LCC131072:LCC131073 LLY131072:LLY131073 LVU131072:LVU131073 MFQ131072:MFQ131073 MPM131072:MPM131073 MZI131072:MZI131073 NJE131072:NJE131073 NTA131072:NTA131073 OCW131072:OCW131073 OMS131072:OMS131073 OWO131072:OWO131073 PGK131072:PGK131073 PQG131072:PQG131073 QAC131072:QAC131073 QJY131072:QJY131073 QTU131072:QTU131073 RDQ131072:RDQ131073 RNM131072:RNM131073 RXI131072:RXI131073 SHE131072:SHE131073 SRA131072:SRA131073 TAW131072:TAW131073 TKS131072:TKS131073 TUO131072:TUO131073 UEK131072:UEK131073 UOG131072:UOG131073 UYC131072:UYC131073 VHY131072:VHY131073 VRU131072:VRU131073 WBQ131072:WBQ131073 WLM131072:WLM131073 WVI131072:WVI131073 L196609:L196610 IW196608:IW196609 SS196608:SS196609 ACO196608:ACO196609 AMK196608:AMK196609 AWG196608:AWG196609 BGC196608:BGC196609 BPY196608:BPY196609 BZU196608:BZU196609 CJQ196608:CJQ196609 CTM196608:CTM196609 DDI196608:DDI196609 DNE196608:DNE196609 DXA196608:DXA196609 EGW196608:EGW196609 EQS196608:EQS196609 FAO196608:FAO196609 FKK196608:FKK196609 FUG196608:FUG196609 GEC196608:GEC196609 GNY196608:GNY196609 GXU196608:GXU196609 HHQ196608:HHQ196609 HRM196608:HRM196609 IBI196608:IBI196609 ILE196608:ILE196609 IVA196608:IVA196609 JEW196608:JEW196609 JOS196608:JOS196609 JYO196608:JYO196609 KIK196608:KIK196609 KSG196608:KSG196609 LCC196608:LCC196609 LLY196608:LLY196609 LVU196608:LVU196609 MFQ196608:MFQ196609 MPM196608:MPM196609 MZI196608:MZI196609 NJE196608:NJE196609 NTA196608:NTA196609 OCW196608:OCW196609 OMS196608:OMS196609 OWO196608:OWO196609 PGK196608:PGK196609 PQG196608:PQG196609 QAC196608:QAC196609 QJY196608:QJY196609 QTU196608:QTU196609 RDQ196608:RDQ196609 RNM196608:RNM196609 RXI196608:RXI196609 SHE196608:SHE196609 SRA196608:SRA196609 TAW196608:TAW196609 TKS196608:TKS196609 TUO196608:TUO196609 UEK196608:UEK196609 UOG196608:UOG196609 UYC196608:UYC196609 VHY196608:VHY196609 VRU196608:VRU196609 WBQ196608:WBQ196609 WLM196608:WLM196609 WVI196608:WVI196609 L262145:L262146 IW262144:IW262145 SS262144:SS262145 ACO262144:ACO262145 AMK262144:AMK262145 AWG262144:AWG262145 BGC262144:BGC262145 BPY262144:BPY262145 BZU262144:BZU262145 CJQ262144:CJQ262145 CTM262144:CTM262145 DDI262144:DDI262145 DNE262144:DNE262145 DXA262144:DXA262145 EGW262144:EGW262145 EQS262144:EQS262145 FAO262144:FAO262145 FKK262144:FKK262145 FUG262144:FUG262145 GEC262144:GEC262145 GNY262144:GNY262145 GXU262144:GXU262145 HHQ262144:HHQ262145 HRM262144:HRM262145 IBI262144:IBI262145 ILE262144:ILE262145 IVA262144:IVA262145 JEW262144:JEW262145 JOS262144:JOS262145 JYO262144:JYO262145 KIK262144:KIK262145 KSG262144:KSG262145 LCC262144:LCC262145 LLY262144:LLY262145 LVU262144:LVU262145 MFQ262144:MFQ262145 MPM262144:MPM262145 MZI262144:MZI262145 NJE262144:NJE262145 NTA262144:NTA262145 OCW262144:OCW262145 OMS262144:OMS262145 OWO262144:OWO262145 PGK262144:PGK262145 PQG262144:PQG262145 QAC262144:QAC262145 QJY262144:QJY262145 QTU262144:QTU262145 RDQ262144:RDQ262145 RNM262144:RNM262145 RXI262144:RXI262145 SHE262144:SHE262145 SRA262144:SRA262145 TAW262144:TAW262145 TKS262144:TKS262145 TUO262144:TUO262145 UEK262144:UEK262145 UOG262144:UOG262145 UYC262144:UYC262145 VHY262144:VHY262145 VRU262144:VRU262145 WBQ262144:WBQ262145 WLM262144:WLM262145 WVI262144:WVI262145 L327681:L327682 IW327680:IW327681 SS327680:SS327681 ACO327680:ACO327681 AMK327680:AMK327681 AWG327680:AWG327681 BGC327680:BGC327681 BPY327680:BPY327681 BZU327680:BZU327681 CJQ327680:CJQ327681 CTM327680:CTM327681 DDI327680:DDI327681 DNE327680:DNE327681 DXA327680:DXA327681 EGW327680:EGW327681 EQS327680:EQS327681 FAO327680:FAO327681 FKK327680:FKK327681 FUG327680:FUG327681 GEC327680:GEC327681 GNY327680:GNY327681 GXU327680:GXU327681 HHQ327680:HHQ327681 HRM327680:HRM327681 IBI327680:IBI327681 ILE327680:ILE327681 IVA327680:IVA327681 JEW327680:JEW327681 JOS327680:JOS327681 JYO327680:JYO327681 KIK327680:KIK327681 KSG327680:KSG327681 LCC327680:LCC327681 LLY327680:LLY327681 LVU327680:LVU327681 MFQ327680:MFQ327681 MPM327680:MPM327681 MZI327680:MZI327681 NJE327680:NJE327681 NTA327680:NTA327681 OCW327680:OCW327681 OMS327680:OMS327681 OWO327680:OWO327681 PGK327680:PGK327681 PQG327680:PQG327681 QAC327680:QAC327681 QJY327680:QJY327681 QTU327680:QTU327681 RDQ327680:RDQ327681 RNM327680:RNM327681 RXI327680:RXI327681 SHE327680:SHE327681 SRA327680:SRA327681 TAW327680:TAW327681 TKS327680:TKS327681 TUO327680:TUO327681 UEK327680:UEK327681 UOG327680:UOG327681 UYC327680:UYC327681 VHY327680:VHY327681 VRU327680:VRU327681 WBQ327680:WBQ327681 WLM327680:WLM327681 WVI327680:WVI327681 L393217:L393218 IW393216:IW393217 SS393216:SS393217 ACO393216:ACO393217 AMK393216:AMK393217 AWG393216:AWG393217 BGC393216:BGC393217 BPY393216:BPY393217 BZU393216:BZU393217 CJQ393216:CJQ393217 CTM393216:CTM393217 DDI393216:DDI393217 DNE393216:DNE393217 DXA393216:DXA393217 EGW393216:EGW393217 EQS393216:EQS393217 FAO393216:FAO393217 FKK393216:FKK393217 FUG393216:FUG393217 GEC393216:GEC393217 GNY393216:GNY393217 GXU393216:GXU393217 HHQ393216:HHQ393217 HRM393216:HRM393217 IBI393216:IBI393217 ILE393216:ILE393217 IVA393216:IVA393217 JEW393216:JEW393217 JOS393216:JOS393217 JYO393216:JYO393217 KIK393216:KIK393217 KSG393216:KSG393217 LCC393216:LCC393217 LLY393216:LLY393217 LVU393216:LVU393217 MFQ393216:MFQ393217 MPM393216:MPM393217 MZI393216:MZI393217 NJE393216:NJE393217 NTA393216:NTA393217 OCW393216:OCW393217 OMS393216:OMS393217 OWO393216:OWO393217 PGK393216:PGK393217 PQG393216:PQG393217 QAC393216:QAC393217 QJY393216:QJY393217 QTU393216:QTU393217 RDQ393216:RDQ393217 RNM393216:RNM393217 RXI393216:RXI393217 SHE393216:SHE393217 SRA393216:SRA393217 TAW393216:TAW393217 TKS393216:TKS393217 TUO393216:TUO393217 UEK393216:UEK393217 UOG393216:UOG393217 UYC393216:UYC393217 VHY393216:VHY393217 VRU393216:VRU393217 WBQ393216:WBQ393217 WLM393216:WLM393217 WVI393216:WVI393217 L458753:L458754 IW458752:IW458753 SS458752:SS458753 ACO458752:ACO458753 AMK458752:AMK458753 AWG458752:AWG458753 BGC458752:BGC458753 BPY458752:BPY458753 BZU458752:BZU458753 CJQ458752:CJQ458753 CTM458752:CTM458753 DDI458752:DDI458753 DNE458752:DNE458753 DXA458752:DXA458753 EGW458752:EGW458753 EQS458752:EQS458753 FAO458752:FAO458753 FKK458752:FKK458753 FUG458752:FUG458753 GEC458752:GEC458753 GNY458752:GNY458753 GXU458752:GXU458753 HHQ458752:HHQ458753 HRM458752:HRM458753 IBI458752:IBI458753 ILE458752:ILE458753 IVA458752:IVA458753 JEW458752:JEW458753 JOS458752:JOS458753 JYO458752:JYO458753 KIK458752:KIK458753 KSG458752:KSG458753 LCC458752:LCC458753 LLY458752:LLY458753 LVU458752:LVU458753 MFQ458752:MFQ458753 MPM458752:MPM458753 MZI458752:MZI458753 NJE458752:NJE458753 NTA458752:NTA458753 OCW458752:OCW458753 OMS458752:OMS458753 OWO458752:OWO458753 PGK458752:PGK458753 PQG458752:PQG458753 QAC458752:QAC458753 QJY458752:QJY458753 QTU458752:QTU458753 RDQ458752:RDQ458753 RNM458752:RNM458753 RXI458752:RXI458753 SHE458752:SHE458753 SRA458752:SRA458753 TAW458752:TAW458753 TKS458752:TKS458753 TUO458752:TUO458753 UEK458752:UEK458753 UOG458752:UOG458753 UYC458752:UYC458753 VHY458752:VHY458753 VRU458752:VRU458753 WBQ458752:WBQ458753 WLM458752:WLM458753 WVI458752:WVI458753 L524289:L524290 IW524288:IW524289 SS524288:SS524289 ACO524288:ACO524289 AMK524288:AMK524289 AWG524288:AWG524289 BGC524288:BGC524289 BPY524288:BPY524289 BZU524288:BZU524289 CJQ524288:CJQ524289 CTM524288:CTM524289 DDI524288:DDI524289 DNE524288:DNE524289 DXA524288:DXA524289 EGW524288:EGW524289 EQS524288:EQS524289 FAO524288:FAO524289 FKK524288:FKK524289 FUG524288:FUG524289 GEC524288:GEC524289 GNY524288:GNY524289 GXU524288:GXU524289 HHQ524288:HHQ524289 HRM524288:HRM524289 IBI524288:IBI524289 ILE524288:ILE524289 IVA524288:IVA524289 JEW524288:JEW524289 JOS524288:JOS524289 JYO524288:JYO524289 KIK524288:KIK524289 KSG524288:KSG524289 LCC524288:LCC524289 LLY524288:LLY524289 LVU524288:LVU524289 MFQ524288:MFQ524289 MPM524288:MPM524289 MZI524288:MZI524289 NJE524288:NJE524289 NTA524288:NTA524289 OCW524288:OCW524289 OMS524288:OMS524289 OWO524288:OWO524289 PGK524288:PGK524289 PQG524288:PQG524289 QAC524288:QAC524289 QJY524288:QJY524289 QTU524288:QTU524289 RDQ524288:RDQ524289 RNM524288:RNM524289 RXI524288:RXI524289 SHE524288:SHE524289 SRA524288:SRA524289 TAW524288:TAW524289 TKS524288:TKS524289 TUO524288:TUO524289 UEK524288:UEK524289 UOG524288:UOG524289 UYC524288:UYC524289 VHY524288:VHY524289 VRU524288:VRU524289 WBQ524288:WBQ524289 WLM524288:WLM524289 WVI524288:WVI524289 L589825:L589826 IW589824:IW589825 SS589824:SS589825 ACO589824:ACO589825 AMK589824:AMK589825 AWG589824:AWG589825 BGC589824:BGC589825 BPY589824:BPY589825 BZU589824:BZU589825 CJQ589824:CJQ589825 CTM589824:CTM589825 DDI589824:DDI589825 DNE589824:DNE589825 DXA589824:DXA589825 EGW589824:EGW589825 EQS589824:EQS589825 FAO589824:FAO589825 FKK589824:FKK589825 FUG589824:FUG589825 GEC589824:GEC589825 GNY589824:GNY589825 GXU589824:GXU589825 HHQ589824:HHQ589825 HRM589824:HRM589825 IBI589824:IBI589825 ILE589824:ILE589825 IVA589824:IVA589825 JEW589824:JEW589825 JOS589824:JOS589825 JYO589824:JYO589825 KIK589824:KIK589825 KSG589824:KSG589825 LCC589824:LCC589825 LLY589824:LLY589825 LVU589824:LVU589825 MFQ589824:MFQ589825 MPM589824:MPM589825 MZI589824:MZI589825 NJE589824:NJE589825 NTA589824:NTA589825 OCW589824:OCW589825 OMS589824:OMS589825 OWO589824:OWO589825 PGK589824:PGK589825 PQG589824:PQG589825 QAC589824:QAC589825 QJY589824:QJY589825 QTU589824:QTU589825 RDQ589824:RDQ589825 RNM589824:RNM589825 RXI589824:RXI589825 SHE589824:SHE589825 SRA589824:SRA589825 TAW589824:TAW589825 TKS589824:TKS589825 TUO589824:TUO589825 UEK589824:UEK589825 UOG589824:UOG589825 UYC589824:UYC589825 VHY589824:VHY589825 VRU589824:VRU589825 WBQ589824:WBQ589825 WLM589824:WLM589825 WVI589824:WVI589825 L655361:L655362 IW655360:IW655361 SS655360:SS655361 ACO655360:ACO655361 AMK655360:AMK655361 AWG655360:AWG655361 BGC655360:BGC655361 BPY655360:BPY655361 BZU655360:BZU655361 CJQ655360:CJQ655361 CTM655360:CTM655361 DDI655360:DDI655361 DNE655360:DNE655361 DXA655360:DXA655361 EGW655360:EGW655361 EQS655360:EQS655361 FAO655360:FAO655361 FKK655360:FKK655361 FUG655360:FUG655361 GEC655360:GEC655361 GNY655360:GNY655361 GXU655360:GXU655361 HHQ655360:HHQ655361 HRM655360:HRM655361 IBI655360:IBI655361 ILE655360:ILE655361 IVA655360:IVA655361 JEW655360:JEW655361 JOS655360:JOS655361 JYO655360:JYO655361 KIK655360:KIK655361 KSG655360:KSG655361 LCC655360:LCC655361 LLY655360:LLY655361 LVU655360:LVU655361 MFQ655360:MFQ655361 MPM655360:MPM655361 MZI655360:MZI655361 NJE655360:NJE655361 NTA655360:NTA655361 OCW655360:OCW655361 OMS655360:OMS655361 OWO655360:OWO655361 PGK655360:PGK655361 PQG655360:PQG655361 QAC655360:QAC655361 QJY655360:QJY655361 QTU655360:QTU655361 RDQ655360:RDQ655361 RNM655360:RNM655361 RXI655360:RXI655361 SHE655360:SHE655361 SRA655360:SRA655361 TAW655360:TAW655361 TKS655360:TKS655361 TUO655360:TUO655361 UEK655360:UEK655361 UOG655360:UOG655361 UYC655360:UYC655361 VHY655360:VHY655361 VRU655360:VRU655361 WBQ655360:WBQ655361 WLM655360:WLM655361 WVI655360:WVI655361 L720897:L720898 IW720896:IW720897 SS720896:SS720897 ACO720896:ACO720897 AMK720896:AMK720897 AWG720896:AWG720897 BGC720896:BGC720897 BPY720896:BPY720897 BZU720896:BZU720897 CJQ720896:CJQ720897 CTM720896:CTM720897 DDI720896:DDI720897 DNE720896:DNE720897 DXA720896:DXA720897 EGW720896:EGW720897 EQS720896:EQS720897 FAO720896:FAO720897 FKK720896:FKK720897 FUG720896:FUG720897 GEC720896:GEC720897 GNY720896:GNY720897 GXU720896:GXU720897 HHQ720896:HHQ720897 HRM720896:HRM720897 IBI720896:IBI720897 ILE720896:ILE720897 IVA720896:IVA720897 JEW720896:JEW720897 JOS720896:JOS720897 JYO720896:JYO720897 KIK720896:KIK720897 KSG720896:KSG720897 LCC720896:LCC720897 LLY720896:LLY720897 LVU720896:LVU720897 MFQ720896:MFQ720897 MPM720896:MPM720897 MZI720896:MZI720897 NJE720896:NJE720897 NTA720896:NTA720897 OCW720896:OCW720897 OMS720896:OMS720897 OWO720896:OWO720897 PGK720896:PGK720897 PQG720896:PQG720897 QAC720896:QAC720897 QJY720896:QJY720897 QTU720896:QTU720897 RDQ720896:RDQ720897 RNM720896:RNM720897 RXI720896:RXI720897 SHE720896:SHE720897 SRA720896:SRA720897 TAW720896:TAW720897 TKS720896:TKS720897 TUO720896:TUO720897 UEK720896:UEK720897 UOG720896:UOG720897 UYC720896:UYC720897 VHY720896:VHY720897 VRU720896:VRU720897 WBQ720896:WBQ720897 WLM720896:WLM720897 WVI720896:WVI720897 L786433:L786434 IW786432:IW786433 SS786432:SS786433 ACO786432:ACO786433 AMK786432:AMK786433 AWG786432:AWG786433 BGC786432:BGC786433 BPY786432:BPY786433 BZU786432:BZU786433 CJQ786432:CJQ786433 CTM786432:CTM786433 DDI786432:DDI786433 DNE786432:DNE786433 DXA786432:DXA786433 EGW786432:EGW786433 EQS786432:EQS786433 FAO786432:FAO786433 FKK786432:FKK786433 FUG786432:FUG786433 GEC786432:GEC786433 GNY786432:GNY786433 GXU786432:GXU786433 HHQ786432:HHQ786433 HRM786432:HRM786433 IBI786432:IBI786433 ILE786432:ILE786433 IVA786432:IVA786433 JEW786432:JEW786433 JOS786432:JOS786433 JYO786432:JYO786433 KIK786432:KIK786433 KSG786432:KSG786433 LCC786432:LCC786433 LLY786432:LLY786433 LVU786432:LVU786433 MFQ786432:MFQ786433 MPM786432:MPM786433 MZI786432:MZI786433 NJE786432:NJE786433 NTA786432:NTA786433 OCW786432:OCW786433 OMS786432:OMS786433 OWO786432:OWO786433 PGK786432:PGK786433 PQG786432:PQG786433 QAC786432:QAC786433 QJY786432:QJY786433 QTU786432:QTU786433 RDQ786432:RDQ786433 RNM786432:RNM786433 RXI786432:RXI786433 SHE786432:SHE786433 SRA786432:SRA786433 TAW786432:TAW786433 TKS786432:TKS786433 TUO786432:TUO786433 UEK786432:UEK786433 UOG786432:UOG786433 UYC786432:UYC786433 VHY786432:VHY786433 VRU786432:VRU786433 WBQ786432:WBQ786433 WLM786432:WLM786433 WVI786432:WVI786433 L851969:L851970 IW851968:IW851969 SS851968:SS851969 ACO851968:ACO851969 AMK851968:AMK851969 AWG851968:AWG851969 BGC851968:BGC851969 BPY851968:BPY851969 BZU851968:BZU851969 CJQ851968:CJQ851969 CTM851968:CTM851969 DDI851968:DDI851969 DNE851968:DNE851969 DXA851968:DXA851969 EGW851968:EGW851969 EQS851968:EQS851969 FAO851968:FAO851969 FKK851968:FKK851969 FUG851968:FUG851969 GEC851968:GEC851969 GNY851968:GNY851969 GXU851968:GXU851969 HHQ851968:HHQ851969 HRM851968:HRM851969 IBI851968:IBI851969 ILE851968:ILE851969 IVA851968:IVA851969 JEW851968:JEW851969 JOS851968:JOS851969 JYO851968:JYO851969 KIK851968:KIK851969 KSG851968:KSG851969 LCC851968:LCC851969 LLY851968:LLY851969 LVU851968:LVU851969 MFQ851968:MFQ851969 MPM851968:MPM851969 MZI851968:MZI851969 NJE851968:NJE851969 NTA851968:NTA851969 OCW851968:OCW851969 OMS851968:OMS851969 OWO851968:OWO851969 PGK851968:PGK851969 PQG851968:PQG851969 QAC851968:QAC851969 QJY851968:QJY851969 QTU851968:QTU851969 RDQ851968:RDQ851969 RNM851968:RNM851969 RXI851968:RXI851969 SHE851968:SHE851969 SRA851968:SRA851969 TAW851968:TAW851969 TKS851968:TKS851969 TUO851968:TUO851969 UEK851968:UEK851969 UOG851968:UOG851969 UYC851968:UYC851969 VHY851968:VHY851969 VRU851968:VRU851969 WBQ851968:WBQ851969 WLM851968:WLM851969 WVI851968:WVI851969 L917505:L917506 IW917504:IW917505 SS917504:SS917505 ACO917504:ACO917505 AMK917504:AMK917505 AWG917504:AWG917505 BGC917504:BGC917505 BPY917504:BPY917505 BZU917504:BZU917505 CJQ917504:CJQ917505 CTM917504:CTM917505 DDI917504:DDI917505 DNE917504:DNE917505 DXA917504:DXA917505 EGW917504:EGW917505 EQS917504:EQS917505 FAO917504:FAO917505 FKK917504:FKK917505 FUG917504:FUG917505 GEC917504:GEC917505 GNY917504:GNY917505 GXU917504:GXU917505 HHQ917504:HHQ917505 HRM917504:HRM917505 IBI917504:IBI917505 ILE917504:ILE917505 IVA917504:IVA917505 JEW917504:JEW917505 JOS917504:JOS917505 JYO917504:JYO917505 KIK917504:KIK917505 KSG917504:KSG917505 LCC917504:LCC917505 LLY917504:LLY917505 LVU917504:LVU917505 MFQ917504:MFQ917505 MPM917504:MPM917505 MZI917504:MZI917505 NJE917504:NJE917505 NTA917504:NTA917505 OCW917504:OCW917505 OMS917504:OMS917505 OWO917504:OWO917505 PGK917504:PGK917505 PQG917504:PQG917505 QAC917504:QAC917505 QJY917504:QJY917505 QTU917504:QTU917505 RDQ917504:RDQ917505 RNM917504:RNM917505 RXI917504:RXI917505 SHE917504:SHE917505 SRA917504:SRA917505 TAW917504:TAW917505 TKS917504:TKS917505 TUO917504:TUO917505 UEK917504:UEK917505 UOG917504:UOG917505 UYC917504:UYC917505 VHY917504:VHY917505 VRU917504:VRU917505 WBQ917504:WBQ917505 WLM917504:WLM917505 WVI917504:WVI917505 L983041:L983042 IW983040:IW983041 SS983040:SS983041 ACO983040:ACO983041 AMK983040:AMK983041 AWG983040:AWG983041 BGC983040:BGC983041 BPY983040:BPY983041 BZU983040:BZU983041 CJQ983040:CJQ983041 CTM983040:CTM983041 DDI983040:DDI983041 DNE983040:DNE983041 DXA983040:DXA983041 EGW983040:EGW983041 EQS983040:EQS983041 FAO983040:FAO983041 FKK983040:FKK983041 FUG983040:FUG983041 GEC983040:GEC983041 GNY983040:GNY983041 GXU983040:GXU983041 HHQ983040:HHQ983041 HRM983040:HRM983041 IBI983040:IBI983041 ILE983040:ILE983041 IVA983040:IVA983041 JEW983040:JEW983041 JOS983040:JOS983041 JYO983040:JYO983041 KIK983040:KIK983041 KSG983040:KSG983041 LCC983040:LCC983041 LLY983040:LLY983041 LVU983040:LVU983041 MFQ983040:MFQ983041 MPM983040:MPM983041 MZI983040:MZI983041 NJE983040:NJE983041 NTA983040:NTA983041 OCW983040:OCW983041 OMS983040:OMS983041 OWO983040:OWO983041 PGK983040:PGK983041 PQG983040:PQG983041 QAC983040:QAC983041 QJY983040:QJY983041 QTU983040:QTU983041 RDQ983040:RDQ983041 RNM983040:RNM983041 RXI983040:RXI983041 SHE983040:SHE983041 SRA983040:SRA983041 TAW983040:TAW983041 TKS983040:TKS983041 TUO983040:TUO983041 UEK983040:UEK983041 UOG983040:UOG983041 UYC983040:UYC983041 VHY983040:VHY983041 VRU983040:VRU983041 WBQ983040:WBQ983041 WLM983040:WLM983041 WVI983040:WVI983041 N65537:N65538 IZ65536:IZ65537 SV65536:SV65537 ACR65536:ACR65537 AMN65536:AMN65537 AWJ65536:AWJ65537 BGF65536:BGF65537 BQB65536:BQB65537 BZX65536:BZX65537 CJT65536:CJT65537 CTP65536:CTP65537 DDL65536:DDL65537 DNH65536:DNH65537 DXD65536:DXD65537 EGZ65536:EGZ65537 EQV65536:EQV65537 FAR65536:FAR65537 FKN65536:FKN65537 FUJ65536:FUJ65537 GEF65536:GEF65537 GOB65536:GOB65537 GXX65536:GXX65537 HHT65536:HHT65537 HRP65536:HRP65537 IBL65536:IBL65537 ILH65536:ILH65537 IVD65536:IVD65537 JEZ65536:JEZ65537 JOV65536:JOV65537 JYR65536:JYR65537 KIN65536:KIN65537 KSJ65536:KSJ65537 LCF65536:LCF65537 LMB65536:LMB65537 LVX65536:LVX65537 MFT65536:MFT65537 MPP65536:MPP65537 MZL65536:MZL65537 NJH65536:NJH65537 NTD65536:NTD65537 OCZ65536:OCZ65537 OMV65536:OMV65537 OWR65536:OWR65537 PGN65536:PGN65537 PQJ65536:PQJ65537 QAF65536:QAF65537 QKB65536:QKB65537 QTX65536:QTX65537 RDT65536:RDT65537 RNP65536:RNP65537 RXL65536:RXL65537 SHH65536:SHH65537 SRD65536:SRD65537 TAZ65536:TAZ65537 TKV65536:TKV65537 TUR65536:TUR65537 UEN65536:UEN65537 UOJ65536:UOJ65537 UYF65536:UYF65537 VIB65536:VIB65537 VRX65536:VRX65537 WBT65536:WBT65537 WLP65536:WLP65537 WVL65536:WVL65537 N131073:N131074 IZ131072:IZ131073 SV131072:SV131073 ACR131072:ACR131073 AMN131072:AMN131073 AWJ131072:AWJ131073 BGF131072:BGF131073 BQB131072:BQB131073 BZX131072:BZX131073 CJT131072:CJT131073 CTP131072:CTP131073 DDL131072:DDL131073 DNH131072:DNH131073 DXD131072:DXD131073 EGZ131072:EGZ131073 EQV131072:EQV131073 FAR131072:FAR131073 FKN131072:FKN131073 FUJ131072:FUJ131073 GEF131072:GEF131073 GOB131072:GOB131073 GXX131072:GXX131073 HHT131072:HHT131073 HRP131072:HRP131073 IBL131072:IBL131073 ILH131072:ILH131073 IVD131072:IVD131073 JEZ131072:JEZ131073 JOV131072:JOV131073 JYR131072:JYR131073 KIN131072:KIN131073 KSJ131072:KSJ131073 LCF131072:LCF131073 LMB131072:LMB131073 LVX131072:LVX131073 MFT131072:MFT131073 MPP131072:MPP131073 MZL131072:MZL131073 NJH131072:NJH131073 NTD131072:NTD131073 OCZ131072:OCZ131073 OMV131072:OMV131073 OWR131072:OWR131073 PGN131072:PGN131073 PQJ131072:PQJ131073 QAF131072:QAF131073 QKB131072:QKB131073 QTX131072:QTX131073 RDT131072:RDT131073 RNP131072:RNP131073 RXL131072:RXL131073 SHH131072:SHH131073 SRD131072:SRD131073 TAZ131072:TAZ131073 TKV131072:TKV131073 TUR131072:TUR131073 UEN131072:UEN131073 UOJ131072:UOJ131073 UYF131072:UYF131073 VIB131072:VIB131073 VRX131072:VRX131073 WBT131072:WBT131073 WLP131072:WLP131073 WVL131072:WVL131073 N196609:N196610 IZ196608:IZ196609 SV196608:SV196609 ACR196608:ACR196609 AMN196608:AMN196609 AWJ196608:AWJ196609 BGF196608:BGF196609 BQB196608:BQB196609 BZX196608:BZX196609 CJT196608:CJT196609 CTP196608:CTP196609 DDL196608:DDL196609 DNH196608:DNH196609 DXD196608:DXD196609 EGZ196608:EGZ196609 EQV196608:EQV196609 FAR196608:FAR196609 FKN196608:FKN196609 FUJ196608:FUJ196609 GEF196608:GEF196609 GOB196608:GOB196609 GXX196608:GXX196609 HHT196608:HHT196609 HRP196608:HRP196609 IBL196608:IBL196609 ILH196608:ILH196609 IVD196608:IVD196609 JEZ196608:JEZ196609 JOV196608:JOV196609 JYR196608:JYR196609 KIN196608:KIN196609 KSJ196608:KSJ196609 LCF196608:LCF196609 LMB196608:LMB196609 LVX196608:LVX196609 MFT196608:MFT196609 MPP196608:MPP196609 MZL196608:MZL196609 NJH196608:NJH196609 NTD196608:NTD196609 OCZ196608:OCZ196609 OMV196608:OMV196609 OWR196608:OWR196609 PGN196608:PGN196609 PQJ196608:PQJ196609 QAF196608:QAF196609 QKB196608:QKB196609 QTX196608:QTX196609 RDT196608:RDT196609 RNP196608:RNP196609 RXL196608:RXL196609 SHH196608:SHH196609 SRD196608:SRD196609 TAZ196608:TAZ196609 TKV196608:TKV196609 TUR196608:TUR196609 UEN196608:UEN196609 UOJ196608:UOJ196609 UYF196608:UYF196609 VIB196608:VIB196609 VRX196608:VRX196609 WBT196608:WBT196609 WLP196608:WLP196609 WVL196608:WVL196609 N262145:N262146 IZ262144:IZ262145 SV262144:SV262145 ACR262144:ACR262145 AMN262144:AMN262145 AWJ262144:AWJ262145 BGF262144:BGF262145 BQB262144:BQB262145 BZX262144:BZX262145 CJT262144:CJT262145 CTP262144:CTP262145 DDL262144:DDL262145 DNH262144:DNH262145 DXD262144:DXD262145 EGZ262144:EGZ262145 EQV262144:EQV262145 FAR262144:FAR262145 FKN262144:FKN262145 FUJ262144:FUJ262145 GEF262144:GEF262145 GOB262144:GOB262145 GXX262144:GXX262145 HHT262144:HHT262145 HRP262144:HRP262145 IBL262144:IBL262145 ILH262144:ILH262145 IVD262144:IVD262145 JEZ262144:JEZ262145 JOV262144:JOV262145 JYR262144:JYR262145 KIN262144:KIN262145 KSJ262144:KSJ262145 LCF262144:LCF262145 LMB262144:LMB262145 LVX262144:LVX262145 MFT262144:MFT262145 MPP262144:MPP262145 MZL262144:MZL262145 NJH262144:NJH262145 NTD262144:NTD262145 OCZ262144:OCZ262145 OMV262144:OMV262145 OWR262144:OWR262145 PGN262144:PGN262145 PQJ262144:PQJ262145 QAF262144:QAF262145 QKB262144:QKB262145 QTX262144:QTX262145 RDT262144:RDT262145 RNP262144:RNP262145 RXL262144:RXL262145 SHH262144:SHH262145 SRD262144:SRD262145 TAZ262144:TAZ262145 TKV262144:TKV262145 TUR262144:TUR262145 UEN262144:UEN262145 UOJ262144:UOJ262145 UYF262144:UYF262145 VIB262144:VIB262145 VRX262144:VRX262145 WBT262144:WBT262145 WLP262144:WLP262145 WVL262144:WVL262145 N327681:N327682 IZ327680:IZ327681 SV327680:SV327681 ACR327680:ACR327681 AMN327680:AMN327681 AWJ327680:AWJ327681 BGF327680:BGF327681 BQB327680:BQB327681 BZX327680:BZX327681 CJT327680:CJT327681 CTP327680:CTP327681 DDL327680:DDL327681 DNH327680:DNH327681 DXD327680:DXD327681 EGZ327680:EGZ327681 EQV327680:EQV327681 FAR327680:FAR327681 FKN327680:FKN327681 FUJ327680:FUJ327681 GEF327680:GEF327681 GOB327680:GOB327681 GXX327680:GXX327681 HHT327680:HHT327681 HRP327680:HRP327681 IBL327680:IBL327681 ILH327680:ILH327681 IVD327680:IVD327681 JEZ327680:JEZ327681 JOV327680:JOV327681 JYR327680:JYR327681 KIN327680:KIN327681 KSJ327680:KSJ327681 LCF327680:LCF327681 LMB327680:LMB327681 LVX327680:LVX327681 MFT327680:MFT327681 MPP327680:MPP327681 MZL327680:MZL327681 NJH327680:NJH327681 NTD327680:NTD327681 OCZ327680:OCZ327681 OMV327680:OMV327681 OWR327680:OWR327681 PGN327680:PGN327681 PQJ327680:PQJ327681 QAF327680:QAF327681 QKB327680:QKB327681 QTX327680:QTX327681 RDT327680:RDT327681 RNP327680:RNP327681 RXL327680:RXL327681 SHH327680:SHH327681 SRD327680:SRD327681 TAZ327680:TAZ327681 TKV327680:TKV327681 TUR327680:TUR327681 UEN327680:UEN327681 UOJ327680:UOJ327681 UYF327680:UYF327681 VIB327680:VIB327681 VRX327680:VRX327681 WBT327680:WBT327681 WLP327680:WLP327681 WVL327680:WVL327681 N393217:N393218 IZ393216:IZ393217 SV393216:SV393217 ACR393216:ACR393217 AMN393216:AMN393217 AWJ393216:AWJ393217 BGF393216:BGF393217 BQB393216:BQB393217 BZX393216:BZX393217 CJT393216:CJT393217 CTP393216:CTP393217 DDL393216:DDL393217 DNH393216:DNH393217 DXD393216:DXD393217 EGZ393216:EGZ393217 EQV393216:EQV393217 FAR393216:FAR393217 FKN393216:FKN393217 FUJ393216:FUJ393217 GEF393216:GEF393217 GOB393216:GOB393217 GXX393216:GXX393217 HHT393216:HHT393217 HRP393216:HRP393217 IBL393216:IBL393217 ILH393216:ILH393217 IVD393216:IVD393217 JEZ393216:JEZ393217 JOV393216:JOV393217 JYR393216:JYR393217 KIN393216:KIN393217 KSJ393216:KSJ393217 LCF393216:LCF393217 LMB393216:LMB393217 LVX393216:LVX393217 MFT393216:MFT393217 MPP393216:MPP393217 MZL393216:MZL393217 NJH393216:NJH393217 NTD393216:NTD393217 OCZ393216:OCZ393217 OMV393216:OMV393217 OWR393216:OWR393217 PGN393216:PGN393217 PQJ393216:PQJ393217 QAF393216:QAF393217 QKB393216:QKB393217 QTX393216:QTX393217 RDT393216:RDT393217 RNP393216:RNP393217 RXL393216:RXL393217 SHH393216:SHH393217 SRD393216:SRD393217 TAZ393216:TAZ393217 TKV393216:TKV393217 TUR393216:TUR393217 UEN393216:UEN393217 UOJ393216:UOJ393217 UYF393216:UYF393217 VIB393216:VIB393217 VRX393216:VRX393217 WBT393216:WBT393217 WLP393216:WLP393217 WVL393216:WVL393217 N458753:N458754 IZ458752:IZ458753 SV458752:SV458753 ACR458752:ACR458753 AMN458752:AMN458753 AWJ458752:AWJ458753 BGF458752:BGF458753 BQB458752:BQB458753 BZX458752:BZX458753 CJT458752:CJT458753 CTP458752:CTP458753 DDL458752:DDL458753 DNH458752:DNH458753 DXD458752:DXD458753 EGZ458752:EGZ458753 EQV458752:EQV458753 FAR458752:FAR458753 FKN458752:FKN458753 FUJ458752:FUJ458753 GEF458752:GEF458753 GOB458752:GOB458753 GXX458752:GXX458753 HHT458752:HHT458753 HRP458752:HRP458753 IBL458752:IBL458753 ILH458752:ILH458753 IVD458752:IVD458753 JEZ458752:JEZ458753 JOV458752:JOV458753 JYR458752:JYR458753 KIN458752:KIN458753 KSJ458752:KSJ458753 LCF458752:LCF458753 LMB458752:LMB458753 LVX458752:LVX458753 MFT458752:MFT458753 MPP458752:MPP458753 MZL458752:MZL458753 NJH458752:NJH458753 NTD458752:NTD458753 OCZ458752:OCZ458753 OMV458752:OMV458753 OWR458752:OWR458753 PGN458752:PGN458753 PQJ458752:PQJ458753 QAF458752:QAF458753 QKB458752:QKB458753 QTX458752:QTX458753 RDT458752:RDT458753 RNP458752:RNP458753 RXL458752:RXL458753 SHH458752:SHH458753 SRD458752:SRD458753 TAZ458752:TAZ458753 TKV458752:TKV458753 TUR458752:TUR458753 UEN458752:UEN458753 UOJ458752:UOJ458753 UYF458752:UYF458753 VIB458752:VIB458753 VRX458752:VRX458753 WBT458752:WBT458753 WLP458752:WLP458753 WVL458752:WVL458753 N524289:N524290 IZ524288:IZ524289 SV524288:SV524289 ACR524288:ACR524289 AMN524288:AMN524289 AWJ524288:AWJ524289 BGF524288:BGF524289 BQB524288:BQB524289 BZX524288:BZX524289 CJT524288:CJT524289 CTP524288:CTP524289 DDL524288:DDL524289 DNH524288:DNH524289 DXD524288:DXD524289 EGZ524288:EGZ524289 EQV524288:EQV524289 FAR524288:FAR524289 FKN524288:FKN524289 FUJ524288:FUJ524289 GEF524288:GEF524289 GOB524288:GOB524289 GXX524288:GXX524289 HHT524288:HHT524289 HRP524288:HRP524289 IBL524288:IBL524289 ILH524288:ILH524289 IVD524288:IVD524289 JEZ524288:JEZ524289 JOV524288:JOV524289 JYR524288:JYR524289 KIN524288:KIN524289 KSJ524288:KSJ524289 LCF524288:LCF524289 LMB524288:LMB524289 LVX524288:LVX524289 MFT524288:MFT524289 MPP524288:MPP524289 MZL524288:MZL524289 NJH524288:NJH524289 NTD524288:NTD524289 OCZ524288:OCZ524289 OMV524288:OMV524289 OWR524288:OWR524289 PGN524288:PGN524289 PQJ524288:PQJ524289 QAF524288:QAF524289 QKB524288:QKB524289 QTX524288:QTX524289 RDT524288:RDT524289 RNP524288:RNP524289 RXL524288:RXL524289 SHH524288:SHH524289 SRD524288:SRD524289 TAZ524288:TAZ524289 TKV524288:TKV524289 TUR524288:TUR524289 UEN524288:UEN524289 UOJ524288:UOJ524289 UYF524288:UYF524289 VIB524288:VIB524289 VRX524288:VRX524289 WBT524288:WBT524289 WLP524288:WLP524289 WVL524288:WVL524289 N589825:N589826 IZ589824:IZ589825 SV589824:SV589825 ACR589824:ACR589825 AMN589824:AMN589825 AWJ589824:AWJ589825 BGF589824:BGF589825 BQB589824:BQB589825 BZX589824:BZX589825 CJT589824:CJT589825 CTP589824:CTP589825 DDL589824:DDL589825 DNH589824:DNH589825 DXD589824:DXD589825 EGZ589824:EGZ589825 EQV589824:EQV589825 FAR589824:FAR589825 FKN589824:FKN589825 FUJ589824:FUJ589825 GEF589824:GEF589825 GOB589824:GOB589825 GXX589824:GXX589825 HHT589824:HHT589825 HRP589824:HRP589825 IBL589824:IBL589825 ILH589824:ILH589825 IVD589824:IVD589825 JEZ589824:JEZ589825 JOV589824:JOV589825 JYR589824:JYR589825 KIN589824:KIN589825 KSJ589824:KSJ589825 LCF589824:LCF589825 LMB589824:LMB589825 LVX589824:LVX589825 MFT589824:MFT589825 MPP589824:MPP589825 MZL589824:MZL589825 NJH589824:NJH589825 NTD589824:NTD589825 OCZ589824:OCZ589825 OMV589824:OMV589825 OWR589824:OWR589825 PGN589824:PGN589825 PQJ589824:PQJ589825 QAF589824:QAF589825 QKB589824:QKB589825 QTX589824:QTX589825 RDT589824:RDT589825 RNP589824:RNP589825 RXL589824:RXL589825 SHH589824:SHH589825 SRD589824:SRD589825 TAZ589824:TAZ589825 TKV589824:TKV589825 TUR589824:TUR589825 UEN589824:UEN589825 UOJ589824:UOJ589825 UYF589824:UYF589825 VIB589824:VIB589825 VRX589824:VRX589825 WBT589824:WBT589825 WLP589824:WLP589825 WVL589824:WVL589825 N655361:N655362 IZ655360:IZ655361 SV655360:SV655361 ACR655360:ACR655361 AMN655360:AMN655361 AWJ655360:AWJ655361 BGF655360:BGF655361 BQB655360:BQB655361 BZX655360:BZX655361 CJT655360:CJT655361 CTP655360:CTP655361 DDL655360:DDL655361 DNH655360:DNH655361 DXD655360:DXD655361 EGZ655360:EGZ655361 EQV655360:EQV655361 FAR655360:FAR655361 FKN655360:FKN655361 FUJ655360:FUJ655361 GEF655360:GEF655361 GOB655360:GOB655361 GXX655360:GXX655361 HHT655360:HHT655361 HRP655360:HRP655361 IBL655360:IBL655361 ILH655360:ILH655361 IVD655360:IVD655361 JEZ655360:JEZ655361 JOV655360:JOV655361 JYR655360:JYR655361 KIN655360:KIN655361 KSJ655360:KSJ655361 LCF655360:LCF655361 LMB655360:LMB655361 LVX655360:LVX655361 MFT655360:MFT655361 MPP655360:MPP655361 MZL655360:MZL655361 NJH655360:NJH655361 NTD655360:NTD655361 OCZ655360:OCZ655361 OMV655360:OMV655361 OWR655360:OWR655361 PGN655360:PGN655361 PQJ655360:PQJ655361 QAF655360:QAF655361 QKB655360:QKB655361 QTX655360:QTX655361 RDT655360:RDT655361 RNP655360:RNP655361 RXL655360:RXL655361 SHH655360:SHH655361 SRD655360:SRD655361 TAZ655360:TAZ655361 TKV655360:TKV655361 TUR655360:TUR655361 UEN655360:UEN655361 UOJ655360:UOJ655361 UYF655360:UYF655361 VIB655360:VIB655361 VRX655360:VRX655361 WBT655360:WBT655361 WLP655360:WLP655361 WVL655360:WVL655361 N720897:N720898 IZ720896:IZ720897 SV720896:SV720897 ACR720896:ACR720897 AMN720896:AMN720897 AWJ720896:AWJ720897 BGF720896:BGF720897 BQB720896:BQB720897 BZX720896:BZX720897 CJT720896:CJT720897 CTP720896:CTP720897 DDL720896:DDL720897 DNH720896:DNH720897 DXD720896:DXD720897 EGZ720896:EGZ720897 EQV720896:EQV720897 FAR720896:FAR720897 FKN720896:FKN720897 FUJ720896:FUJ720897 GEF720896:GEF720897 GOB720896:GOB720897 GXX720896:GXX720897 HHT720896:HHT720897 HRP720896:HRP720897 IBL720896:IBL720897 ILH720896:ILH720897 IVD720896:IVD720897 JEZ720896:JEZ720897 JOV720896:JOV720897 JYR720896:JYR720897 KIN720896:KIN720897 KSJ720896:KSJ720897 LCF720896:LCF720897 LMB720896:LMB720897 LVX720896:LVX720897 MFT720896:MFT720897 MPP720896:MPP720897 MZL720896:MZL720897 NJH720896:NJH720897 NTD720896:NTD720897 OCZ720896:OCZ720897 OMV720896:OMV720897 OWR720896:OWR720897 PGN720896:PGN720897 PQJ720896:PQJ720897 QAF720896:QAF720897 QKB720896:QKB720897 QTX720896:QTX720897 RDT720896:RDT720897 RNP720896:RNP720897 RXL720896:RXL720897 SHH720896:SHH720897 SRD720896:SRD720897 TAZ720896:TAZ720897 TKV720896:TKV720897 TUR720896:TUR720897 UEN720896:UEN720897 UOJ720896:UOJ720897 UYF720896:UYF720897 VIB720896:VIB720897 VRX720896:VRX720897 WBT720896:WBT720897 WLP720896:WLP720897 WVL720896:WVL720897 N786433:N786434 IZ786432:IZ786433 SV786432:SV786433 ACR786432:ACR786433 AMN786432:AMN786433 AWJ786432:AWJ786433 BGF786432:BGF786433 BQB786432:BQB786433 BZX786432:BZX786433 CJT786432:CJT786433 CTP786432:CTP786433 DDL786432:DDL786433 DNH786432:DNH786433 DXD786432:DXD786433 EGZ786432:EGZ786433 EQV786432:EQV786433 FAR786432:FAR786433 FKN786432:FKN786433 FUJ786432:FUJ786433 GEF786432:GEF786433 GOB786432:GOB786433 GXX786432:GXX786433 HHT786432:HHT786433 HRP786432:HRP786433 IBL786432:IBL786433 ILH786432:ILH786433 IVD786432:IVD786433 JEZ786432:JEZ786433 JOV786432:JOV786433 JYR786432:JYR786433 KIN786432:KIN786433 KSJ786432:KSJ786433 LCF786432:LCF786433 LMB786432:LMB786433 LVX786432:LVX786433 MFT786432:MFT786433 MPP786432:MPP786433 MZL786432:MZL786433 NJH786432:NJH786433 NTD786432:NTD786433 OCZ786432:OCZ786433 OMV786432:OMV786433 OWR786432:OWR786433 PGN786432:PGN786433 PQJ786432:PQJ786433 QAF786432:QAF786433 QKB786432:QKB786433 QTX786432:QTX786433 RDT786432:RDT786433 RNP786432:RNP786433 RXL786432:RXL786433 SHH786432:SHH786433 SRD786432:SRD786433 TAZ786432:TAZ786433 TKV786432:TKV786433 TUR786432:TUR786433 UEN786432:UEN786433 UOJ786432:UOJ786433 UYF786432:UYF786433 VIB786432:VIB786433 VRX786432:VRX786433 WBT786432:WBT786433 WLP786432:WLP786433 WVL786432:WVL786433 N851969:N851970 IZ851968:IZ851969 SV851968:SV851969 ACR851968:ACR851969 AMN851968:AMN851969 AWJ851968:AWJ851969 BGF851968:BGF851969 BQB851968:BQB851969 BZX851968:BZX851969 CJT851968:CJT851969 CTP851968:CTP851969 DDL851968:DDL851969 DNH851968:DNH851969 DXD851968:DXD851969 EGZ851968:EGZ851969 EQV851968:EQV851969 FAR851968:FAR851969 FKN851968:FKN851969 FUJ851968:FUJ851969 GEF851968:GEF851969 GOB851968:GOB851969 GXX851968:GXX851969 HHT851968:HHT851969 HRP851968:HRP851969 IBL851968:IBL851969 ILH851968:ILH851969 IVD851968:IVD851969 JEZ851968:JEZ851969 JOV851968:JOV851969 JYR851968:JYR851969 KIN851968:KIN851969 KSJ851968:KSJ851969 LCF851968:LCF851969 LMB851968:LMB851969 LVX851968:LVX851969 MFT851968:MFT851969 MPP851968:MPP851969 MZL851968:MZL851969 NJH851968:NJH851969 NTD851968:NTD851969 OCZ851968:OCZ851969 OMV851968:OMV851969 OWR851968:OWR851969 PGN851968:PGN851969 PQJ851968:PQJ851969 QAF851968:QAF851969 QKB851968:QKB851969 QTX851968:QTX851969 RDT851968:RDT851969 RNP851968:RNP851969 RXL851968:RXL851969 SHH851968:SHH851969 SRD851968:SRD851969 TAZ851968:TAZ851969 TKV851968:TKV851969 TUR851968:TUR851969 UEN851968:UEN851969 UOJ851968:UOJ851969 UYF851968:UYF851969 VIB851968:VIB851969 VRX851968:VRX851969 WBT851968:WBT851969 WLP851968:WLP851969 WVL851968:WVL851969 N917505:N917506 IZ917504:IZ917505 SV917504:SV917505 ACR917504:ACR917505 AMN917504:AMN917505 AWJ917504:AWJ917505 BGF917504:BGF917505 BQB917504:BQB917505 BZX917504:BZX917505 CJT917504:CJT917505 CTP917504:CTP917505 DDL917504:DDL917505 DNH917504:DNH917505 DXD917504:DXD917505 EGZ917504:EGZ917505 EQV917504:EQV917505 FAR917504:FAR917505 FKN917504:FKN917505 FUJ917504:FUJ917505 GEF917504:GEF917505 GOB917504:GOB917505 GXX917504:GXX917505 HHT917504:HHT917505 HRP917504:HRP917505 IBL917504:IBL917505 ILH917504:ILH917505 IVD917504:IVD917505 JEZ917504:JEZ917505 JOV917504:JOV917505 JYR917504:JYR917505 KIN917504:KIN917505 KSJ917504:KSJ917505 LCF917504:LCF917505 LMB917504:LMB917505 LVX917504:LVX917505 MFT917504:MFT917505 MPP917504:MPP917505 MZL917504:MZL917505 NJH917504:NJH917505 NTD917504:NTD917505 OCZ917504:OCZ917505 OMV917504:OMV917505 OWR917504:OWR917505 PGN917504:PGN917505 PQJ917504:PQJ917505 QAF917504:QAF917505 QKB917504:QKB917505 QTX917504:QTX917505 RDT917504:RDT917505 RNP917504:RNP917505 RXL917504:RXL917505 SHH917504:SHH917505 SRD917504:SRD917505 TAZ917504:TAZ917505 TKV917504:TKV917505 TUR917504:TUR917505 UEN917504:UEN917505 UOJ917504:UOJ917505 UYF917504:UYF917505 VIB917504:VIB917505 VRX917504:VRX917505 WBT917504:WBT917505 WLP917504:WLP917505 WVL917504:WVL917505 N983041:N983042 IZ983040:IZ983041 SV983040:SV983041 ACR983040:ACR983041 AMN983040:AMN983041 AWJ983040:AWJ983041 BGF983040:BGF983041 BQB983040:BQB983041 BZX983040:BZX983041 CJT983040:CJT983041 CTP983040:CTP983041 DDL983040:DDL983041 DNH983040:DNH983041 DXD983040:DXD983041 EGZ983040:EGZ983041 EQV983040:EQV983041 FAR983040:FAR983041 FKN983040:FKN983041 FUJ983040:FUJ983041 GEF983040:GEF983041 GOB983040:GOB983041 GXX983040:GXX983041 HHT983040:HHT983041 HRP983040:HRP983041 IBL983040:IBL983041 ILH983040:ILH983041 IVD983040:IVD983041 JEZ983040:JEZ983041 JOV983040:JOV983041 JYR983040:JYR983041 KIN983040:KIN983041 KSJ983040:KSJ983041 LCF983040:LCF983041 LMB983040:LMB983041 LVX983040:LVX983041 MFT983040:MFT983041 MPP983040:MPP983041 MZL983040:MZL983041 NJH983040:NJH983041 NTD983040:NTD983041 OCZ983040:OCZ983041 OMV983040:OMV983041 OWR983040:OWR983041 PGN983040:PGN983041 PQJ983040:PQJ983041 QAF983040:QAF983041 QKB983040:QKB983041 QTX983040:QTX983041 RDT983040:RDT983041 RNP983040:RNP983041 RXL983040:RXL983041 SHH983040:SHH983041 SRD983040:SRD983041 TAZ983040:TAZ983041 TKV983040:TKV983041 TUR983040:TUR983041 UEN983040:UEN983041 UOJ983040:UOJ983041 UYF983040:UYF983041 VIB983040:VIB983041 VRX983040:VRX983041 WBT983040:WBT983041 WLP983040:WLP983041 WVL983040:WVL983041 P65537:P65538 JC65536:JC65537 SY65536:SY65537 ACU65536:ACU65537 AMQ65536:AMQ65537 AWM65536:AWM65537 BGI65536:BGI65537 BQE65536:BQE65537 CAA65536:CAA65537 CJW65536:CJW65537 CTS65536:CTS65537 DDO65536:DDO65537 DNK65536:DNK65537 DXG65536:DXG65537 EHC65536:EHC65537 EQY65536:EQY65537 FAU65536:FAU65537 FKQ65536:FKQ65537 FUM65536:FUM65537 GEI65536:GEI65537 GOE65536:GOE65537 GYA65536:GYA65537 HHW65536:HHW65537 HRS65536:HRS65537 IBO65536:IBO65537 ILK65536:ILK65537 IVG65536:IVG65537 JFC65536:JFC65537 JOY65536:JOY65537 JYU65536:JYU65537 KIQ65536:KIQ65537 KSM65536:KSM65537 LCI65536:LCI65537 LME65536:LME65537 LWA65536:LWA65537 MFW65536:MFW65537 MPS65536:MPS65537 MZO65536:MZO65537 NJK65536:NJK65537 NTG65536:NTG65537 ODC65536:ODC65537 OMY65536:OMY65537 OWU65536:OWU65537 PGQ65536:PGQ65537 PQM65536:PQM65537 QAI65536:QAI65537 QKE65536:QKE65537 QUA65536:QUA65537 RDW65536:RDW65537 RNS65536:RNS65537 RXO65536:RXO65537 SHK65536:SHK65537 SRG65536:SRG65537 TBC65536:TBC65537 TKY65536:TKY65537 TUU65536:TUU65537 UEQ65536:UEQ65537 UOM65536:UOM65537 UYI65536:UYI65537 VIE65536:VIE65537 VSA65536:VSA65537 WBW65536:WBW65537 WLS65536:WLS65537 WVO65536:WVO65537 P131073:P131074 JC131072:JC131073 SY131072:SY131073 ACU131072:ACU131073 AMQ131072:AMQ131073 AWM131072:AWM131073 BGI131072:BGI131073 BQE131072:BQE131073 CAA131072:CAA131073 CJW131072:CJW131073 CTS131072:CTS131073 DDO131072:DDO131073 DNK131072:DNK131073 DXG131072:DXG131073 EHC131072:EHC131073 EQY131072:EQY131073 FAU131072:FAU131073 FKQ131072:FKQ131073 FUM131072:FUM131073 GEI131072:GEI131073 GOE131072:GOE131073 GYA131072:GYA131073 HHW131072:HHW131073 HRS131072:HRS131073 IBO131072:IBO131073 ILK131072:ILK131073 IVG131072:IVG131073 JFC131072:JFC131073 JOY131072:JOY131073 JYU131072:JYU131073 KIQ131072:KIQ131073 KSM131072:KSM131073 LCI131072:LCI131073 LME131072:LME131073 LWA131072:LWA131073 MFW131072:MFW131073 MPS131072:MPS131073 MZO131072:MZO131073 NJK131072:NJK131073 NTG131072:NTG131073 ODC131072:ODC131073 OMY131072:OMY131073 OWU131072:OWU131073 PGQ131072:PGQ131073 PQM131072:PQM131073 QAI131072:QAI131073 QKE131072:QKE131073 QUA131072:QUA131073 RDW131072:RDW131073 RNS131072:RNS131073 RXO131072:RXO131073 SHK131072:SHK131073 SRG131072:SRG131073 TBC131072:TBC131073 TKY131072:TKY131073 TUU131072:TUU131073 UEQ131072:UEQ131073 UOM131072:UOM131073 UYI131072:UYI131073 VIE131072:VIE131073 VSA131072:VSA131073 WBW131072:WBW131073 WLS131072:WLS131073 WVO131072:WVO131073 P196609:P196610 JC196608:JC196609 SY196608:SY196609 ACU196608:ACU196609 AMQ196608:AMQ196609 AWM196608:AWM196609 BGI196608:BGI196609 BQE196608:BQE196609 CAA196608:CAA196609 CJW196608:CJW196609 CTS196608:CTS196609 DDO196608:DDO196609 DNK196608:DNK196609 DXG196608:DXG196609 EHC196608:EHC196609 EQY196608:EQY196609 FAU196608:FAU196609 FKQ196608:FKQ196609 FUM196608:FUM196609 GEI196608:GEI196609 GOE196608:GOE196609 GYA196608:GYA196609 HHW196608:HHW196609 HRS196608:HRS196609 IBO196608:IBO196609 ILK196608:ILK196609 IVG196608:IVG196609 JFC196608:JFC196609 JOY196608:JOY196609 JYU196608:JYU196609 KIQ196608:KIQ196609 KSM196608:KSM196609 LCI196608:LCI196609 LME196608:LME196609 LWA196608:LWA196609 MFW196608:MFW196609 MPS196608:MPS196609 MZO196608:MZO196609 NJK196608:NJK196609 NTG196608:NTG196609 ODC196608:ODC196609 OMY196608:OMY196609 OWU196608:OWU196609 PGQ196608:PGQ196609 PQM196608:PQM196609 QAI196608:QAI196609 QKE196608:QKE196609 QUA196608:QUA196609 RDW196608:RDW196609 RNS196608:RNS196609 RXO196608:RXO196609 SHK196608:SHK196609 SRG196608:SRG196609 TBC196608:TBC196609 TKY196608:TKY196609 TUU196608:TUU196609 UEQ196608:UEQ196609 UOM196608:UOM196609 UYI196608:UYI196609 VIE196608:VIE196609 VSA196608:VSA196609 WBW196608:WBW196609 WLS196608:WLS196609 WVO196608:WVO196609 P262145:P262146 JC262144:JC262145 SY262144:SY262145 ACU262144:ACU262145 AMQ262144:AMQ262145 AWM262144:AWM262145 BGI262144:BGI262145 BQE262144:BQE262145 CAA262144:CAA262145 CJW262144:CJW262145 CTS262144:CTS262145 DDO262144:DDO262145 DNK262144:DNK262145 DXG262144:DXG262145 EHC262144:EHC262145 EQY262144:EQY262145 FAU262144:FAU262145 FKQ262144:FKQ262145 FUM262144:FUM262145 GEI262144:GEI262145 GOE262144:GOE262145 GYA262144:GYA262145 HHW262144:HHW262145 HRS262144:HRS262145 IBO262144:IBO262145 ILK262144:ILK262145 IVG262144:IVG262145 JFC262144:JFC262145 JOY262144:JOY262145 JYU262144:JYU262145 KIQ262144:KIQ262145 KSM262144:KSM262145 LCI262144:LCI262145 LME262144:LME262145 LWA262144:LWA262145 MFW262144:MFW262145 MPS262144:MPS262145 MZO262144:MZO262145 NJK262144:NJK262145 NTG262144:NTG262145 ODC262144:ODC262145 OMY262144:OMY262145 OWU262144:OWU262145 PGQ262144:PGQ262145 PQM262144:PQM262145 QAI262144:QAI262145 QKE262144:QKE262145 QUA262144:QUA262145 RDW262144:RDW262145 RNS262144:RNS262145 RXO262144:RXO262145 SHK262144:SHK262145 SRG262144:SRG262145 TBC262144:TBC262145 TKY262144:TKY262145 TUU262144:TUU262145 UEQ262144:UEQ262145 UOM262144:UOM262145 UYI262144:UYI262145 VIE262144:VIE262145 VSA262144:VSA262145 WBW262144:WBW262145 WLS262144:WLS262145 WVO262144:WVO262145 P327681:P327682 JC327680:JC327681 SY327680:SY327681 ACU327680:ACU327681 AMQ327680:AMQ327681 AWM327680:AWM327681 BGI327680:BGI327681 BQE327680:BQE327681 CAA327680:CAA327681 CJW327680:CJW327681 CTS327680:CTS327681 DDO327680:DDO327681 DNK327680:DNK327681 DXG327680:DXG327681 EHC327680:EHC327681 EQY327680:EQY327681 FAU327680:FAU327681 FKQ327680:FKQ327681 FUM327680:FUM327681 GEI327680:GEI327681 GOE327680:GOE327681 GYA327680:GYA327681 HHW327680:HHW327681 HRS327680:HRS327681 IBO327680:IBO327681 ILK327680:ILK327681 IVG327680:IVG327681 JFC327680:JFC327681 JOY327680:JOY327681 JYU327680:JYU327681 KIQ327680:KIQ327681 KSM327680:KSM327681 LCI327680:LCI327681 LME327680:LME327681 LWA327680:LWA327681 MFW327680:MFW327681 MPS327680:MPS327681 MZO327680:MZO327681 NJK327680:NJK327681 NTG327680:NTG327681 ODC327680:ODC327681 OMY327680:OMY327681 OWU327680:OWU327681 PGQ327680:PGQ327681 PQM327680:PQM327681 QAI327680:QAI327681 QKE327680:QKE327681 QUA327680:QUA327681 RDW327680:RDW327681 RNS327680:RNS327681 RXO327680:RXO327681 SHK327680:SHK327681 SRG327680:SRG327681 TBC327680:TBC327681 TKY327680:TKY327681 TUU327680:TUU327681 UEQ327680:UEQ327681 UOM327680:UOM327681 UYI327680:UYI327681 VIE327680:VIE327681 VSA327680:VSA327681 WBW327680:WBW327681 WLS327680:WLS327681 WVO327680:WVO327681 P393217:P393218 JC393216:JC393217 SY393216:SY393217 ACU393216:ACU393217 AMQ393216:AMQ393217 AWM393216:AWM393217 BGI393216:BGI393217 BQE393216:BQE393217 CAA393216:CAA393217 CJW393216:CJW393217 CTS393216:CTS393217 DDO393216:DDO393217 DNK393216:DNK393217 DXG393216:DXG393217 EHC393216:EHC393217 EQY393216:EQY393217 FAU393216:FAU393217 FKQ393216:FKQ393217 FUM393216:FUM393217 GEI393216:GEI393217 GOE393216:GOE393217 GYA393216:GYA393217 HHW393216:HHW393217 HRS393216:HRS393217 IBO393216:IBO393217 ILK393216:ILK393217 IVG393216:IVG393217 JFC393216:JFC393217 JOY393216:JOY393217 JYU393216:JYU393217 KIQ393216:KIQ393217 KSM393216:KSM393217 LCI393216:LCI393217 LME393216:LME393217 LWA393216:LWA393217 MFW393216:MFW393217 MPS393216:MPS393217 MZO393216:MZO393217 NJK393216:NJK393217 NTG393216:NTG393217 ODC393216:ODC393217 OMY393216:OMY393217 OWU393216:OWU393217 PGQ393216:PGQ393217 PQM393216:PQM393217 QAI393216:QAI393217 QKE393216:QKE393217 QUA393216:QUA393217 RDW393216:RDW393217 RNS393216:RNS393217 RXO393216:RXO393217 SHK393216:SHK393217 SRG393216:SRG393217 TBC393216:TBC393217 TKY393216:TKY393217 TUU393216:TUU393217 UEQ393216:UEQ393217 UOM393216:UOM393217 UYI393216:UYI393217 VIE393216:VIE393217 VSA393216:VSA393217 WBW393216:WBW393217 WLS393216:WLS393217 WVO393216:WVO393217 P458753:P458754 JC458752:JC458753 SY458752:SY458753 ACU458752:ACU458753 AMQ458752:AMQ458753 AWM458752:AWM458753 BGI458752:BGI458753 BQE458752:BQE458753 CAA458752:CAA458753 CJW458752:CJW458753 CTS458752:CTS458753 DDO458752:DDO458753 DNK458752:DNK458753 DXG458752:DXG458753 EHC458752:EHC458753 EQY458752:EQY458753 FAU458752:FAU458753 FKQ458752:FKQ458753 FUM458752:FUM458753 GEI458752:GEI458753 GOE458752:GOE458753 GYA458752:GYA458753 HHW458752:HHW458753 HRS458752:HRS458753 IBO458752:IBO458753 ILK458752:ILK458753 IVG458752:IVG458753 JFC458752:JFC458753 JOY458752:JOY458753 JYU458752:JYU458753 KIQ458752:KIQ458753 KSM458752:KSM458753 LCI458752:LCI458753 LME458752:LME458753 LWA458752:LWA458753 MFW458752:MFW458753 MPS458752:MPS458753 MZO458752:MZO458753 NJK458752:NJK458753 NTG458752:NTG458753 ODC458752:ODC458753 OMY458752:OMY458753 OWU458752:OWU458753 PGQ458752:PGQ458753 PQM458752:PQM458753 QAI458752:QAI458753 QKE458752:QKE458753 QUA458752:QUA458753 RDW458752:RDW458753 RNS458752:RNS458753 RXO458752:RXO458753 SHK458752:SHK458753 SRG458752:SRG458753 TBC458752:TBC458753 TKY458752:TKY458753 TUU458752:TUU458753 UEQ458752:UEQ458753 UOM458752:UOM458753 UYI458752:UYI458753 VIE458752:VIE458753 VSA458752:VSA458753 WBW458752:WBW458753 WLS458752:WLS458753 WVO458752:WVO458753 P524289:P524290 JC524288:JC524289 SY524288:SY524289 ACU524288:ACU524289 AMQ524288:AMQ524289 AWM524288:AWM524289 BGI524288:BGI524289 BQE524288:BQE524289 CAA524288:CAA524289 CJW524288:CJW524289 CTS524288:CTS524289 DDO524288:DDO524289 DNK524288:DNK524289 DXG524288:DXG524289 EHC524288:EHC524289 EQY524288:EQY524289 FAU524288:FAU524289 FKQ524288:FKQ524289 FUM524288:FUM524289 GEI524288:GEI524289 GOE524288:GOE524289 GYA524288:GYA524289 HHW524288:HHW524289 HRS524288:HRS524289 IBO524288:IBO524289 ILK524288:ILK524289 IVG524288:IVG524289 JFC524288:JFC524289 JOY524288:JOY524289 JYU524288:JYU524289 KIQ524288:KIQ524289 KSM524288:KSM524289 LCI524288:LCI524289 LME524288:LME524289 LWA524288:LWA524289 MFW524288:MFW524289 MPS524288:MPS524289 MZO524288:MZO524289 NJK524288:NJK524289 NTG524288:NTG524289 ODC524288:ODC524289 OMY524288:OMY524289 OWU524288:OWU524289 PGQ524288:PGQ524289 PQM524288:PQM524289 QAI524288:QAI524289 QKE524288:QKE524289 QUA524288:QUA524289 RDW524288:RDW524289 RNS524288:RNS524289 RXO524288:RXO524289 SHK524288:SHK524289 SRG524288:SRG524289 TBC524288:TBC524289 TKY524288:TKY524289 TUU524288:TUU524289 UEQ524288:UEQ524289 UOM524288:UOM524289 UYI524288:UYI524289 VIE524288:VIE524289 VSA524288:VSA524289 WBW524288:WBW524289 WLS524288:WLS524289 WVO524288:WVO524289 P589825:P589826 JC589824:JC589825 SY589824:SY589825 ACU589824:ACU589825 AMQ589824:AMQ589825 AWM589824:AWM589825 BGI589824:BGI589825 BQE589824:BQE589825 CAA589824:CAA589825 CJW589824:CJW589825 CTS589824:CTS589825 DDO589824:DDO589825 DNK589824:DNK589825 DXG589824:DXG589825 EHC589824:EHC589825 EQY589824:EQY589825 FAU589824:FAU589825 FKQ589824:FKQ589825 FUM589824:FUM589825 GEI589824:GEI589825 GOE589824:GOE589825 GYA589824:GYA589825 HHW589824:HHW589825 HRS589824:HRS589825 IBO589824:IBO589825 ILK589824:ILK589825 IVG589824:IVG589825 JFC589824:JFC589825 JOY589824:JOY589825 JYU589824:JYU589825 KIQ589824:KIQ589825 KSM589824:KSM589825 LCI589824:LCI589825 LME589824:LME589825 LWA589824:LWA589825 MFW589824:MFW589825 MPS589824:MPS589825 MZO589824:MZO589825 NJK589824:NJK589825 NTG589824:NTG589825 ODC589824:ODC589825 OMY589824:OMY589825 OWU589824:OWU589825 PGQ589824:PGQ589825 PQM589824:PQM589825 QAI589824:QAI589825 QKE589824:QKE589825 QUA589824:QUA589825 RDW589824:RDW589825 RNS589824:RNS589825 RXO589824:RXO589825 SHK589824:SHK589825 SRG589824:SRG589825 TBC589824:TBC589825 TKY589824:TKY589825 TUU589824:TUU589825 UEQ589824:UEQ589825 UOM589824:UOM589825 UYI589824:UYI589825 VIE589824:VIE589825 VSA589824:VSA589825 WBW589824:WBW589825 WLS589824:WLS589825 WVO589824:WVO589825 P655361:P655362 JC655360:JC655361 SY655360:SY655361 ACU655360:ACU655361 AMQ655360:AMQ655361 AWM655360:AWM655361 BGI655360:BGI655361 BQE655360:BQE655361 CAA655360:CAA655361 CJW655360:CJW655361 CTS655360:CTS655361 DDO655360:DDO655361 DNK655360:DNK655361 DXG655360:DXG655361 EHC655360:EHC655361 EQY655360:EQY655361 FAU655360:FAU655361 FKQ655360:FKQ655361 FUM655360:FUM655361 GEI655360:GEI655361 GOE655360:GOE655361 GYA655360:GYA655361 HHW655360:HHW655361 HRS655360:HRS655361 IBO655360:IBO655361 ILK655360:ILK655361 IVG655360:IVG655361 JFC655360:JFC655361 JOY655360:JOY655361 JYU655360:JYU655361 KIQ655360:KIQ655361 KSM655360:KSM655361 LCI655360:LCI655361 LME655360:LME655361 LWA655360:LWA655361 MFW655360:MFW655361 MPS655360:MPS655361 MZO655360:MZO655361 NJK655360:NJK655361 NTG655360:NTG655361 ODC655360:ODC655361 OMY655360:OMY655361 OWU655360:OWU655361 PGQ655360:PGQ655361 PQM655360:PQM655361 QAI655360:QAI655361 QKE655360:QKE655361 QUA655360:QUA655361 RDW655360:RDW655361 RNS655360:RNS655361 RXO655360:RXO655361 SHK655360:SHK655361 SRG655360:SRG655361 TBC655360:TBC655361 TKY655360:TKY655361 TUU655360:TUU655361 UEQ655360:UEQ655361 UOM655360:UOM655361 UYI655360:UYI655361 VIE655360:VIE655361 VSA655360:VSA655361 WBW655360:WBW655361 WLS655360:WLS655361 WVO655360:WVO655361 P720897:P720898 JC720896:JC720897 SY720896:SY720897 ACU720896:ACU720897 AMQ720896:AMQ720897 AWM720896:AWM720897 BGI720896:BGI720897 BQE720896:BQE720897 CAA720896:CAA720897 CJW720896:CJW720897 CTS720896:CTS720897 DDO720896:DDO720897 DNK720896:DNK720897 DXG720896:DXG720897 EHC720896:EHC720897 EQY720896:EQY720897 FAU720896:FAU720897 FKQ720896:FKQ720897 FUM720896:FUM720897 GEI720896:GEI720897 GOE720896:GOE720897 GYA720896:GYA720897 HHW720896:HHW720897 HRS720896:HRS720897 IBO720896:IBO720897 ILK720896:ILK720897 IVG720896:IVG720897 JFC720896:JFC720897 JOY720896:JOY720897 JYU720896:JYU720897 KIQ720896:KIQ720897 KSM720896:KSM720897 LCI720896:LCI720897 LME720896:LME720897 LWA720896:LWA720897 MFW720896:MFW720897 MPS720896:MPS720897 MZO720896:MZO720897 NJK720896:NJK720897 NTG720896:NTG720897 ODC720896:ODC720897 OMY720896:OMY720897 OWU720896:OWU720897 PGQ720896:PGQ720897 PQM720896:PQM720897 QAI720896:QAI720897 QKE720896:QKE720897 QUA720896:QUA720897 RDW720896:RDW720897 RNS720896:RNS720897 RXO720896:RXO720897 SHK720896:SHK720897 SRG720896:SRG720897 TBC720896:TBC720897 TKY720896:TKY720897 TUU720896:TUU720897 UEQ720896:UEQ720897 UOM720896:UOM720897 UYI720896:UYI720897 VIE720896:VIE720897 VSA720896:VSA720897 WBW720896:WBW720897 WLS720896:WLS720897 WVO720896:WVO720897 P786433:P786434 JC786432:JC786433 SY786432:SY786433 ACU786432:ACU786433 AMQ786432:AMQ786433 AWM786432:AWM786433 BGI786432:BGI786433 BQE786432:BQE786433 CAA786432:CAA786433 CJW786432:CJW786433 CTS786432:CTS786433 DDO786432:DDO786433 DNK786432:DNK786433 DXG786432:DXG786433 EHC786432:EHC786433 EQY786432:EQY786433 FAU786432:FAU786433 FKQ786432:FKQ786433 FUM786432:FUM786433 GEI786432:GEI786433 GOE786432:GOE786433 GYA786432:GYA786433 HHW786432:HHW786433 HRS786432:HRS786433 IBO786432:IBO786433 ILK786432:ILK786433 IVG786432:IVG786433 JFC786432:JFC786433 JOY786432:JOY786433 JYU786432:JYU786433 KIQ786432:KIQ786433 KSM786432:KSM786433 LCI786432:LCI786433 LME786432:LME786433 LWA786432:LWA786433 MFW786432:MFW786433 MPS786432:MPS786433 MZO786432:MZO786433 NJK786432:NJK786433 NTG786432:NTG786433 ODC786432:ODC786433 OMY786432:OMY786433 OWU786432:OWU786433 PGQ786432:PGQ786433 PQM786432:PQM786433 QAI786432:QAI786433 QKE786432:QKE786433 QUA786432:QUA786433 RDW786432:RDW786433 RNS786432:RNS786433 RXO786432:RXO786433 SHK786432:SHK786433 SRG786432:SRG786433 TBC786432:TBC786433 TKY786432:TKY786433 TUU786432:TUU786433 UEQ786432:UEQ786433 UOM786432:UOM786433 UYI786432:UYI786433 VIE786432:VIE786433 VSA786432:VSA786433 WBW786432:WBW786433 WLS786432:WLS786433 WVO786432:WVO786433 P851969:P851970 JC851968:JC851969 SY851968:SY851969 ACU851968:ACU851969 AMQ851968:AMQ851969 AWM851968:AWM851969 BGI851968:BGI851969 BQE851968:BQE851969 CAA851968:CAA851969 CJW851968:CJW851969 CTS851968:CTS851969 DDO851968:DDO851969 DNK851968:DNK851969 DXG851968:DXG851969 EHC851968:EHC851969 EQY851968:EQY851969 FAU851968:FAU851969 FKQ851968:FKQ851969 FUM851968:FUM851969 GEI851968:GEI851969 GOE851968:GOE851969 GYA851968:GYA851969 HHW851968:HHW851969 HRS851968:HRS851969 IBO851968:IBO851969 ILK851968:ILK851969 IVG851968:IVG851969 JFC851968:JFC851969 JOY851968:JOY851969 JYU851968:JYU851969 KIQ851968:KIQ851969 KSM851968:KSM851969 LCI851968:LCI851969 LME851968:LME851969 LWA851968:LWA851969 MFW851968:MFW851969 MPS851968:MPS851969 MZO851968:MZO851969 NJK851968:NJK851969 NTG851968:NTG851969 ODC851968:ODC851969 OMY851968:OMY851969 OWU851968:OWU851969 PGQ851968:PGQ851969 PQM851968:PQM851969 QAI851968:QAI851969 QKE851968:QKE851969 QUA851968:QUA851969 RDW851968:RDW851969 RNS851968:RNS851969 RXO851968:RXO851969 SHK851968:SHK851969 SRG851968:SRG851969 TBC851968:TBC851969 TKY851968:TKY851969 TUU851968:TUU851969 UEQ851968:UEQ851969 UOM851968:UOM851969 UYI851968:UYI851969 VIE851968:VIE851969 VSA851968:VSA851969 WBW851968:WBW851969 WLS851968:WLS851969 WVO851968:WVO851969 P917505:P917506 JC917504:JC917505 SY917504:SY917505 ACU917504:ACU917505 AMQ917504:AMQ917505 AWM917504:AWM917505 BGI917504:BGI917505 BQE917504:BQE917505 CAA917504:CAA917505 CJW917504:CJW917505 CTS917504:CTS917505 DDO917504:DDO917505 DNK917504:DNK917505 DXG917504:DXG917505 EHC917504:EHC917505 EQY917504:EQY917505 FAU917504:FAU917505 FKQ917504:FKQ917505 FUM917504:FUM917505 GEI917504:GEI917505 GOE917504:GOE917505 GYA917504:GYA917505 HHW917504:HHW917505 HRS917504:HRS917505 IBO917504:IBO917505 ILK917504:ILK917505 IVG917504:IVG917505 JFC917504:JFC917505 JOY917504:JOY917505 JYU917504:JYU917505 KIQ917504:KIQ917505 KSM917504:KSM917505 LCI917504:LCI917505 LME917504:LME917505 LWA917504:LWA917505 MFW917504:MFW917505 MPS917504:MPS917505 MZO917504:MZO917505 NJK917504:NJK917505 NTG917504:NTG917505 ODC917504:ODC917505 OMY917504:OMY917505 OWU917504:OWU917505 PGQ917504:PGQ917505 PQM917504:PQM917505 QAI917504:QAI917505 QKE917504:QKE917505 QUA917504:QUA917505 RDW917504:RDW917505 RNS917504:RNS917505 RXO917504:RXO917505 SHK917504:SHK917505 SRG917504:SRG917505 TBC917504:TBC917505 TKY917504:TKY917505 TUU917504:TUU917505 UEQ917504:UEQ917505 UOM917504:UOM917505 UYI917504:UYI917505 VIE917504:VIE917505 VSA917504:VSA917505 WBW917504:WBW917505 WLS917504:WLS917505 WVO917504:WVO917505 P983041:P983042 JC983040:JC983041 SY983040:SY983041 ACU983040:ACU983041 AMQ983040:AMQ983041 AWM983040:AWM983041 BGI983040:BGI983041 BQE983040:BQE983041 CAA983040:CAA983041 CJW983040:CJW983041 CTS983040:CTS983041 DDO983040:DDO983041 DNK983040:DNK983041 DXG983040:DXG983041 EHC983040:EHC983041 EQY983040:EQY983041 FAU983040:FAU983041 FKQ983040:FKQ983041 FUM983040:FUM983041 GEI983040:GEI983041 GOE983040:GOE983041 GYA983040:GYA983041 HHW983040:HHW983041 HRS983040:HRS983041 IBO983040:IBO983041 ILK983040:ILK983041 IVG983040:IVG983041 JFC983040:JFC983041 JOY983040:JOY983041 JYU983040:JYU983041 KIQ983040:KIQ983041 KSM983040:KSM983041 LCI983040:LCI983041 LME983040:LME983041 LWA983040:LWA983041 MFW983040:MFW983041 MPS983040:MPS983041 MZO983040:MZO983041 NJK983040:NJK983041 NTG983040:NTG983041 ODC983040:ODC983041 OMY983040:OMY983041 OWU983040:OWU983041 PGQ983040:PGQ983041 PQM983040:PQM983041 QAI983040:QAI983041 QKE983040:QKE983041 QUA983040:QUA983041 RDW983040:RDW983041 RNS983040:RNS983041 RXO983040:RXO983041 SHK983040:SHK983041 SRG983040:SRG983041 TBC983040:TBC983041 TKY983040:TKY983041 TUU983040:TUU983041 UEQ983040:UEQ983041 UOM983040:UOM983041 UYI983040:UYI983041 VIE983040:VIE983041 VSA983040:VSA983041 WBW983040:WBW983041 WLS983040:WLS983041 WVO983040:WVO983041 R65537:R65538 JF65536:JF65537 TB65536:TB65537 ACX65536:ACX65537 AMT65536:AMT65537 AWP65536:AWP65537 BGL65536:BGL65537 BQH65536:BQH65537 CAD65536:CAD65537 CJZ65536:CJZ65537 CTV65536:CTV65537 DDR65536:DDR65537 DNN65536:DNN65537 DXJ65536:DXJ65537 EHF65536:EHF65537 ERB65536:ERB65537 FAX65536:FAX65537 FKT65536:FKT65537 FUP65536:FUP65537 GEL65536:GEL65537 GOH65536:GOH65537 GYD65536:GYD65537 HHZ65536:HHZ65537 HRV65536:HRV65537 IBR65536:IBR65537 ILN65536:ILN65537 IVJ65536:IVJ65537 JFF65536:JFF65537 JPB65536:JPB65537 JYX65536:JYX65537 KIT65536:KIT65537 KSP65536:KSP65537 LCL65536:LCL65537 LMH65536:LMH65537 LWD65536:LWD65537 MFZ65536:MFZ65537 MPV65536:MPV65537 MZR65536:MZR65537 NJN65536:NJN65537 NTJ65536:NTJ65537 ODF65536:ODF65537 ONB65536:ONB65537 OWX65536:OWX65537 PGT65536:PGT65537 PQP65536:PQP65537 QAL65536:QAL65537 QKH65536:QKH65537 QUD65536:QUD65537 RDZ65536:RDZ65537 RNV65536:RNV65537 RXR65536:RXR65537 SHN65536:SHN65537 SRJ65536:SRJ65537 TBF65536:TBF65537 TLB65536:TLB65537 TUX65536:TUX65537 UET65536:UET65537 UOP65536:UOP65537 UYL65536:UYL65537 VIH65536:VIH65537 VSD65536:VSD65537 WBZ65536:WBZ65537 WLV65536:WLV65537 WVR65536:WVR65537 R131073:R131074 JF131072:JF131073 TB131072:TB131073 ACX131072:ACX131073 AMT131072:AMT131073 AWP131072:AWP131073 BGL131072:BGL131073 BQH131072:BQH131073 CAD131072:CAD131073 CJZ131072:CJZ131073 CTV131072:CTV131073 DDR131072:DDR131073 DNN131072:DNN131073 DXJ131072:DXJ131073 EHF131072:EHF131073 ERB131072:ERB131073 FAX131072:FAX131073 FKT131072:FKT131073 FUP131072:FUP131073 GEL131072:GEL131073 GOH131072:GOH131073 GYD131072:GYD131073 HHZ131072:HHZ131073 HRV131072:HRV131073 IBR131072:IBR131073 ILN131072:ILN131073 IVJ131072:IVJ131073 JFF131072:JFF131073 JPB131072:JPB131073 JYX131072:JYX131073 KIT131072:KIT131073 KSP131072:KSP131073 LCL131072:LCL131073 LMH131072:LMH131073 LWD131072:LWD131073 MFZ131072:MFZ131073 MPV131072:MPV131073 MZR131072:MZR131073 NJN131072:NJN131073 NTJ131072:NTJ131073 ODF131072:ODF131073 ONB131072:ONB131073 OWX131072:OWX131073 PGT131072:PGT131073 PQP131072:PQP131073 QAL131072:QAL131073 QKH131072:QKH131073 QUD131072:QUD131073 RDZ131072:RDZ131073 RNV131072:RNV131073 RXR131072:RXR131073 SHN131072:SHN131073 SRJ131072:SRJ131073 TBF131072:TBF131073 TLB131072:TLB131073 TUX131072:TUX131073 UET131072:UET131073 UOP131072:UOP131073 UYL131072:UYL131073 VIH131072:VIH131073 VSD131072:VSD131073 WBZ131072:WBZ131073 WLV131072:WLV131073 WVR131072:WVR131073 R196609:R196610 JF196608:JF196609 TB196608:TB196609 ACX196608:ACX196609 AMT196608:AMT196609 AWP196608:AWP196609 BGL196608:BGL196609 BQH196608:BQH196609 CAD196608:CAD196609 CJZ196608:CJZ196609 CTV196608:CTV196609 DDR196608:DDR196609 DNN196608:DNN196609 DXJ196608:DXJ196609 EHF196608:EHF196609 ERB196608:ERB196609 FAX196608:FAX196609 FKT196608:FKT196609 FUP196608:FUP196609 GEL196608:GEL196609 GOH196608:GOH196609 GYD196608:GYD196609 HHZ196608:HHZ196609 HRV196608:HRV196609 IBR196608:IBR196609 ILN196608:ILN196609 IVJ196608:IVJ196609 JFF196608:JFF196609 JPB196608:JPB196609 JYX196608:JYX196609 KIT196608:KIT196609 KSP196608:KSP196609 LCL196608:LCL196609 LMH196608:LMH196609 LWD196608:LWD196609 MFZ196608:MFZ196609 MPV196608:MPV196609 MZR196608:MZR196609 NJN196608:NJN196609 NTJ196608:NTJ196609 ODF196608:ODF196609 ONB196608:ONB196609 OWX196608:OWX196609 PGT196608:PGT196609 PQP196608:PQP196609 QAL196608:QAL196609 QKH196608:QKH196609 QUD196608:QUD196609 RDZ196608:RDZ196609 RNV196608:RNV196609 RXR196608:RXR196609 SHN196608:SHN196609 SRJ196608:SRJ196609 TBF196608:TBF196609 TLB196608:TLB196609 TUX196608:TUX196609 UET196608:UET196609 UOP196608:UOP196609 UYL196608:UYL196609 VIH196608:VIH196609 VSD196608:VSD196609 WBZ196608:WBZ196609 WLV196608:WLV196609 WVR196608:WVR196609 R262145:R262146 JF262144:JF262145 TB262144:TB262145 ACX262144:ACX262145 AMT262144:AMT262145 AWP262144:AWP262145 BGL262144:BGL262145 BQH262144:BQH262145 CAD262144:CAD262145 CJZ262144:CJZ262145 CTV262144:CTV262145 DDR262144:DDR262145 DNN262144:DNN262145 DXJ262144:DXJ262145 EHF262144:EHF262145 ERB262144:ERB262145 FAX262144:FAX262145 FKT262144:FKT262145 FUP262144:FUP262145 GEL262144:GEL262145 GOH262144:GOH262145 GYD262144:GYD262145 HHZ262144:HHZ262145 HRV262144:HRV262145 IBR262144:IBR262145 ILN262144:ILN262145 IVJ262144:IVJ262145 JFF262144:JFF262145 JPB262144:JPB262145 JYX262144:JYX262145 KIT262144:KIT262145 KSP262144:KSP262145 LCL262144:LCL262145 LMH262144:LMH262145 LWD262144:LWD262145 MFZ262144:MFZ262145 MPV262144:MPV262145 MZR262144:MZR262145 NJN262144:NJN262145 NTJ262144:NTJ262145 ODF262144:ODF262145 ONB262144:ONB262145 OWX262144:OWX262145 PGT262144:PGT262145 PQP262144:PQP262145 QAL262144:QAL262145 QKH262144:QKH262145 QUD262144:QUD262145 RDZ262144:RDZ262145 RNV262144:RNV262145 RXR262144:RXR262145 SHN262144:SHN262145 SRJ262144:SRJ262145 TBF262144:TBF262145 TLB262144:TLB262145 TUX262144:TUX262145 UET262144:UET262145 UOP262144:UOP262145 UYL262144:UYL262145 VIH262144:VIH262145 VSD262144:VSD262145 WBZ262144:WBZ262145 WLV262144:WLV262145 WVR262144:WVR262145 R327681:R327682 JF327680:JF327681 TB327680:TB327681 ACX327680:ACX327681 AMT327680:AMT327681 AWP327680:AWP327681 BGL327680:BGL327681 BQH327680:BQH327681 CAD327680:CAD327681 CJZ327680:CJZ327681 CTV327680:CTV327681 DDR327680:DDR327681 DNN327680:DNN327681 DXJ327680:DXJ327681 EHF327680:EHF327681 ERB327680:ERB327681 FAX327680:FAX327681 FKT327680:FKT327681 FUP327680:FUP327681 GEL327680:GEL327681 GOH327680:GOH327681 GYD327680:GYD327681 HHZ327680:HHZ327681 HRV327680:HRV327681 IBR327680:IBR327681 ILN327680:ILN327681 IVJ327680:IVJ327681 JFF327680:JFF327681 JPB327680:JPB327681 JYX327680:JYX327681 KIT327680:KIT327681 KSP327680:KSP327681 LCL327680:LCL327681 LMH327680:LMH327681 LWD327680:LWD327681 MFZ327680:MFZ327681 MPV327680:MPV327681 MZR327680:MZR327681 NJN327680:NJN327681 NTJ327680:NTJ327681 ODF327680:ODF327681 ONB327680:ONB327681 OWX327680:OWX327681 PGT327680:PGT327681 PQP327680:PQP327681 QAL327680:QAL327681 QKH327680:QKH327681 QUD327680:QUD327681 RDZ327680:RDZ327681 RNV327680:RNV327681 RXR327680:RXR327681 SHN327680:SHN327681 SRJ327680:SRJ327681 TBF327680:TBF327681 TLB327680:TLB327681 TUX327680:TUX327681 UET327680:UET327681 UOP327680:UOP327681 UYL327680:UYL327681 VIH327680:VIH327681 VSD327680:VSD327681 WBZ327680:WBZ327681 WLV327680:WLV327681 WVR327680:WVR327681 R393217:R393218 JF393216:JF393217 TB393216:TB393217 ACX393216:ACX393217 AMT393216:AMT393217 AWP393216:AWP393217 BGL393216:BGL393217 BQH393216:BQH393217 CAD393216:CAD393217 CJZ393216:CJZ393217 CTV393216:CTV393217 DDR393216:DDR393217 DNN393216:DNN393217 DXJ393216:DXJ393217 EHF393216:EHF393217 ERB393216:ERB393217 FAX393216:FAX393217 FKT393216:FKT393217 FUP393216:FUP393217 GEL393216:GEL393217 GOH393216:GOH393217 GYD393216:GYD393217 HHZ393216:HHZ393217 HRV393216:HRV393217 IBR393216:IBR393217 ILN393216:ILN393217 IVJ393216:IVJ393217 JFF393216:JFF393217 JPB393216:JPB393217 JYX393216:JYX393217 KIT393216:KIT393217 KSP393216:KSP393217 LCL393216:LCL393217 LMH393216:LMH393217 LWD393216:LWD393217 MFZ393216:MFZ393217 MPV393216:MPV393217 MZR393216:MZR393217 NJN393216:NJN393217 NTJ393216:NTJ393217 ODF393216:ODF393217 ONB393216:ONB393217 OWX393216:OWX393217 PGT393216:PGT393217 PQP393216:PQP393217 QAL393216:QAL393217 QKH393216:QKH393217 QUD393216:QUD393217 RDZ393216:RDZ393217 RNV393216:RNV393217 RXR393216:RXR393217 SHN393216:SHN393217 SRJ393216:SRJ393217 TBF393216:TBF393217 TLB393216:TLB393217 TUX393216:TUX393217 UET393216:UET393217 UOP393216:UOP393217 UYL393216:UYL393217 VIH393216:VIH393217 VSD393216:VSD393217 WBZ393216:WBZ393217 WLV393216:WLV393217 WVR393216:WVR393217 R458753:R458754 JF458752:JF458753 TB458752:TB458753 ACX458752:ACX458753 AMT458752:AMT458753 AWP458752:AWP458753 BGL458752:BGL458753 BQH458752:BQH458753 CAD458752:CAD458753 CJZ458752:CJZ458753 CTV458752:CTV458753 DDR458752:DDR458753 DNN458752:DNN458753 DXJ458752:DXJ458753 EHF458752:EHF458753 ERB458752:ERB458753 FAX458752:FAX458753 FKT458752:FKT458753 FUP458752:FUP458753 GEL458752:GEL458753 GOH458752:GOH458753 GYD458752:GYD458753 HHZ458752:HHZ458753 HRV458752:HRV458753 IBR458752:IBR458753 ILN458752:ILN458753 IVJ458752:IVJ458753 JFF458752:JFF458753 JPB458752:JPB458753 JYX458752:JYX458753 KIT458752:KIT458753 KSP458752:KSP458753 LCL458752:LCL458753 LMH458752:LMH458753 LWD458752:LWD458753 MFZ458752:MFZ458753 MPV458752:MPV458753 MZR458752:MZR458753 NJN458752:NJN458753 NTJ458752:NTJ458753 ODF458752:ODF458753 ONB458752:ONB458753 OWX458752:OWX458753 PGT458752:PGT458753 PQP458752:PQP458753 QAL458752:QAL458753 QKH458752:QKH458753 QUD458752:QUD458753 RDZ458752:RDZ458753 RNV458752:RNV458753 RXR458752:RXR458753 SHN458752:SHN458753 SRJ458752:SRJ458753 TBF458752:TBF458753 TLB458752:TLB458753 TUX458752:TUX458753 UET458752:UET458753 UOP458752:UOP458753 UYL458752:UYL458753 VIH458752:VIH458753 VSD458752:VSD458753 WBZ458752:WBZ458753 WLV458752:WLV458753 WVR458752:WVR458753 R524289:R524290 JF524288:JF524289 TB524288:TB524289 ACX524288:ACX524289 AMT524288:AMT524289 AWP524288:AWP524289 BGL524288:BGL524289 BQH524288:BQH524289 CAD524288:CAD524289 CJZ524288:CJZ524289 CTV524288:CTV524289 DDR524288:DDR524289 DNN524288:DNN524289 DXJ524288:DXJ524289 EHF524288:EHF524289 ERB524288:ERB524289 FAX524288:FAX524289 FKT524288:FKT524289 FUP524288:FUP524289 GEL524288:GEL524289 GOH524288:GOH524289 GYD524288:GYD524289 HHZ524288:HHZ524289 HRV524288:HRV524289 IBR524288:IBR524289 ILN524288:ILN524289 IVJ524288:IVJ524289 JFF524288:JFF524289 JPB524288:JPB524289 JYX524288:JYX524289 KIT524288:KIT524289 KSP524288:KSP524289 LCL524288:LCL524289 LMH524288:LMH524289 LWD524288:LWD524289 MFZ524288:MFZ524289 MPV524288:MPV524289 MZR524288:MZR524289 NJN524288:NJN524289 NTJ524288:NTJ524289 ODF524288:ODF524289 ONB524288:ONB524289 OWX524288:OWX524289 PGT524288:PGT524289 PQP524288:PQP524289 QAL524288:QAL524289 QKH524288:QKH524289 QUD524288:QUD524289 RDZ524288:RDZ524289 RNV524288:RNV524289 RXR524288:RXR524289 SHN524288:SHN524289 SRJ524288:SRJ524289 TBF524288:TBF524289 TLB524288:TLB524289 TUX524288:TUX524289 UET524288:UET524289 UOP524288:UOP524289 UYL524288:UYL524289 VIH524288:VIH524289 VSD524288:VSD524289 WBZ524288:WBZ524289 WLV524288:WLV524289 WVR524288:WVR524289 R589825:R589826 JF589824:JF589825 TB589824:TB589825 ACX589824:ACX589825 AMT589824:AMT589825 AWP589824:AWP589825 BGL589824:BGL589825 BQH589824:BQH589825 CAD589824:CAD589825 CJZ589824:CJZ589825 CTV589824:CTV589825 DDR589824:DDR589825 DNN589824:DNN589825 DXJ589824:DXJ589825 EHF589824:EHF589825 ERB589824:ERB589825 FAX589824:FAX589825 FKT589824:FKT589825 FUP589824:FUP589825 GEL589824:GEL589825 GOH589824:GOH589825 GYD589824:GYD589825 HHZ589824:HHZ589825 HRV589824:HRV589825 IBR589824:IBR589825 ILN589824:ILN589825 IVJ589824:IVJ589825 JFF589824:JFF589825 JPB589824:JPB589825 JYX589824:JYX589825 KIT589824:KIT589825 KSP589824:KSP589825 LCL589824:LCL589825 LMH589824:LMH589825 LWD589824:LWD589825 MFZ589824:MFZ589825 MPV589824:MPV589825 MZR589824:MZR589825 NJN589824:NJN589825 NTJ589824:NTJ589825 ODF589824:ODF589825 ONB589824:ONB589825 OWX589824:OWX589825 PGT589824:PGT589825 PQP589824:PQP589825 QAL589824:QAL589825 QKH589824:QKH589825 QUD589824:QUD589825 RDZ589824:RDZ589825 RNV589824:RNV589825 RXR589824:RXR589825 SHN589824:SHN589825 SRJ589824:SRJ589825 TBF589824:TBF589825 TLB589824:TLB589825 TUX589824:TUX589825 UET589824:UET589825 UOP589824:UOP589825 UYL589824:UYL589825 VIH589824:VIH589825 VSD589824:VSD589825 WBZ589824:WBZ589825 WLV589824:WLV589825 WVR589824:WVR589825 R655361:R655362 JF655360:JF655361 TB655360:TB655361 ACX655360:ACX655361 AMT655360:AMT655361 AWP655360:AWP655361 BGL655360:BGL655361 BQH655360:BQH655361 CAD655360:CAD655361 CJZ655360:CJZ655361 CTV655360:CTV655361 DDR655360:DDR655361 DNN655360:DNN655361 DXJ655360:DXJ655361 EHF655360:EHF655361 ERB655360:ERB655361 FAX655360:FAX655361 FKT655360:FKT655361 FUP655360:FUP655361 GEL655360:GEL655361 GOH655360:GOH655361 GYD655360:GYD655361 HHZ655360:HHZ655361 HRV655360:HRV655361 IBR655360:IBR655361 ILN655360:ILN655361 IVJ655360:IVJ655361 JFF655360:JFF655361 JPB655360:JPB655361 JYX655360:JYX655361 KIT655360:KIT655361 KSP655360:KSP655361 LCL655360:LCL655361 LMH655360:LMH655361 LWD655360:LWD655361 MFZ655360:MFZ655361 MPV655360:MPV655361 MZR655360:MZR655361 NJN655360:NJN655361 NTJ655360:NTJ655361 ODF655360:ODF655361 ONB655360:ONB655361 OWX655360:OWX655361 PGT655360:PGT655361 PQP655360:PQP655361 QAL655360:QAL655361 QKH655360:QKH655361 QUD655360:QUD655361 RDZ655360:RDZ655361 RNV655360:RNV655361 RXR655360:RXR655361 SHN655360:SHN655361 SRJ655360:SRJ655361 TBF655360:TBF655361 TLB655360:TLB655361 TUX655360:TUX655361 UET655360:UET655361 UOP655360:UOP655361 UYL655360:UYL655361 VIH655360:VIH655361 VSD655360:VSD655361 WBZ655360:WBZ655361 WLV655360:WLV655361 WVR655360:WVR655361 R720897:R720898 JF720896:JF720897 TB720896:TB720897 ACX720896:ACX720897 AMT720896:AMT720897 AWP720896:AWP720897 BGL720896:BGL720897 BQH720896:BQH720897 CAD720896:CAD720897 CJZ720896:CJZ720897 CTV720896:CTV720897 DDR720896:DDR720897 DNN720896:DNN720897 DXJ720896:DXJ720897 EHF720896:EHF720897 ERB720896:ERB720897 FAX720896:FAX720897 FKT720896:FKT720897 FUP720896:FUP720897 GEL720896:GEL720897 GOH720896:GOH720897 GYD720896:GYD720897 HHZ720896:HHZ720897 HRV720896:HRV720897 IBR720896:IBR720897 ILN720896:ILN720897 IVJ720896:IVJ720897 JFF720896:JFF720897 JPB720896:JPB720897 JYX720896:JYX720897 KIT720896:KIT720897 KSP720896:KSP720897 LCL720896:LCL720897 LMH720896:LMH720897 LWD720896:LWD720897 MFZ720896:MFZ720897 MPV720896:MPV720897 MZR720896:MZR720897 NJN720896:NJN720897 NTJ720896:NTJ720897 ODF720896:ODF720897 ONB720896:ONB720897 OWX720896:OWX720897 PGT720896:PGT720897 PQP720896:PQP720897 QAL720896:QAL720897 QKH720896:QKH720897 QUD720896:QUD720897 RDZ720896:RDZ720897 RNV720896:RNV720897 RXR720896:RXR720897 SHN720896:SHN720897 SRJ720896:SRJ720897 TBF720896:TBF720897 TLB720896:TLB720897 TUX720896:TUX720897 UET720896:UET720897 UOP720896:UOP720897 UYL720896:UYL720897 VIH720896:VIH720897 VSD720896:VSD720897 WBZ720896:WBZ720897 WLV720896:WLV720897 WVR720896:WVR720897 R786433:R786434 JF786432:JF786433 TB786432:TB786433 ACX786432:ACX786433 AMT786432:AMT786433 AWP786432:AWP786433 BGL786432:BGL786433 BQH786432:BQH786433 CAD786432:CAD786433 CJZ786432:CJZ786433 CTV786432:CTV786433 DDR786432:DDR786433 DNN786432:DNN786433 DXJ786432:DXJ786433 EHF786432:EHF786433 ERB786432:ERB786433 FAX786432:FAX786433 FKT786432:FKT786433 FUP786432:FUP786433 GEL786432:GEL786433 GOH786432:GOH786433 GYD786432:GYD786433 HHZ786432:HHZ786433 HRV786432:HRV786433 IBR786432:IBR786433 ILN786432:ILN786433 IVJ786432:IVJ786433 JFF786432:JFF786433 JPB786432:JPB786433 JYX786432:JYX786433 KIT786432:KIT786433 KSP786432:KSP786433 LCL786432:LCL786433 LMH786432:LMH786433 LWD786432:LWD786433 MFZ786432:MFZ786433 MPV786432:MPV786433 MZR786432:MZR786433 NJN786432:NJN786433 NTJ786432:NTJ786433 ODF786432:ODF786433 ONB786432:ONB786433 OWX786432:OWX786433 PGT786432:PGT786433 PQP786432:PQP786433 QAL786432:QAL786433 QKH786432:QKH786433 QUD786432:QUD786433 RDZ786432:RDZ786433 RNV786432:RNV786433 RXR786432:RXR786433 SHN786432:SHN786433 SRJ786432:SRJ786433 TBF786432:TBF786433 TLB786432:TLB786433 TUX786432:TUX786433 UET786432:UET786433 UOP786432:UOP786433 UYL786432:UYL786433 VIH786432:VIH786433 VSD786432:VSD786433 WBZ786432:WBZ786433 WLV786432:WLV786433 WVR786432:WVR786433 R851969:R851970 JF851968:JF851969 TB851968:TB851969 ACX851968:ACX851969 AMT851968:AMT851969 AWP851968:AWP851969 BGL851968:BGL851969 BQH851968:BQH851969 CAD851968:CAD851969 CJZ851968:CJZ851969 CTV851968:CTV851969 DDR851968:DDR851969 DNN851968:DNN851969 DXJ851968:DXJ851969 EHF851968:EHF851969 ERB851968:ERB851969 FAX851968:FAX851969 FKT851968:FKT851969 FUP851968:FUP851969 GEL851968:GEL851969 GOH851968:GOH851969 GYD851968:GYD851969 HHZ851968:HHZ851969 HRV851968:HRV851969 IBR851968:IBR851969 ILN851968:ILN851969 IVJ851968:IVJ851969 JFF851968:JFF851969 JPB851968:JPB851969 JYX851968:JYX851969 KIT851968:KIT851969 KSP851968:KSP851969 LCL851968:LCL851969 LMH851968:LMH851969 LWD851968:LWD851969 MFZ851968:MFZ851969 MPV851968:MPV851969 MZR851968:MZR851969 NJN851968:NJN851969 NTJ851968:NTJ851969 ODF851968:ODF851969 ONB851968:ONB851969 OWX851968:OWX851969 PGT851968:PGT851969 PQP851968:PQP851969 QAL851968:QAL851969 QKH851968:QKH851969 QUD851968:QUD851969 RDZ851968:RDZ851969 RNV851968:RNV851969 RXR851968:RXR851969 SHN851968:SHN851969 SRJ851968:SRJ851969 TBF851968:TBF851969 TLB851968:TLB851969 TUX851968:TUX851969 UET851968:UET851969 UOP851968:UOP851969 UYL851968:UYL851969 VIH851968:VIH851969 VSD851968:VSD851969 WBZ851968:WBZ851969 WLV851968:WLV851969 WVR851968:WVR851969 R917505:R917506 JF917504:JF917505 TB917504:TB917505 ACX917504:ACX917505 AMT917504:AMT917505 AWP917504:AWP917505 BGL917504:BGL917505 BQH917504:BQH917505 CAD917504:CAD917505 CJZ917504:CJZ917505 CTV917504:CTV917505 DDR917504:DDR917505 DNN917504:DNN917505 DXJ917504:DXJ917505 EHF917504:EHF917505 ERB917504:ERB917505 FAX917504:FAX917505 FKT917504:FKT917505 FUP917504:FUP917505 GEL917504:GEL917505 GOH917504:GOH917505 GYD917504:GYD917505 HHZ917504:HHZ917505 HRV917504:HRV917505 IBR917504:IBR917505 ILN917504:ILN917505 IVJ917504:IVJ917505 JFF917504:JFF917505 JPB917504:JPB917505 JYX917504:JYX917505 KIT917504:KIT917505 KSP917504:KSP917505 LCL917504:LCL917505 LMH917504:LMH917505 LWD917504:LWD917505 MFZ917504:MFZ917505 MPV917504:MPV917505 MZR917504:MZR917505 NJN917504:NJN917505 NTJ917504:NTJ917505 ODF917504:ODF917505 ONB917504:ONB917505 OWX917504:OWX917505 PGT917504:PGT917505 PQP917504:PQP917505 QAL917504:QAL917505 QKH917504:QKH917505 QUD917504:QUD917505 RDZ917504:RDZ917505 RNV917504:RNV917505 RXR917504:RXR917505 SHN917504:SHN917505 SRJ917504:SRJ917505 TBF917504:TBF917505 TLB917504:TLB917505 TUX917504:TUX917505 UET917504:UET917505 UOP917504:UOP917505 UYL917504:UYL917505 VIH917504:VIH917505 VSD917504:VSD917505 WBZ917504:WBZ917505 WLV917504:WLV917505 WVR917504:WVR917505 R983041:R983042 JF983040:JF983041 TB983040:TB983041 ACX983040:ACX983041 AMT983040:AMT983041 AWP983040:AWP983041 BGL983040:BGL983041 BQH983040:BQH983041 CAD983040:CAD983041 CJZ983040:CJZ983041 CTV983040:CTV983041 DDR983040:DDR983041 DNN983040:DNN983041 DXJ983040:DXJ983041 EHF983040:EHF983041 ERB983040:ERB983041 FAX983040:FAX983041 FKT983040:FKT983041 FUP983040:FUP983041 GEL983040:GEL983041 GOH983040:GOH983041 GYD983040:GYD983041 HHZ983040:HHZ983041 HRV983040:HRV983041 IBR983040:IBR983041 ILN983040:ILN983041 IVJ983040:IVJ983041 JFF983040:JFF983041 JPB983040:JPB983041 JYX983040:JYX983041 KIT983040:KIT983041 KSP983040:KSP983041 LCL983040:LCL983041 LMH983040:LMH983041 LWD983040:LWD983041 MFZ983040:MFZ983041 MPV983040:MPV983041 MZR983040:MZR983041 NJN983040:NJN983041 NTJ983040:NTJ983041 ODF983040:ODF983041 ONB983040:ONB983041 OWX983040:OWX983041 PGT983040:PGT983041 PQP983040:PQP983041 QAL983040:QAL983041 QKH983040:QKH983041 QUD983040:QUD983041 RDZ983040:RDZ983041 RNV983040:RNV983041 RXR983040:RXR983041 SHN983040:SHN983041 SRJ983040:SRJ983041 TBF983040:TBF983041 TLB983040:TLB983041 TUX983040:TUX983041 UET983040:UET983041 UOP983040:UOP983041 UYL983040:UYL983041 VIH983040:VIH983041 VSD983040:VSD983041 WBZ983040:WBZ983041 WLV983040:WLV983041 WVR983040:WVR983041 T65537:T65538 JI65536:JI65537 TE65536:TE65537 ADA65536:ADA65537 AMW65536:AMW65537 AWS65536:AWS65537 BGO65536:BGO65537 BQK65536:BQK65537 CAG65536:CAG65537 CKC65536:CKC65537 CTY65536:CTY65537 DDU65536:DDU65537 DNQ65536:DNQ65537 DXM65536:DXM65537 EHI65536:EHI65537 ERE65536:ERE65537 FBA65536:FBA65537 FKW65536:FKW65537 FUS65536:FUS65537 GEO65536:GEO65537 GOK65536:GOK65537 GYG65536:GYG65537 HIC65536:HIC65537 HRY65536:HRY65537 IBU65536:IBU65537 ILQ65536:ILQ65537 IVM65536:IVM65537 JFI65536:JFI65537 JPE65536:JPE65537 JZA65536:JZA65537 KIW65536:KIW65537 KSS65536:KSS65537 LCO65536:LCO65537 LMK65536:LMK65537 LWG65536:LWG65537 MGC65536:MGC65537 MPY65536:MPY65537 MZU65536:MZU65537 NJQ65536:NJQ65537 NTM65536:NTM65537 ODI65536:ODI65537 ONE65536:ONE65537 OXA65536:OXA65537 PGW65536:PGW65537 PQS65536:PQS65537 QAO65536:QAO65537 QKK65536:QKK65537 QUG65536:QUG65537 REC65536:REC65537 RNY65536:RNY65537 RXU65536:RXU65537 SHQ65536:SHQ65537 SRM65536:SRM65537 TBI65536:TBI65537 TLE65536:TLE65537 TVA65536:TVA65537 UEW65536:UEW65537 UOS65536:UOS65537 UYO65536:UYO65537 VIK65536:VIK65537 VSG65536:VSG65537 WCC65536:WCC65537 WLY65536:WLY65537 WVU65536:WVU65537 T131073:T131074 JI131072:JI131073 TE131072:TE131073 ADA131072:ADA131073 AMW131072:AMW131073 AWS131072:AWS131073 BGO131072:BGO131073 BQK131072:BQK131073 CAG131072:CAG131073 CKC131072:CKC131073 CTY131072:CTY131073 DDU131072:DDU131073 DNQ131072:DNQ131073 DXM131072:DXM131073 EHI131072:EHI131073 ERE131072:ERE131073 FBA131072:FBA131073 FKW131072:FKW131073 FUS131072:FUS131073 GEO131072:GEO131073 GOK131072:GOK131073 GYG131072:GYG131073 HIC131072:HIC131073 HRY131072:HRY131073 IBU131072:IBU131073 ILQ131072:ILQ131073 IVM131072:IVM131073 JFI131072:JFI131073 JPE131072:JPE131073 JZA131072:JZA131073 KIW131072:KIW131073 KSS131072:KSS131073 LCO131072:LCO131073 LMK131072:LMK131073 LWG131072:LWG131073 MGC131072:MGC131073 MPY131072:MPY131073 MZU131072:MZU131073 NJQ131072:NJQ131073 NTM131072:NTM131073 ODI131072:ODI131073 ONE131072:ONE131073 OXA131072:OXA131073 PGW131072:PGW131073 PQS131072:PQS131073 QAO131072:QAO131073 QKK131072:QKK131073 QUG131072:QUG131073 REC131072:REC131073 RNY131072:RNY131073 RXU131072:RXU131073 SHQ131072:SHQ131073 SRM131072:SRM131073 TBI131072:TBI131073 TLE131072:TLE131073 TVA131072:TVA131073 UEW131072:UEW131073 UOS131072:UOS131073 UYO131072:UYO131073 VIK131072:VIK131073 VSG131072:VSG131073 WCC131072:WCC131073 WLY131072:WLY131073 WVU131072:WVU131073 T196609:T196610 JI196608:JI196609 TE196608:TE196609 ADA196608:ADA196609 AMW196608:AMW196609 AWS196608:AWS196609 BGO196608:BGO196609 BQK196608:BQK196609 CAG196608:CAG196609 CKC196608:CKC196609 CTY196608:CTY196609 DDU196608:DDU196609 DNQ196608:DNQ196609 DXM196608:DXM196609 EHI196608:EHI196609 ERE196608:ERE196609 FBA196608:FBA196609 FKW196608:FKW196609 FUS196608:FUS196609 GEO196608:GEO196609 GOK196608:GOK196609 GYG196608:GYG196609 HIC196608:HIC196609 HRY196608:HRY196609 IBU196608:IBU196609 ILQ196608:ILQ196609 IVM196608:IVM196609 JFI196608:JFI196609 JPE196608:JPE196609 JZA196608:JZA196609 KIW196608:KIW196609 KSS196608:KSS196609 LCO196608:LCO196609 LMK196608:LMK196609 LWG196608:LWG196609 MGC196608:MGC196609 MPY196608:MPY196609 MZU196608:MZU196609 NJQ196608:NJQ196609 NTM196608:NTM196609 ODI196608:ODI196609 ONE196608:ONE196609 OXA196608:OXA196609 PGW196608:PGW196609 PQS196608:PQS196609 QAO196608:QAO196609 QKK196608:QKK196609 QUG196608:QUG196609 REC196608:REC196609 RNY196608:RNY196609 RXU196608:RXU196609 SHQ196608:SHQ196609 SRM196608:SRM196609 TBI196608:TBI196609 TLE196608:TLE196609 TVA196608:TVA196609 UEW196608:UEW196609 UOS196608:UOS196609 UYO196608:UYO196609 VIK196608:VIK196609 VSG196608:VSG196609 WCC196608:WCC196609 WLY196608:WLY196609 WVU196608:WVU196609 T262145:T262146 JI262144:JI262145 TE262144:TE262145 ADA262144:ADA262145 AMW262144:AMW262145 AWS262144:AWS262145 BGO262144:BGO262145 BQK262144:BQK262145 CAG262144:CAG262145 CKC262144:CKC262145 CTY262144:CTY262145 DDU262144:DDU262145 DNQ262144:DNQ262145 DXM262144:DXM262145 EHI262144:EHI262145 ERE262144:ERE262145 FBA262144:FBA262145 FKW262144:FKW262145 FUS262144:FUS262145 GEO262144:GEO262145 GOK262144:GOK262145 GYG262144:GYG262145 HIC262144:HIC262145 HRY262144:HRY262145 IBU262144:IBU262145 ILQ262144:ILQ262145 IVM262144:IVM262145 JFI262144:JFI262145 JPE262144:JPE262145 JZA262144:JZA262145 KIW262144:KIW262145 KSS262144:KSS262145 LCO262144:LCO262145 LMK262144:LMK262145 LWG262144:LWG262145 MGC262144:MGC262145 MPY262144:MPY262145 MZU262144:MZU262145 NJQ262144:NJQ262145 NTM262144:NTM262145 ODI262144:ODI262145 ONE262144:ONE262145 OXA262144:OXA262145 PGW262144:PGW262145 PQS262144:PQS262145 QAO262144:QAO262145 QKK262144:QKK262145 QUG262144:QUG262145 REC262144:REC262145 RNY262144:RNY262145 RXU262144:RXU262145 SHQ262144:SHQ262145 SRM262144:SRM262145 TBI262144:TBI262145 TLE262144:TLE262145 TVA262144:TVA262145 UEW262144:UEW262145 UOS262144:UOS262145 UYO262144:UYO262145 VIK262144:VIK262145 VSG262144:VSG262145 WCC262144:WCC262145 WLY262144:WLY262145 WVU262144:WVU262145 T327681:T327682 JI327680:JI327681 TE327680:TE327681 ADA327680:ADA327681 AMW327680:AMW327681 AWS327680:AWS327681 BGO327680:BGO327681 BQK327680:BQK327681 CAG327680:CAG327681 CKC327680:CKC327681 CTY327680:CTY327681 DDU327680:DDU327681 DNQ327680:DNQ327681 DXM327680:DXM327681 EHI327680:EHI327681 ERE327680:ERE327681 FBA327680:FBA327681 FKW327680:FKW327681 FUS327680:FUS327681 GEO327680:GEO327681 GOK327680:GOK327681 GYG327680:GYG327681 HIC327680:HIC327681 HRY327680:HRY327681 IBU327680:IBU327681 ILQ327680:ILQ327681 IVM327680:IVM327681 JFI327680:JFI327681 JPE327680:JPE327681 JZA327680:JZA327681 KIW327680:KIW327681 KSS327680:KSS327681 LCO327680:LCO327681 LMK327680:LMK327681 LWG327680:LWG327681 MGC327680:MGC327681 MPY327680:MPY327681 MZU327680:MZU327681 NJQ327680:NJQ327681 NTM327680:NTM327681 ODI327680:ODI327681 ONE327680:ONE327681 OXA327680:OXA327681 PGW327680:PGW327681 PQS327680:PQS327681 QAO327680:QAO327681 QKK327680:QKK327681 QUG327680:QUG327681 REC327680:REC327681 RNY327680:RNY327681 RXU327680:RXU327681 SHQ327680:SHQ327681 SRM327680:SRM327681 TBI327680:TBI327681 TLE327680:TLE327681 TVA327680:TVA327681 UEW327680:UEW327681 UOS327680:UOS327681 UYO327680:UYO327681 VIK327680:VIK327681 VSG327680:VSG327681 WCC327680:WCC327681 WLY327680:WLY327681 WVU327680:WVU327681 T393217:T393218 JI393216:JI393217 TE393216:TE393217 ADA393216:ADA393217 AMW393216:AMW393217 AWS393216:AWS393217 BGO393216:BGO393217 BQK393216:BQK393217 CAG393216:CAG393217 CKC393216:CKC393217 CTY393216:CTY393217 DDU393216:DDU393217 DNQ393216:DNQ393217 DXM393216:DXM393217 EHI393216:EHI393217 ERE393216:ERE393217 FBA393216:FBA393217 FKW393216:FKW393217 FUS393216:FUS393217 GEO393216:GEO393217 GOK393216:GOK393217 GYG393216:GYG393217 HIC393216:HIC393217 HRY393216:HRY393217 IBU393216:IBU393217 ILQ393216:ILQ393217 IVM393216:IVM393217 JFI393216:JFI393217 JPE393216:JPE393217 JZA393216:JZA393217 KIW393216:KIW393217 KSS393216:KSS393217 LCO393216:LCO393217 LMK393216:LMK393217 LWG393216:LWG393217 MGC393216:MGC393217 MPY393216:MPY393217 MZU393216:MZU393217 NJQ393216:NJQ393217 NTM393216:NTM393217 ODI393216:ODI393217 ONE393216:ONE393217 OXA393216:OXA393217 PGW393216:PGW393217 PQS393216:PQS393217 QAO393216:QAO393217 QKK393216:QKK393217 QUG393216:QUG393217 REC393216:REC393217 RNY393216:RNY393217 RXU393216:RXU393217 SHQ393216:SHQ393217 SRM393216:SRM393217 TBI393216:TBI393217 TLE393216:TLE393217 TVA393216:TVA393217 UEW393216:UEW393217 UOS393216:UOS393217 UYO393216:UYO393217 VIK393216:VIK393217 VSG393216:VSG393217 WCC393216:WCC393217 WLY393216:WLY393217 WVU393216:WVU393217 T458753:T458754 JI458752:JI458753 TE458752:TE458753 ADA458752:ADA458753 AMW458752:AMW458753 AWS458752:AWS458753 BGO458752:BGO458753 BQK458752:BQK458753 CAG458752:CAG458753 CKC458752:CKC458753 CTY458752:CTY458753 DDU458752:DDU458753 DNQ458752:DNQ458753 DXM458752:DXM458753 EHI458752:EHI458753 ERE458752:ERE458753 FBA458752:FBA458753 FKW458752:FKW458753 FUS458752:FUS458753 GEO458752:GEO458753 GOK458752:GOK458753 GYG458752:GYG458753 HIC458752:HIC458753 HRY458752:HRY458753 IBU458752:IBU458753 ILQ458752:ILQ458753 IVM458752:IVM458753 JFI458752:JFI458753 JPE458752:JPE458753 JZA458752:JZA458753 KIW458752:KIW458753 KSS458752:KSS458753 LCO458752:LCO458753 LMK458752:LMK458753 LWG458752:LWG458753 MGC458752:MGC458753 MPY458752:MPY458753 MZU458752:MZU458753 NJQ458752:NJQ458753 NTM458752:NTM458753 ODI458752:ODI458753 ONE458752:ONE458753 OXA458752:OXA458753 PGW458752:PGW458753 PQS458752:PQS458753 QAO458752:QAO458753 QKK458752:QKK458753 QUG458752:QUG458753 REC458752:REC458753 RNY458752:RNY458753 RXU458752:RXU458753 SHQ458752:SHQ458753 SRM458752:SRM458753 TBI458752:TBI458753 TLE458752:TLE458753 TVA458752:TVA458753 UEW458752:UEW458753 UOS458752:UOS458753 UYO458752:UYO458753 VIK458752:VIK458753 VSG458752:VSG458753 WCC458752:WCC458753 WLY458752:WLY458753 WVU458752:WVU458753 T524289:T524290 JI524288:JI524289 TE524288:TE524289 ADA524288:ADA524289 AMW524288:AMW524289 AWS524288:AWS524289 BGO524288:BGO524289 BQK524288:BQK524289 CAG524288:CAG524289 CKC524288:CKC524289 CTY524288:CTY524289 DDU524288:DDU524289 DNQ524288:DNQ524289 DXM524288:DXM524289 EHI524288:EHI524289 ERE524288:ERE524289 FBA524288:FBA524289 FKW524288:FKW524289 FUS524288:FUS524289 GEO524288:GEO524289 GOK524288:GOK524289 GYG524288:GYG524289 HIC524288:HIC524289 HRY524288:HRY524289 IBU524288:IBU524289 ILQ524288:ILQ524289 IVM524288:IVM524289 JFI524288:JFI524289 JPE524288:JPE524289 JZA524288:JZA524289 KIW524288:KIW524289 KSS524288:KSS524289 LCO524288:LCO524289 LMK524288:LMK524289 LWG524288:LWG524289 MGC524288:MGC524289 MPY524288:MPY524289 MZU524288:MZU524289 NJQ524288:NJQ524289 NTM524288:NTM524289 ODI524288:ODI524289 ONE524288:ONE524289 OXA524288:OXA524289 PGW524288:PGW524289 PQS524288:PQS524289 QAO524288:QAO524289 QKK524288:QKK524289 QUG524288:QUG524289 REC524288:REC524289 RNY524288:RNY524289 RXU524288:RXU524289 SHQ524288:SHQ524289 SRM524288:SRM524289 TBI524288:TBI524289 TLE524288:TLE524289 TVA524288:TVA524289 UEW524288:UEW524289 UOS524288:UOS524289 UYO524288:UYO524289 VIK524288:VIK524289 VSG524288:VSG524289 WCC524288:WCC524289 WLY524288:WLY524289 WVU524288:WVU524289 T589825:T589826 JI589824:JI589825 TE589824:TE589825 ADA589824:ADA589825 AMW589824:AMW589825 AWS589824:AWS589825 BGO589824:BGO589825 BQK589824:BQK589825 CAG589824:CAG589825 CKC589824:CKC589825 CTY589824:CTY589825 DDU589824:DDU589825 DNQ589824:DNQ589825 DXM589824:DXM589825 EHI589824:EHI589825 ERE589824:ERE589825 FBA589824:FBA589825 FKW589824:FKW589825 FUS589824:FUS589825 GEO589824:GEO589825 GOK589824:GOK589825 GYG589824:GYG589825 HIC589824:HIC589825 HRY589824:HRY589825 IBU589824:IBU589825 ILQ589824:ILQ589825 IVM589824:IVM589825 JFI589824:JFI589825 JPE589824:JPE589825 JZA589824:JZA589825 KIW589824:KIW589825 KSS589824:KSS589825 LCO589824:LCO589825 LMK589824:LMK589825 LWG589824:LWG589825 MGC589824:MGC589825 MPY589824:MPY589825 MZU589824:MZU589825 NJQ589824:NJQ589825 NTM589824:NTM589825 ODI589824:ODI589825 ONE589824:ONE589825 OXA589824:OXA589825 PGW589824:PGW589825 PQS589824:PQS589825 QAO589824:QAO589825 QKK589824:QKK589825 QUG589824:QUG589825 REC589824:REC589825 RNY589824:RNY589825 RXU589824:RXU589825 SHQ589824:SHQ589825 SRM589824:SRM589825 TBI589824:TBI589825 TLE589824:TLE589825 TVA589824:TVA589825 UEW589824:UEW589825 UOS589824:UOS589825 UYO589824:UYO589825 VIK589824:VIK589825 VSG589824:VSG589825 WCC589824:WCC589825 WLY589824:WLY589825 WVU589824:WVU589825 T655361:T655362 JI655360:JI655361 TE655360:TE655361 ADA655360:ADA655361 AMW655360:AMW655361 AWS655360:AWS655361 BGO655360:BGO655361 BQK655360:BQK655361 CAG655360:CAG655361 CKC655360:CKC655361 CTY655360:CTY655361 DDU655360:DDU655361 DNQ655360:DNQ655361 DXM655360:DXM655361 EHI655360:EHI655361 ERE655360:ERE655361 FBA655360:FBA655361 FKW655360:FKW655361 FUS655360:FUS655361 GEO655360:GEO655361 GOK655360:GOK655361 GYG655360:GYG655361 HIC655360:HIC655361 HRY655360:HRY655361 IBU655360:IBU655361 ILQ655360:ILQ655361 IVM655360:IVM655361 JFI655360:JFI655361 JPE655360:JPE655361 JZA655360:JZA655361 KIW655360:KIW655361 KSS655360:KSS655361 LCO655360:LCO655361 LMK655360:LMK655361 LWG655360:LWG655361 MGC655360:MGC655361 MPY655360:MPY655361 MZU655360:MZU655361 NJQ655360:NJQ655361 NTM655360:NTM655361 ODI655360:ODI655361 ONE655360:ONE655361 OXA655360:OXA655361 PGW655360:PGW655361 PQS655360:PQS655361 QAO655360:QAO655361 QKK655360:QKK655361 QUG655360:QUG655361 REC655360:REC655361 RNY655360:RNY655361 RXU655360:RXU655361 SHQ655360:SHQ655361 SRM655360:SRM655361 TBI655360:TBI655361 TLE655360:TLE655361 TVA655360:TVA655361 UEW655360:UEW655361 UOS655360:UOS655361 UYO655360:UYO655361 VIK655360:VIK655361 VSG655360:VSG655361 WCC655360:WCC655361 WLY655360:WLY655361 WVU655360:WVU655361 T720897:T720898 JI720896:JI720897 TE720896:TE720897 ADA720896:ADA720897 AMW720896:AMW720897 AWS720896:AWS720897 BGO720896:BGO720897 BQK720896:BQK720897 CAG720896:CAG720897 CKC720896:CKC720897 CTY720896:CTY720897 DDU720896:DDU720897 DNQ720896:DNQ720897 DXM720896:DXM720897 EHI720896:EHI720897 ERE720896:ERE720897 FBA720896:FBA720897 FKW720896:FKW720897 FUS720896:FUS720897 GEO720896:GEO720897 GOK720896:GOK720897 GYG720896:GYG720897 HIC720896:HIC720897 HRY720896:HRY720897 IBU720896:IBU720897 ILQ720896:ILQ720897 IVM720896:IVM720897 JFI720896:JFI720897 JPE720896:JPE720897 JZA720896:JZA720897 KIW720896:KIW720897 KSS720896:KSS720897 LCO720896:LCO720897 LMK720896:LMK720897 LWG720896:LWG720897 MGC720896:MGC720897 MPY720896:MPY720897 MZU720896:MZU720897 NJQ720896:NJQ720897 NTM720896:NTM720897 ODI720896:ODI720897 ONE720896:ONE720897 OXA720896:OXA720897 PGW720896:PGW720897 PQS720896:PQS720897 QAO720896:QAO720897 QKK720896:QKK720897 QUG720896:QUG720897 REC720896:REC720897 RNY720896:RNY720897 RXU720896:RXU720897 SHQ720896:SHQ720897 SRM720896:SRM720897 TBI720896:TBI720897 TLE720896:TLE720897 TVA720896:TVA720897 UEW720896:UEW720897 UOS720896:UOS720897 UYO720896:UYO720897 VIK720896:VIK720897 VSG720896:VSG720897 WCC720896:WCC720897 WLY720896:WLY720897 WVU720896:WVU720897 T786433:T786434 JI786432:JI786433 TE786432:TE786433 ADA786432:ADA786433 AMW786432:AMW786433 AWS786432:AWS786433 BGO786432:BGO786433 BQK786432:BQK786433 CAG786432:CAG786433 CKC786432:CKC786433 CTY786432:CTY786433 DDU786432:DDU786433 DNQ786432:DNQ786433 DXM786432:DXM786433 EHI786432:EHI786433 ERE786432:ERE786433 FBA786432:FBA786433 FKW786432:FKW786433 FUS786432:FUS786433 GEO786432:GEO786433 GOK786432:GOK786433 GYG786432:GYG786433 HIC786432:HIC786433 HRY786432:HRY786433 IBU786432:IBU786433 ILQ786432:ILQ786433 IVM786432:IVM786433 JFI786432:JFI786433 JPE786432:JPE786433 JZA786432:JZA786433 KIW786432:KIW786433 KSS786432:KSS786433 LCO786432:LCO786433 LMK786432:LMK786433 LWG786432:LWG786433 MGC786432:MGC786433 MPY786432:MPY786433 MZU786432:MZU786433 NJQ786432:NJQ786433 NTM786432:NTM786433 ODI786432:ODI786433 ONE786432:ONE786433 OXA786432:OXA786433 PGW786432:PGW786433 PQS786432:PQS786433 QAO786432:QAO786433 QKK786432:QKK786433 QUG786432:QUG786433 REC786432:REC786433 RNY786432:RNY786433 RXU786432:RXU786433 SHQ786432:SHQ786433 SRM786432:SRM786433 TBI786432:TBI786433 TLE786432:TLE786433 TVA786432:TVA786433 UEW786432:UEW786433 UOS786432:UOS786433 UYO786432:UYO786433 VIK786432:VIK786433 VSG786432:VSG786433 WCC786432:WCC786433 WLY786432:WLY786433 WVU786432:WVU786433 T851969:T851970 JI851968:JI851969 TE851968:TE851969 ADA851968:ADA851969 AMW851968:AMW851969 AWS851968:AWS851969 BGO851968:BGO851969 BQK851968:BQK851969 CAG851968:CAG851969 CKC851968:CKC851969 CTY851968:CTY851969 DDU851968:DDU851969 DNQ851968:DNQ851969 DXM851968:DXM851969 EHI851968:EHI851969 ERE851968:ERE851969 FBA851968:FBA851969 FKW851968:FKW851969 FUS851968:FUS851969 GEO851968:GEO851969 GOK851968:GOK851969 GYG851968:GYG851969 HIC851968:HIC851969 HRY851968:HRY851969 IBU851968:IBU851969 ILQ851968:ILQ851969 IVM851968:IVM851969 JFI851968:JFI851969 JPE851968:JPE851969 JZA851968:JZA851969 KIW851968:KIW851969 KSS851968:KSS851969 LCO851968:LCO851969 LMK851968:LMK851969 LWG851968:LWG851969 MGC851968:MGC851969 MPY851968:MPY851969 MZU851968:MZU851969 NJQ851968:NJQ851969 NTM851968:NTM851969 ODI851968:ODI851969 ONE851968:ONE851969 OXA851968:OXA851969 PGW851968:PGW851969 PQS851968:PQS851969 QAO851968:QAO851969 QKK851968:QKK851969 QUG851968:QUG851969 REC851968:REC851969 RNY851968:RNY851969 RXU851968:RXU851969 SHQ851968:SHQ851969 SRM851968:SRM851969 TBI851968:TBI851969 TLE851968:TLE851969 TVA851968:TVA851969 UEW851968:UEW851969 UOS851968:UOS851969 UYO851968:UYO851969 VIK851968:VIK851969 VSG851968:VSG851969 WCC851968:WCC851969 WLY851968:WLY851969 WVU851968:WVU851969 T917505:T917506 JI917504:JI917505 TE917504:TE917505 ADA917504:ADA917505 AMW917504:AMW917505 AWS917504:AWS917505 BGO917504:BGO917505 BQK917504:BQK917505 CAG917504:CAG917505 CKC917504:CKC917505 CTY917504:CTY917505 DDU917504:DDU917505 DNQ917504:DNQ917505 DXM917504:DXM917505 EHI917504:EHI917505 ERE917504:ERE917505 FBA917504:FBA917505 FKW917504:FKW917505 FUS917504:FUS917505 GEO917504:GEO917505 GOK917504:GOK917505 GYG917504:GYG917505 HIC917504:HIC917505 HRY917504:HRY917505 IBU917504:IBU917505 ILQ917504:ILQ917505 IVM917504:IVM917505 JFI917504:JFI917505 JPE917504:JPE917505 JZA917504:JZA917505 KIW917504:KIW917505 KSS917504:KSS917505 LCO917504:LCO917505 LMK917504:LMK917505 LWG917504:LWG917505 MGC917504:MGC917505 MPY917504:MPY917505 MZU917504:MZU917505 NJQ917504:NJQ917505 NTM917504:NTM917505 ODI917504:ODI917505 ONE917504:ONE917505 OXA917504:OXA917505 PGW917504:PGW917505 PQS917504:PQS917505 QAO917504:QAO917505 QKK917504:QKK917505 QUG917504:QUG917505 REC917504:REC917505 RNY917504:RNY917505 RXU917504:RXU917505 SHQ917504:SHQ917505 SRM917504:SRM917505 TBI917504:TBI917505 TLE917504:TLE917505 TVA917504:TVA917505 UEW917504:UEW917505 UOS917504:UOS917505 UYO917504:UYO917505 VIK917504:VIK917505 VSG917504:VSG917505 WCC917504:WCC917505 WLY917504:WLY917505 WVU917504:WVU917505 T983041:T983042 JI983040:JI983041 TE983040:TE983041 ADA983040:ADA983041 AMW983040:AMW983041 AWS983040:AWS983041 BGO983040:BGO983041 BQK983040:BQK983041 CAG983040:CAG983041 CKC983040:CKC983041 CTY983040:CTY983041 DDU983040:DDU983041 DNQ983040:DNQ983041 DXM983040:DXM983041 EHI983040:EHI983041 ERE983040:ERE983041 FBA983040:FBA983041 FKW983040:FKW983041 FUS983040:FUS983041 GEO983040:GEO983041 GOK983040:GOK983041 GYG983040:GYG983041 HIC983040:HIC983041 HRY983040:HRY983041 IBU983040:IBU983041 ILQ983040:ILQ983041 IVM983040:IVM983041 JFI983040:JFI983041 JPE983040:JPE983041 JZA983040:JZA983041 KIW983040:KIW983041 KSS983040:KSS983041 LCO983040:LCO983041 LMK983040:LMK983041 LWG983040:LWG983041 MGC983040:MGC983041 MPY983040:MPY983041 MZU983040:MZU983041 NJQ983040:NJQ983041 NTM983040:NTM983041 ODI983040:ODI983041 ONE983040:ONE983041 OXA983040:OXA983041 PGW983040:PGW983041 PQS983040:PQS983041 QAO983040:QAO983041 QKK983040:QKK983041 QUG983040:QUG983041 REC983040:REC983041 RNY983040:RNY983041 RXU983040:RXU983041 SHQ983040:SHQ983041 SRM983040:SRM983041 TBI983040:TBI983041 TLE983040:TLE983041 TVA983040:TVA983041 UEW983040:UEW983041 UOS983040:UOS983041 UYO983040:UYO983041 VIK983040:VIK983041 VSG983040:VSG983041 WCC983040:WCC983041 WLY983040:WLY983041 WVU983040:WVU983041 V65537:V65538 JL65536:JL65537 TH65536:TH65537 ADD65536:ADD65537 AMZ65536:AMZ65537 AWV65536:AWV65537 BGR65536:BGR65537 BQN65536:BQN65537 CAJ65536:CAJ65537 CKF65536:CKF65537 CUB65536:CUB65537 DDX65536:DDX65537 DNT65536:DNT65537 DXP65536:DXP65537 EHL65536:EHL65537 ERH65536:ERH65537 FBD65536:FBD65537 FKZ65536:FKZ65537 FUV65536:FUV65537 GER65536:GER65537 GON65536:GON65537 GYJ65536:GYJ65537 HIF65536:HIF65537 HSB65536:HSB65537 IBX65536:IBX65537 ILT65536:ILT65537 IVP65536:IVP65537 JFL65536:JFL65537 JPH65536:JPH65537 JZD65536:JZD65537 KIZ65536:KIZ65537 KSV65536:KSV65537 LCR65536:LCR65537 LMN65536:LMN65537 LWJ65536:LWJ65537 MGF65536:MGF65537 MQB65536:MQB65537 MZX65536:MZX65537 NJT65536:NJT65537 NTP65536:NTP65537 ODL65536:ODL65537 ONH65536:ONH65537 OXD65536:OXD65537 PGZ65536:PGZ65537 PQV65536:PQV65537 QAR65536:QAR65537 QKN65536:QKN65537 QUJ65536:QUJ65537 REF65536:REF65537 ROB65536:ROB65537 RXX65536:RXX65537 SHT65536:SHT65537 SRP65536:SRP65537 TBL65536:TBL65537 TLH65536:TLH65537 TVD65536:TVD65537 UEZ65536:UEZ65537 UOV65536:UOV65537 UYR65536:UYR65537 VIN65536:VIN65537 VSJ65536:VSJ65537 WCF65536:WCF65537 WMB65536:WMB65537 WVX65536:WVX65537 V131073:V131074 JL131072:JL131073 TH131072:TH131073 ADD131072:ADD131073 AMZ131072:AMZ131073 AWV131072:AWV131073 BGR131072:BGR131073 BQN131072:BQN131073 CAJ131072:CAJ131073 CKF131072:CKF131073 CUB131072:CUB131073 DDX131072:DDX131073 DNT131072:DNT131073 DXP131072:DXP131073 EHL131072:EHL131073 ERH131072:ERH131073 FBD131072:FBD131073 FKZ131072:FKZ131073 FUV131072:FUV131073 GER131072:GER131073 GON131072:GON131073 GYJ131072:GYJ131073 HIF131072:HIF131073 HSB131072:HSB131073 IBX131072:IBX131073 ILT131072:ILT131073 IVP131072:IVP131073 JFL131072:JFL131073 JPH131072:JPH131073 JZD131072:JZD131073 KIZ131072:KIZ131073 KSV131072:KSV131073 LCR131072:LCR131073 LMN131072:LMN131073 LWJ131072:LWJ131073 MGF131072:MGF131073 MQB131072:MQB131073 MZX131072:MZX131073 NJT131072:NJT131073 NTP131072:NTP131073 ODL131072:ODL131073 ONH131072:ONH131073 OXD131072:OXD131073 PGZ131072:PGZ131073 PQV131072:PQV131073 QAR131072:QAR131073 QKN131072:QKN131073 QUJ131072:QUJ131073 REF131072:REF131073 ROB131072:ROB131073 RXX131072:RXX131073 SHT131072:SHT131073 SRP131072:SRP131073 TBL131072:TBL131073 TLH131072:TLH131073 TVD131072:TVD131073 UEZ131072:UEZ131073 UOV131072:UOV131073 UYR131072:UYR131073 VIN131072:VIN131073 VSJ131072:VSJ131073 WCF131072:WCF131073 WMB131072:WMB131073 WVX131072:WVX131073 V196609:V196610 JL196608:JL196609 TH196608:TH196609 ADD196608:ADD196609 AMZ196608:AMZ196609 AWV196608:AWV196609 BGR196608:BGR196609 BQN196608:BQN196609 CAJ196608:CAJ196609 CKF196608:CKF196609 CUB196608:CUB196609 DDX196608:DDX196609 DNT196608:DNT196609 DXP196608:DXP196609 EHL196608:EHL196609 ERH196608:ERH196609 FBD196608:FBD196609 FKZ196608:FKZ196609 FUV196608:FUV196609 GER196608:GER196609 GON196608:GON196609 GYJ196608:GYJ196609 HIF196608:HIF196609 HSB196608:HSB196609 IBX196608:IBX196609 ILT196608:ILT196609 IVP196608:IVP196609 JFL196608:JFL196609 JPH196608:JPH196609 JZD196608:JZD196609 KIZ196608:KIZ196609 KSV196608:KSV196609 LCR196608:LCR196609 LMN196608:LMN196609 LWJ196608:LWJ196609 MGF196608:MGF196609 MQB196608:MQB196609 MZX196608:MZX196609 NJT196608:NJT196609 NTP196608:NTP196609 ODL196608:ODL196609 ONH196608:ONH196609 OXD196608:OXD196609 PGZ196608:PGZ196609 PQV196608:PQV196609 QAR196608:QAR196609 QKN196608:QKN196609 QUJ196608:QUJ196609 REF196608:REF196609 ROB196608:ROB196609 RXX196608:RXX196609 SHT196608:SHT196609 SRP196608:SRP196609 TBL196608:TBL196609 TLH196608:TLH196609 TVD196608:TVD196609 UEZ196608:UEZ196609 UOV196608:UOV196609 UYR196608:UYR196609 VIN196608:VIN196609 VSJ196608:VSJ196609 WCF196608:WCF196609 WMB196608:WMB196609 WVX196608:WVX196609 V262145:V262146 JL262144:JL262145 TH262144:TH262145 ADD262144:ADD262145 AMZ262144:AMZ262145 AWV262144:AWV262145 BGR262144:BGR262145 BQN262144:BQN262145 CAJ262144:CAJ262145 CKF262144:CKF262145 CUB262144:CUB262145 DDX262144:DDX262145 DNT262144:DNT262145 DXP262144:DXP262145 EHL262144:EHL262145 ERH262144:ERH262145 FBD262144:FBD262145 FKZ262144:FKZ262145 FUV262144:FUV262145 GER262144:GER262145 GON262144:GON262145 GYJ262144:GYJ262145 HIF262144:HIF262145 HSB262144:HSB262145 IBX262144:IBX262145 ILT262144:ILT262145 IVP262144:IVP262145 JFL262144:JFL262145 JPH262144:JPH262145 JZD262144:JZD262145 KIZ262144:KIZ262145 KSV262144:KSV262145 LCR262144:LCR262145 LMN262144:LMN262145 LWJ262144:LWJ262145 MGF262144:MGF262145 MQB262144:MQB262145 MZX262144:MZX262145 NJT262144:NJT262145 NTP262144:NTP262145 ODL262144:ODL262145 ONH262144:ONH262145 OXD262144:OXD262145 PGZ262144:PGZ262145 PQV262144:PQV262145 QAR262144:QAR262145 QKN262144:QKN262145 QUJ262144:QUJ262145 REF262144:REF262145 ROB262144:ROB262145 RXX262144:RXX262145 SHT262144:SHT262145 SRP262144:SRP262145 TBL262144:TBL262145 TLH262144:TLH262145 TVD262144:TVD262145 UEZ262144:UEZ262145 UOV262144:UOV262145 UYR262144:UYR262145 VIN262144:VIN262145 VSJ262144:VSJ262145 WCF262144:WCF262145 WMB262144:WMB262145 WVX262144:WVX262145 V327681:V327682 JL327680:JL327681 TH327680:TH327681 ADD327680:ADD327681 AMZ327680:AMZ327681 AWV327680:AWV327681 BGR327680:BGR327681 BQN327680:BQN327681 CAJ327680:CAJ327681 CKF327680:CKF327681 CUB327680:CUB327681 DDX327680:DDX327681 DNT327680:DNT327681 DXP327680:DXP327681 EHL327680:EHL327681 ERH327680:ERH327681 FBD327680:FBD327681 FKZ327680:FKZ327681 FUV327680:FUV327681 GER327680:GER327681 GON327680:GON327681 GYJ327680:GYJ327681 HIF327680:HIF327681 HSB327680:HSB327681 IBX327680:IBX327681 ILT327680:ILT327681 IVP327680:IVP327681 JFL327680:JFL327681 JPH327680:JPH327681 JZD327680:JZD327681 KIZ327680:KIZ327681 KSV327680:KSV327681 LCR327680:LCR327681 LMN327680:LMN327681 LWJ327680:LWJ327681 MGF327680:MGF327681 MQB327680:MQB327681 MZX327680:MZX327681 NJT327680:NJT327681 NTP327680:NTP327681 ODL327680:ODL327681 ONH327680:ONH327681 OXD327680:OXD327681 PGZ327680:PGZ327681 PQV327680:PQV327681 QAR327680:QAR327681 QKN327680:QKN327681 QUJ327680:QUJ327681 REF327680:REF327681 ROB327680:ROB327681 RXX327680:RXX327681 SHT327680:SHT327681 SRP327680:SRP327681 TBL327680:TBL327681 TLH327680:TLH327681 TVD327680:TVD327681 UEZ327680:UEZ327681 UOV327680:UOV327681 UYR327680:UYR327681 VIN327680:VIN327681 VSJ327680:VSJ327681 WCF327680:WCF327681 WMB327680:WMB327681 WVX327680:WVX327681 V393217:V393218 JL393216:JL393217 TH393216:TH393217 ADD393216:ADD393217 AMZ393216:AMZ393217 AWV393216:AWV393217 BGR393216:BGR393217 BQN393216:BQN393217 CAJ393216:CAJ393217 CKF393216:CKF393217 CUB393216:CUB393217 DDX393216:DDX393217 DNT393216:DNT393217 DXP393216:DXP393217 EHL393216:EHL393217 ERH393216:ERH393217 FBD393216:FBD393217 FKZ393216:FKZ393217 FUV393216:FUV393217 GER393216:GER393217 GON393216:GON393217 GYJ393216:GYJ393217 HIF393216:HIF393217 HSB393216:HSB393217 IBX393216:IBX393217 ILT393216:ILT393217 IVP393216:IVP393217 JFL393216:JFL393217 JPH393216:JPH393217 JZD393216:JZD393217 KIZ393216:KIZ393217 KSV393216:KSV393217 LCR393216:LCR393217 LMN393216:LMN393217 LWJ393216:LWJ393217 MGF393216:MGF393217 MQB393216:MQB393217 MZX393216:MZX393217 NJT393216:NJT393217 NTP393216:NTP393217 ODL393216:ODL393217 ONH393216:ONH393217 OXD393216:OXD393217 PGZ393216:PGZ393217 PQV393216:PQV393217 QAR393216:QAR393217 QKN393216:QKN393217 QUJ393216:QUJ393217 REF393216:REF393217 ROB393216:ROB393217 RXX393216:RXX393217 SHT393216:SHT393217 SRP393216:SRP393217 TBL393216:TBL393217 TLH393216:TLH393217 TVD393216:TVD393217 UEZ393216:UEZ393217 UOV393216:UOV393217 UYR393216:UYR393217 VIN393216:VIN393217 VSJ393216:VSJ393217 WCF393216:WCF393217 WMB393216:WMB393217 WVX393216:WVX393217 V458753:V458754 JL458752:JL458753 TH458752:TH458753 ADD458752:ADD458753 AMZ458752:AMZ458753 AWV458752:AWV458753 BGR458752:BGR458753 BQN458752:BQN458753 CAJ458752:CAJ458753 CKF458752:CKF458753 CUB458752:CUB458753 DDX458752:DDX458753 DNT458752:DNT458753 DXP458752:DXP458753 EHL458752:EHL458753 ERH458752:ERH458753 FBD458752:FBD458753 FKZ458752:FKZ458753 FUV458752:FUV458753 GER458752:GER458753 GON458752:GON458753 GYJ458752:GYJ458753 HIF458752:HIF458753 HSB458752:HSB458753 IBX458752:IBX458753 ILT458752:ILT458753 IVP458752:IVP458753 JFL458752:JFL458753 JPH458752:JPH458753 JZD458752:JZD458753 KIZ458752:KIZ458753 KSV458752:KSV458753 LCR458752:LCR458753 LMN458752:LMN458753 LWJ458752:LWJ458753 MGF458752:MGF458753 MQB458752:MQB458753 MZX458752:MZX458753 NJT458752:NJT458753 NTP458752:NTP458753 ODL458752:ODL458753 ONH458752:ONH458753 OXD458752:OXD458753 PGZ458752:PGZ458753 PQV458752:PQV458753 QAR458752:QAR458753 QKN458752:QKN458753 QUJ458752:QUJ458753 REF458752:REF458753 ROB458752:ROB458753 RXX458752:RXX458753 SHT458752:SHT458753 SRP458752:SRP458753 TBL458752:TBL458753 TLH458752:TLH458753 TVD458752:TVD458753 UEZ458752:UEZ458753 UOV458752:UOV458753 UYR458752:UYR458753 VIN458752:VIN458753 VSJ458752:VSJ458753 WCF458752:WCF458753 WMB458752:WMB458753 WVX458752:WVX458753 V524289:V524290 JL524288:JL524289 TH524288:TH524289 ADD524288:ADD524289 AMZ524288:AMZ524289 AWV524288:AWV524289 BGR524288:BGR524289 BQN524288:BQN524289 CAJ524288:CAJ524289 CKF524288:CKF524289 CUB524288:CUB524289 DDX524288:DDX524289 DNT524288:DNT524289 DXP524288:DXP524289 EHL524288:EHL524289 ERH524288:ERH524289 FBD524288:FBD524289 FKZ524288:FKZ524289 FUV524288:FUV524289 GER524288:GER524289 GON524288:GON524289 GYJ524288:GYJ524289 HIF524288:HIF524289 HSB524288:HSB524289 IBX524288:IBX524289 ILT524288:ILT524289 IVP524288:IVP524289 JFL524288:JFL524289 JPH524288:JPH524289 JZD524288:JZD524289 KIZ524288:KIZ524289 KSV524288:KSV524289 LCR524288:LCR524289 LMN524288:LMN524289 LWJ524288:LWJ524289 MGF524288:MGF524289 MQB524288:MQB524289 MZX524288:MZX524289 NJT524288:NJT524289 NTP524288:NTP524289 ODL524288:ODL524289 ONH524288:ONH524289 OXD524288:OXD524289 PGZ524288:PGZ524289 PQV524288:PQV524289 QAR524288:QAR524289 QKN524288:QKN524289 QUJ524288:QUJ524289 REF524288:REF524289 ROB524288:ROB524289 RXX524288:RXX524289 SHT524288:SHT524289 SRP524288:SRP524289 TBL524288:TBL524289 TLH524288:TLH524289 TVD524288:TVD524289 UEZ524288:UEZ524289 UOV524288:UOV524289 UYR524288:UYR524289 VIN524288:VIN524289 VSJ524288:VSJ524289 WCF524288:WCF524289 WMB524288:WMB524289 WVX524288:WVX524289 V589825:V589826 JL589824:JL589825 TH589824:TH589825 ADD589824:ADD589825 AMZ589824:AMZ589825 AWV589824:AWV589825 BGR589824:BGR589825 BQN589824:BQN589825 CAJ589824:CAJ589825 CKF589824:CKF589825 CUB589824:CUB589825 DDX589824:DDX589825 DNT589824:DNT589825 DXP589824:DXP589825 EHL589824:EHL589825 ERH589824:ERH589825 FBD589824:FBD589825 FKZ589824:FKZ589825 FUV589824:FUV589825 GER589824:GER589825 GON589824:GON589825 GYJ589824:GYJ589825 HIF589824:HIF589825 HSB589824:HSB589825 IBX589824:IBX589825 ILT589824:ILT589825 IVP589824:IVP589825 JFL589824:JFL589825 JPH589824:JPH589825 JZD589824:JZD589825 KIZ589824:KIZ589825 KSV589824:KSV589825 LCR589824:LCR589825 LMN589824:LMN589825 LWJ589824:LWJ589825 MGF589824:MGF589825 MQB589824:MQB589825 MZX589824:MZX589825 NJT589824:NJT589825 NTP589824:NTP589825 ODL589824:ODL589825 ONH589824:ONH589825 OXD589824:OXD589825 PGZ589824:PGZ589825 PQV589824:PQV589825 QAR589824:QAR589825 QKN589824:QKN589825 QUJ589824:QUJ589825 REF589824:REF589825 ROB589824:ROB589825 RXX589824:RXX589825 SHT589824:SHT589825 SRP589824:SRP589825 TBL589824:TBL589825 TLH589824:TLH589825 TVD589824:TVD589825 UEZ589824:UEZ589825 UOV589824:UOV589825 UYR589824:UYR589825 VIN589824:VIN589825 VSJ589824:VSJ589825 WCF589824:WCF589825 WMB589824:WMB589825 WVX589824:WVX589825 V655361:V655362 JL655360:JL655361 TH655360:TH655361 ADD655360:ADD655361 AMZ655360:AMZ655361 AWV655360:AWV655361 BGR655360:BGR655361 BQN655360:BQN655361 CAJ655360:CAJ655361 CKF655360:CKF655361 CUB655360:CUB655361 DDX655360:DDX655361 DNT655360:DNT655361 DXP655360:DXP655361 EHL655360:EHL655361 ERH655360:ERH655361 FBD655360:FBD655361 FKZ655360:FKZ655361 FUV655360:FUV655361 GER655360:GER655361 GON655360:GON655361 GYJ655360:GYJ655361 HIF655360:HIF655361 HSB655360:HSB655361 IBX655360:IBX655361 ILT655360:ILT655361 IVP655360:IVP655361 JFL655360:JFL655361 JPH655360:JPH655361 JZD655360:JZD655361 KIZ655360:KIZ655361 KSV655360:KSV655361 LCR655360:LCR655361 LMN655360:LMN655361 LWJ655360:LWJ655361 MGF655360:MGF655361 MQB655360:MQB655361 MZX655360:MZX655361 NJT655360:NJT655361 NTP655360:NTP655361 ODL655360:ODL655361 ONH655360:ONH655361 OXD655360:OXD655361 PGZ655360:PGZ655361 PQV655360:PQV655361 QAR655360:QAR655361 QKN655360:QKN655361 QUJ655360:QUJ655361 REF655360:REF655361 ROB655360:ROB655361 RXX655360:RXX655361 SHT655360:SHT655361 SRP655360:SRP655361 TBL655360:TBL655361 TLH655360:TLH655361 TVD655360:TVD655361 UEZ655360:UEZ655361 UOV655360:UOV655361 UYR655360:UYR655361 VIN655360:VIN655361 VSJ655360:VSJ655361 WCF655360:WCF655361 WMB655360:WMB655361 WVX655360:WVX655361 V720897:V720898 JL720896:JL720897 TH720896:TH720897 ADD720896:ADD720897 AMZ720896:AMZ720897 AWV720896:AWV720897 BGR720896:BGR720897 BQN720896:BQN720897 CAJ720896:CAJ720897 CKF720896:CKF720897 CUB720896:CUB720897 DDX720896:DDX720897 DNT720896:DNT720897 DXP720896:DXP720897 EHL720896:EHL720897 ERH720896:ERH720897 FBD720896:FBD720897 FKZ720896:FKZ720897 FUV720896:FUV720897 GER720896:GER720897 GON720896:GON720897 GYJ720896:GYJ720897 HIF720896:HIF720897 HSB720896:HSB720897 IBX720896:IBX720897 ILT720896:ILT720897 IVP720896:IVP720897 JFL720896:JFL720897 JPH720896:JPH720897 JZD720896:JZD720897 KIZ720896:KIZ720897 KSV720896:KSV720897 LCR720896:LCR720897 LMN720896:LMN720897 LWJ720896:LWJ720897 MGF720896:MGF720897 MQB720896:MQB720897 MZX720896:MZX720897 NJT720896:NJT720897 NTP720896:NTP720897 ODL720896:ODL720897 ONH720896:ONH720897 OXD720896:OXD720897 PGZ720896:PGZ720897 PQV720896:PQV720897 QAR720896:QAR720897 QKN720896:QKN720897 QUJ720896:QUJ720897 REF720896:REF720897 ROB720896:ROB720897 RXX720896:RXX720897 SHT720896:SHT720897 SRP720896:SRP720897 TBL720896:TBL720897 TLH720896:TLH720897 TVD720896:TVD720897 UEZ720896:UEZ720897 UOV720896:UOV720897 UYR720896:UYR720897 VIN720896:VIN720897 VSJ720896:VSJ720897 WCF720896:WCF720897 WMB720896:WMB720897 WVX720896:WVX720897 V786433:V786434 JL786432:JL786433 TH786432:TH786433 ADD786432:ADD786433 AMZ786432:AMZ786433 AWV786432:AWV786433 BGR786432:BGR786433 BQN786432:BQN786433 CAJ786432:CAJ786433 CKF786432:CKF786433 CUB786432:CUB786433 DDX786432:DDX786433 DNT786432:DNT786433 DXP786432:DXP786433 EHL786432:EHL786433 ERH786432:ERH786433 FBD786432:FBD786433 FKZ786432:FKZ786433 FUV786432:FUV786433 GER786432:GER786433 GON786432:GON786433 GYJ786432:GYJ786433 HIF786432:HIF786433 HSB786432:HSB786433 IBX786432:IBX786433 ILT786432:ILT786433 IVP786432:IVP786433 JFL786432:JFL786433 JPH786432:JPH786433 JZD786432:JZD786433 KIZ786432:KIZ786433 KSV786432:KSV786433 LCR786432:LCR786433 LMN786432:LMN786433 LWJ786432:LWJ786433 MGF786432:MGF786433 MQB786432:MQB786433 MZX786432:MZX786433 NJT786432:NJT786433 NTP786432:NTP786433 ODL786432:ODL786433 ONH786432:ONH786433 OXD786432:OXD786433 PGZ786432:PGZ786433 PQV786432:PQV786433 QAR786432:QAR786433 QKN786432:QKN786433 QUJ786432:QUJ786433 REF786432:REF786433 ROB786432:ROB786433 RXX786432:RXX786433 SHT786432:SHT786433 SRP786432:SRP786433 TBL786432:TBL786433 TLH786432:TLH786433 TVD786432:TVD786433 UEZ786432:UEZ786433 UOV786432:UOV786433 UYR786432:UYR786433 VIN786432:VIN786433 VSJ786432:VSJ786433 WCF786432:WCF786433 WMB786432:WMB786433 WVX786432:WVX786433 V851969:V851970 JL851968:JL851969 TH851968:TH851969 ADD851968:ADD851969 AMZ851968:AMZ851969 AWV851968:AWV851969 BGR851968:BGR851969 BQN851968:BQN851969 CAJ851968:CAJ851969 CKF851968:CKF851969 CUB851968:CUB851969 DDX851968:DDX851969 DNT851968:DNT851969 DXP851968:DXP851969 EHL851968:EHL851969 ERH851968:ERH851969 FBD851968:FBD851969 FKZ851968:FKZ851969 FUV851968:FUV851969 GER851968:GER851969 GON851968:GON851969 GYJ851968:GYJ851969 HIF851968:HIF851969 HSB851968:HSB851969 IBX851968:IBX851969 ILT851968:ILT851969 IVP851968:IVP851969 JFL851968:JFL851969 JPH851968:JPH851969 JZD851968:JZD851969 KIZ851968:KIZ851969 KSV851968:KSV851969 LCR851968:LCR851969 LMN851968:LMN851969 LWJ851968:LWJ851969 MGF851968:MGF851969 MQB851968:MQB851969 MZX851968:MZX851969 NJT851968:NJT851969 NTP851968:NTP851969 ODL851968:ODL851969 ONH851968:ONH851969 OXD851968:OXD851969 PGZ851968:PGZ851969 PQV851968:PQV851969 QAR851968:QAR851969 QKN851968:QKN851969 QUJ851968:QUJ851969 REF851968:REF851969 ROB851968:ROB851969 RXX851968:RXX851969 SHT851968:SHT851969 SRP851968:SRP851969 TBL851968:TBL851969 TLH851968:TLH851969 TVD851968:TVD851969 UEZ851968:UEZ851969 UOV851968:UOV851969 UYR851968:UYR851969 VIN851968:VIN851969 VSJ851968:VSJ851969 WCF851968:WCF851969 WMB851968:WMB851969 WVX851968:WVX851969 V917505:V917506 JL917504:JL917505 TH917504:TH917505 ADD917504:ADD917505 AMZ917504:AMZ917505 AWV917504:AWV917505 BGR917504:BGR917505 BQN917504:BQN917505 CAJ917504:CAJ917505 CKF917504:CKF917505 CUB917504:CUB917505 DDX917504:DDX917505 DNT917504:DNT917505 DXP917504:DXP917505 EHL917504:EHL917505 ERH917504:ERH917505 FBD917504:FBD917505 FKZ917504:FKZ917505 FUV917504:FUV917505 GER917504:GER917505 GON917504:GON917505 GYJ917504:GYJ917505 HIF917504:HIF917505 HSB917504:HSB917505 IBX917504:IBX917505 ILT917504:ILT917505 IVP917504:IVP917505 JFL917504:JFL917505 JPH917504:JPH917505 JZD917504:JZD917505 KIZ917504:KIZ917505 KSV917504:KSV917505 LCR917504:LCR917505 LMN917504:LMN917505 LWJ917504:LWJ917505 MGF917504:MGF917505 MQB917504:MQB917505 MZX917504:MZX917505 NJT917504:NJT917505 NTP917504:NTP917505 ODL917504:ODL917505 ONH917504:ONH917505 OXD917504:OXD917505 PGZ917504:PGZ917505 PQV917504:PQV917505 QAR917504:QAR917505 QKN917504:QKN917505 QUJ917504:QUJ917505 REF917504:REF917505 ROB917504:ROB917505 RXX917504:RXX917505 SHT917504:SHT917505 SRP917504:SRP917505 TBL917504:TBL917505 TLH917504:TLH917505 TVD917504:TVD917505 UEZ917504:UEZ917505 UOV917504:UOV917505 UYR917504:UYR917505 VIN917504:VIN917505 VSJ917504:VSJ917505 WCF917504:WCF917505 WMB917504:WMB917505 WVX917504:WVX917505 V983041:V983042 JL983040:JL983041 TH983040:TH983041 ADD983040:ADD983041 AMZ983040:AMZ983041 AWV983040:AWV983041 BGR983040:BGR983041 BQN983040:BQN983041 CAJ983040:CAJ983041 CKF983040:CKF983041 CUB983040:CUB983041 DDX983040:DDX983041 DNT983040:DNT983041 DXP983040:DXP983041 EHL983040:EHL983041 ERH983040:ERH983041 FBD983040:FBD983041 FKZ983040:FKZ983041 FUV983040:FUV983041 GER983040:GER983041 GON983040:GON983041 GYJ983040:GYJ983041 HIF983040:HIF983041 HSB983040:HSB983041 IBX983040:IBX983041 ILT983040:ILT983041 IVP983040:IVP983041 JFL983040:JFL983041 JPH983040:JPH983041 JZD983040:JZD983041 KIZ983040:KIZ983041 KSV983040:KSV983041 LCR983040:LCR983041 LMN983040:LMN983041 LWJ983040:LWJ983041 MGF983040:MGF983041 MQB983040:MQB983041 MZX983040:MZX983041 NJT983040:NJT983041 NTP983040:NTP983041 ODL983040:ODL983041 ONH983040:ONH983041 OXD983040:OXD983041 PGZ983040:PGZ983041 PQV983040:PQV983041 QAR983040:QAR983041 QKN983040:QKN983041 QUJ983040:QUJ983041 REF983040:REF983041 ROB983040:ROB983041 RXX983040:RXX983041 SHT983040:SHT983041 SRP983040:SRP983041 TBL983040:TBL983041 TLH983040:TLH983041 TVD983040:TVD983041 UEZ983040:UEZ983041 UOV983040:UOV983041 UYR983040:UYR983041 VIN983040:VIN983041 VSJ983040:VSJ983041 WCF983040:WCF983041 WMB983040:WMB983041 WVX983040:WVX983041 X65536:X65537 JO65536:JO65537 TK65536:TK65537 ADG65536:ADG65537 ANC65536:ANC65537 AWY65536:AWY65537 BGU65536:BGU65537 BQQ65536:BQQ65537 CAM65536:CAM65537 CKI65536:CKI65537 CUE65536:CUE65537 DEA65536:DEA65537 DNW65536:DNW65537 DXS65536:DXS65537 EHO65536:EHO65537 ERK65536:ERK65537 FBG65536:FBG65537 FLC65536:FLC65537 FUY65536:FUY65537 GEU65536:GEU65537 GOQ65536:GOQ65537 GYM65536:GYM65537 HII65536:HII65537 HSE65536:HSE65537 ICA65536:ICA65537 ILW65536:ILW65537 IVS65536:IVS65537 JFO65536:JFO65537 JPK65536:JPK65537 JZG65536:JZG65537 KJC65536:KJC65537 KSY65536:KSY65537 LCU65536:LCU65537 LMQ65536:LMQ65537 LWM65536:LWM65537 MGI65536:MGI65537 MQE65536:MQE65537 NAA65536:NAA65537 NJW65536:NJW65537 NTS65536:NTS65537 ODO65536:ODO65537 ONK65536:ONK65537 OXG65536:OXG65537 PHC65536:PHC65537 PQY65536:PQY65537 QAU65536:QAU65537 QKQ65536:QKQ65537 QUM65536:QUM65537 REI65536:REI65537 ROE65536:ROE65537 RYA65536:RYA65537 SHW65536:SHW65537 SRS65536:SRS65537 TBO65536:TBO65537 TLK65536:TLK65537 TVG65536:TVG65537 UFC65536:UFC65537 UOY65536:UOY65537 UYU65536:UYU65537 VIQ65536:VIQ65537 VSM65536:VSM65537 WCI65536:WCI65537 WME65536:WME65537 WWA65536:WWA65537 X131072:X131073 JO131072:JO131073 TK131072:TK131073 ADG131072:ADG131073 ANC131072:ANC131073 AWY131072:AWY131073 BGU131072:BGU131073 BQQ131072:BQQ131073 CAM131072:CAM131073 CKI131072:CKI131073 CUE131072:CUE131073 DEA131072:DEA131073 DNW131072:DNW131073 DXS131072:DXS131073 EHO131072:EHO131073 ERK131072:ERK131073 FBG131072:FBG131073 FLC131072:FLC131073 FUY131072:FUY131073 GEU131072:GEU131073 GOQ131072:GOQ131073 GYM131072:GYM131073 HII131072:HII131073 HSE131072:HSE131073 ICA131072:ICA131073 ILW131072:ILW131073 IVS131072:IVS131073 JFO131072:JFO131073 JPK131072:JPK131073 JZG131072:JZG131073 KJC131072:KJC131073 KSY131072:KSY131073 LCU131072:LCU131073 LMQ131072:LMQ131073 LWM131072:LWM131073 MGI131072:MGI131073 MQE131072:MQE131073 NAA131072:NAA131073 NJW131072:NJW131073 NTS131072:NTS131073 ODO131072:ODO131073 ONK131072:ONK131073 OXG131072:OXG131073 PHC131072:PHC131073 PQY131072:PQY131073 QAU131072:QAU131073 QKQ131072:QKQ131073 QUM131072:QUM131073 REI131072:REI131073 ROE131072:ROE131073 RYA131072:RYA131073 SHW131072:SHW131073 SRS131072:SRS131073 TBO131072:TBO131073 TLK131072:TLK131073 TVG131072:TVG131073 UFC131072:UFC131073 UOY131072:UOY131073 UYU131072:UYU131073 VIQ131072:VIQ131073 VSM131072:VSM131073 WCI131072:WCI131073 WME131072:WME131073 WWA131072:WWA131073 X196608:X196609 JO196608:JO196609 TK196608:TK196609 ADG196608:ADG196609 ANC196608:ANC196609 AWY196608:AWY196609 BGU196608:BGU196609 BQQ196608:BQQ196609 CAM196608:CAM196609 CKI196608:CKI196609 CUE196608:CUE196609 DEA196608:DEA196609 DNW196608:DNW196609 DXS196608:DXS196609 EHO196608:EHO196609 ERK196608:ERK196609 FBG196608:FBG196609 FLC196608:FLC196609 FUY196608:FUY196609 GEU196608:GEU196609 GOQ196608:GOQ196609 GYM196608:GYM196609 HII196608:HII196609 HSE196608:HSE196609 ICA196608:ICA196609 ILW196608:ILW196609 IVS196608:IVS196609 JFO196608:JFO196609 JPK196608:JPK196609 JZG196608:JZG196609 KJC196608:KJC196609 KSY196608:KSY196609 LCU196608:LCU196609 LMQ196608:LMQ196609 LWM196608:LWM196609 MGI196608:MGI196609 MQE196608:MQE196609 NAA196608:NAA196609 NJW196608:NJW196609 NTS196608:NTS196609 ODO196608:ODO196609 ONK196608:ONK196609 OXG196608:OXG196609 PHC196608:PHC196609 PQY196608:PQY196609 QAU196608:QAU196609 QKQ196608:QKQ196609 QUM196608:QUM196609 REI196608:REI196609 ROE196608:ROE196609 RYA196608:RYA196609 SHW196608:SHW196609 SRS196608:SRS196609 TBO196608:TBO196609 TLK196608:TLK196609 TVG196608:TVG196609 UFC196608:UFC196609 UOY196608:UOY196609 UYU196608:UYU196609 VIQ196608:VIQ196609 VSM196608:VSM196609 WCI196608:WCI196609 WME196608:WME196609 WWA196608:WWA196609 X262144:X262145 JO262144:JO262145 TK262144:TK262145 ADG262144:ADG262145 ANC262144:ANC262145 AWY262144:AWY262145 BGU262144:BGU262145 BQQ262144:BQQ262145 CAM262144:CAM262145 CKI262144:CKI262145 CUE262144:CUE262145 DEA262144:DEA262145 DNW262144:DNW262145 DXS262144:DXS262145 EHO262144:EHO262145 ERK262144:ERK262145 FBG262144:FBG262145 FLC262144:FLC262145 FUY262144:FUY262145 GEU262144:GEU262145 GOQ262144:GOQ262145 GYM262144:GYM262145 HII262144:HII262145 HSE262144:HSE262145 ICA262144:ICA262145 ILW262144:ILW262145 IVS262144:IVS262145 JFO262144:JFO262145 JPK262144:JPK262145 JZG262144:JZG262145 KJC262144:KJC262145 KSY262144:KSY262145 LCU262144:LCU262145 LMQ262144:LMQ262145 LWM262144:LWM262145 MGI262144:MGI262145 MQE262144:MQE262145 NAA262144:NAA262145 NJW262144:NJW262145 NTS262144:NTS262145 ODO262144:ODO262145 ONK262144:ONK262145 OXG262144:OXG262145 PHC262144:PHC262145 PQY262144:PQY262145 QAU262144:QAU262145 QKQ262144:QKQ262145 QUM262144:QUM262145 REI262144:REI262145 ROE262144:ROE262145 RYA262144:RYA262145 SHW262144:SHW262145 SRS262144:SRS262145 TBO262144:TBO262145 TLK262144:TLK262145 TVG262144:TVG262145 UFC262144:UFC262145 UOY262144:UOY262145 UYU262144:UYU262145 VIQ262144:VIQ262145 VSM262144:VSM262145 WCI262144:WCI262145 WME262144:WME262145 WWA262144:WWA262145 X327680:X327681 JO327680:JO327681 TK327680:TK327681 ADG327680:ADG327681 ANC327680:ANC327681 AWY327680:AWY327681 BGU327680:BGU327681 BQQ327680:BQQ327681 CAM327680:CAM327681 CKI327680:CKI327681 CUE327680:CUE327681 DEA327680:DEA327681 DNW327680:DNW327681 DXS327680:DXS327681 EHO327680:EHO327681 ERK327680:ERK327681 FBG327680:FBG327681 FLC327680:FLC327681 FUY327680:FUY327681 GEU327680:GEU327681 GOQ327680:GOQ327681 GYM327680:GYM327681 HII327680:HII327681 HSE327680:HSE327681 ICA327680:ICA327681 ILW327680:ILW327681 IVS327680:IVS327681 JFO327680:JFO327681 JPK327680:JPK327681 JZG327680:JZG327681 KJC327680:KJC327681 KSY327680:KSY327681 LCU327680:LCU327681 LMQ327680:LMQ327681 LWM327680:LWM327681 MGI327680:MGI327681 MQE327680:MQE327681 NAA327680:NAA327681 NJW327680:NJW327681 NTS327680:NTS327681 ODO327680:ODO327681 ONK327680:ONK327681 OXG327680:OXG327681 PHC327680:PHC327681 PQY327680:PQY327681 QAU327680:QAU327681 QKQ327680:QKQ327681 QUM327680:QUM327681 REI327680:REI327681 ROE327680:ROE327681 RYA327680:RYA327681 SHW327680:SHW327681 SRS327680:SRS327681 TBO327680:TBO327681 TLK327680:TLK327681 TVG327680:TVG327681 UFC327680:UFC327681 UOY327680:UOY327681 UYU327680:UYU327681 VIQ327680:VIQ327681 VSM327680:VSM327681 WCI327680:WCI327681 WME327680:WME327681 WWA327680:WWA327681 X393216:X393217 JO393216:JO393217 TK393216:TK393217 ADG393216:ADG393217 ANC393216:ANC393217 AWY393216:AWY393217 BGU393216:BGU393217 BQQ393216:BQQ393217 CAM393216:CAM393217 CKI393216:CKI393217 CUE393216:CUE393217 DEA393216:DEA393217 DNW393216:DNW393217 DXS393216:DXS393217 EHO393216:EHO393217 ERK393216:ERK393217 FBG393216:FBG393217 FLC393216:FLC393217 FUY393216:FUY393217 GEU393216:GEU393217 GOQ393216:GOQ393217 GYM393216:GYM393217 HII393216:HII393217 HSE393216:HSE393217 ICA393216:ICA393217 ILW393216:ILW393217 IVS393216:IVS393217 JFO393216:JFO393217 JPK393216:JPK393217 JZG393216:JZG393217 KJC393216:KJC393217 KSY393216:KSY393217 LCU393216:LCU393217 LMQ393216:LMQ393217 LWM393216:LWM393217 MGI393216:MGI393217 MQE393216:MQE393217 NAA393216:NAA393217 NJW393216:NJW393217 NTS393216:NTS393217 ODO393216:ODO393217 ONK393216:ONK393217 OXG393216:OXG393217 PHC393216:PHC393217 PQY393216:PQY393217 QAU393216:QAU393217 QKQ393216:QKQ393217 QUM393216:QUM393217 REI393216:REI393217 ROE393216:ROE393217 RYA393216:RYA393217 SHW393216:SHW393217 SRS393216:SRS393217 TBO393216:TBO393217 TLK393216:TLK393217 TVG393216:TVG393217 UFC393216:UFC393217 UOY393216:UOY393217 UYU393216:UYU393217 VIQ393216:VIQ393217 VSM393216:VSM393217 WCI393216:WCI393217 WME393216:WME393217 WWA393216:WWA393217 X458752:X458753 JO458752:JO458753 TK458752:TK458753 ADG458752:ADG458753 ANC458752:ANC458753 AWY458752:AWY458753 BGU458752:BGU458753 BQQ458752:BQQ458753 CAM458752:CAM458753 CKI458752:CKI458753 CUE458752:CUE458753 DEA458752:DEA458753 DNW458752:DNW458753 DXS458752:DXS458753 EHO458752:EHO458753 ERK458752:ERK458753 FBG458752:FBG458753 FLC458752:FLC458753 FUY458752:FUY458753 GEU458752:GEU458753 GOQ458752:GOQ458753 GYM458752:GYM458753 HII458752:HII458753 HSE458752:HSE458753 ICA458752:ICA458753 ILW458752:ILW458753 IVS458752:IVS458753 JFO458752:JFO458753 JPK458752:JPK458753 JZG458752:JZG458753 KJC458752:KJC458753 KSY458752:KSY458753 LCU458752:LCU458753 LMQ458752:LMQ458753 LWM458752:LWM458753 MGI458752:MGI458753 MQE458752:MQE458753 NAA458752:NAA458753 NJW458752:NJW458753 NTS458752:NTS458753 ODO458752:ODO458753 ONK458752:ONK458753 OXG458752:OXG458753 PHC458752:PHC458753 PQY458752:PQY458753 QAU458752:QAU458753 QKQ458752:QKQ458753 QUM458752:QUM458753 REI458752:REI458753 ROE458752:ROE458753 RYA458752:RYA458753 SHW458752:SHW458753 SRS458752:SRS458753 TBO458752:TBO458753 TLK458752:TLK458753 TVG458752:TVG458753 UFC458752:UFC458753 UOY458752:UOY458753 UYU458752:UYU458753 VIQ458752:VIQ458753 VSM458752:VSM458753 WCI458752:WCI458753 WME458752:WME458753 WWA458752:WWA458753 X524288:X524289 JO524288:JO524289 TK524288:TK524289 ADG524288:ADG524289 ANC524288:ANC524289 AWY524288:AWY524289 BGU524288:BGU524289 BQQ524288:BQQ524289 CAM524288:CAM524289 CKI524288:CKI524289 CUE524288:CUE524289 DEA524288:DEA524289 DNW524288:DNW524289 DXS524288:DXS524289 EHO524288:EHO524289 ERK524288:ERK524289 FBG524288:FBG524289 FLC524288:FLC524289 FUY524288:FUY524289 GEU524288:GEU524289 GOQ524288:GOQ524289 GYM524288:GYM524289 HII524288:HII524289 HSE524288:HSE524289 ICA524288:ICA524289 ILW524288:ILW524289 IVS524288:IVS524289 JFO524288:JFO524289 JPK524288:JPK524289 JZG524288:JZG524289 KJC524288:KJC524289 KSY524288:KSY524289 LCU524288:LCU524289 LMQ524288:LMQ524289 LWM524288:LWM524289 MGI524288:MGI524289 MQE524288:MQE524289 NAA524288:NAA524289 NJW524288:NJW524289 NTS524288:NTS524289 ODO524288:ODO524289 ONK524288:ONK524289 OXG524288:OXG524289 PHC524288:PHC524289 PQY524288:PQY524289 QAU524288:QAU524289 QKQ524288:QKQ524289 QUM524288:QUM524289 REI524288:REI524289 ROE524288:ROE524289 RYA524288:RYA524289 SHW524288:SHW524289 SRS524288:SRS524289 TBO524288:TBO524289 TLK524288:TLK524289 TVG524288:TVG524289 UFC524288:UFC524289 UOY524288:UOY524289 UYU524288:UYU524289 VIQ524288:VIQ524289 VSM524288:VSM524289 WCI524288:WCI524289 WME524288:WME524289 WWA524288:WWA524289 X589824:X589825 JO589824:JO589825 TK589824:TK589825 ADG589824:ADG589825 ANC589824:ANC589825 AWY589824:AWY589825 BGU589824:BGU589825 BQQ589824:BQQ589825 CAM589824:CAM589825 CKI589824:CKI589825 CUE589824:CUE589825 DEA589824:DEA589825 DNW589824:DNW589825 DXS589824:DXS589825 EHO589824:EHO589825 ERK589824:ERK589825 FBG589824:FBG589825 FLC589824:FLC589825 FUY589824:FUY589825 GEU589824:GEU589825 GOQ589824:GOQ589825 GYM589824:GYM589825 HII589824:HII589825 HSE589824:HSE589825 ICA589824:ICA589825 ILW589824:ILW589825 IVS589824:IVS589825 JFO589824:JFO589825 JPK589824:JPK589825 JZG589824:JZG589825 KJC589824:KJC589825 KSY589824:KSY589825 LCU589824:LCU589825 LMQ589824:LMQ589825 LWM589824:LWM589825 MGI589824:MGI589825 MQE589824:MQE589825 NAA589824:NAA589825 NJW589824:NJW589825 NTS589824:NTS589825 ODO589824:ODO589825 ONK589824:ONK589825 OXG589824:OXG589825 PHC589824:PHC589825 PQY589824:PQY589825 QAU589824:QAU589825 QKQ589824:QKQ589825 QUM589824:QUM589825 REI589824:REI589825 ROE589824:ROE589825 RYA589824:RYA589825 SHW589824:SHW589825 SRS589824:SRS589825 TBO589824:TBO589825 TLK589824:TLK589825 TVG589824:TVG589825 UFC589824:UFC589825 UOY589824:UOY589825 UYU589824:UYU589825 VIQ589824:VIQ589825 VSM589824:VSM589825 WCI589824:WCI589825 WME589824:WME589825 WWA589824:WWA589825 X655360:X655361 JO655360:JO655361 TK655360:TK655361 ADG655360:ADG655361 ANC655360:ANC655361 AWY655360:AWY655361 BGU655360:BGU655361 BQQ655360:BQQ655361 CAM655360:CAM655361 CKI655360:CKI655361 CUE655360:CUE655361 DEA655360:DEA655361 DNW655360:DNW655361 DXS655360:DXS655361 EHO655360:EHO655361 ERK655360:ERK655361 FBG655360:FBG655361 FLC655360:FLC655361 FUY655360:FUY655361 GEU655360:GEU655361 GOQ655360:GOQ655361 GYM655360:GYM655361 HII655360:HII655361 HSE655360:HSE655361 ICA655360:ICA655361 ILW655360:ILW655361 IVS655360:IVS655361 JFO655360:JFO655361 JPK655360:JPK655361 JZG655360:JZG655361 KJC655360:KJC655361 KSY655360:KSY655361 LCU655360:LCU655361 LMQ655360:LMQ655361 LWM655360:LWM655361 MGI655360:MGI655361 MQE655360:MQE655361 NAA655360:NAA655361 NJW655360:NJW655361 NTS655360:NTS655361 ODO655360:ODO655361 ONK655360:ONK655361 OXG655360:OXG655361 PHC655360:PHC655361 PQY655360:PQY655361 QAU655360:QAU655361 QKQ655360:QKQ655361 QUM655360:QUM655361 REI655360:REI655361 ROE655360:ROE655361 RYA655360:RYA655361 SHW655360:SHW655361 SRS655360:SRS655361 TBO655360:TBO655361 TLK655360:TLK655361 TVG655360:TVG655361 UFC655360:UFC655361 UOY655360:UOY655361 UYU655360:UYU655361 VIQ655360:VIQ655361 VSM655360:VSM655361 WCI655360:WCI655361 WME655360:WME655361 WWA655360:WWA655361 X720896:X720897 JO720896:JO720897 TK720896:TK720897 ADG720896:ADG720897 ANC720896:ANC720897 AWY720896:AWY720897 BGU720896:BGU720897 BQQ720896:BQQ720897 CAM720896:CAM720897 CKI720896:CKI720897 CUE720896:CUE720897 DEA720896:DEA720897 DNW720896:DNW720897 DXS720896:DXS720897 EHO720896:EHO720897 ERK720896:ERK720897 FBG720896:FBG720897 FLC720896:FLC720897 FUY720896:FUY720897 GEU720896:GEU720897 GOQ720896:GOQ720897 GYM720896:GYM720897 HII720896:HII720897 HSE720896:HSE720897 ICA720896:ICA720897 ILW720896:ILW720897 IVS720896:IVS720897 JFO720896:JFO720897 JPK720896:JPK720897 JZG720896:JZG720897 KJC720896:KJC720897 KSY720896:KSY720897 LCU720896:LCU720897 LMQ720896:LMQ720897 LWM720896:LWM720897 MGI720896:MGI720897 MQE720896:MQE720897 NAA720896:NAA720897 NJW720896:NJW720897 NTS720896:NTS720897 ODO720896:ODO720897 ONK720896:ONK720897 OXG720896:OXG720897 PHC720896:PHC720897 PQY720896:PQY720897 QAU720896:QAU720897 QKQ720896:QKQ720897 QUM720896:QUM720897 REI720896:REI720897 ROE720896:ROE720897 RYA720896:RYA720897 SHW720896:SHW720897 SRS720896:SRS720897 TBO720896:TBO720897 TLK720896:TLK720897 TVG720896:TVG720897 UFC720896:UFC720897 UOY720896:UOY720897 UYU720896:UYU720897 VIQ720896:VIQ720897 VSM720896:VSM720897 WCI720896:WCI720897 WME720896:WME720897 WWA720896:WWA720897 X786432:X786433 JO786432:JO786433 TK786432:TK786433 ADG786432:ADG786433 ANC786432:ANC786433 AWY786432:AWY786433 BGU786432:BGU786433 BQQ786432:BQQ786433 CAM786432:CAM786433 CKI786432:CKI786433 CUE786432:CUE786433 DEA786432:DEA786433 DNW786432:DNW786433 DXS786432:DXS786433 EHO786432:EHO786433 ERK786432:ERK786433 FBG786432:FBG786433 FLC786432:FLC786433 FUY786432:FUY786433 GEU786432:GEU786433 GOQ786432:GOQ786433 GYM786432:GYM786433 HII786432:HII786433 HSE786432:HSE786433 ICA786432:ICA786433 ILW786432:ILW786433 IVS786432:IVS786433 JFO786432:JFO786433 JPK786432:JPK786433 JZG786432:JZG786433 KJC786432:KJC786433 KSY786432:KSY786433 LCU786432:LCU786433 LMQ786432:LMQ786433 LWM786432:LWM786433 MGI786432:MGI786433 MQE786432:MQE786433 NAA786432:NAA786433 NJW786432:NJW786433 NTS786432:NTS786433 ODO786432:ODO786433 ONK786432:ONK786433 OXG786432:OXG786433 PHC786432:PHC786433 PQY786432:PQY786433 QAU786432:QAU786433 QKQ786432:QKQ786433 QUM786432:QUM786433 REI786432:REI786433 ROE786432:ROE786433 RYA786432:RYA786433 SHW786432:SHW786433 SRS786432:SRS786433 TBO786432:TBO786433 TLK786432:TLK786433 TVG786432:TVG786433 UFC786432:UFC786433 UOY786432:UOY786433 UYU786432:UYU786433 VIQ786432:VIQ786433 VSM786432:VSM786433 WCI786432:WCI786433 WME786432:WME786433 WWA786432:WWA786433 X851968:X851969 JO851968:JO851969 TK851968:TK851969 ADG851968:ADG851969 ANC851968:ANC851969 AWY851968:AWY851969 BGU851968:BGU851969 BQQ851968:BQQ851969 CAM851968:CAM851969 CKI851968:CKI851969 CUE851968:CUE851969 DEA851968:DEA851969 DNW851968:DNW851969 DXS851968:DXS851969 EHO851968:EHO851969 ERK851968:ERK851969 FBG851968:FBG851969 FLC851968:FLC851969 FUY851968:FUY851969 GEU851968:GEU851969 GOQ851968:GOQ851969 GYM851968:GYM851969 HII851968:HII851969 HSE851968:HSE851969 ICA851968:ICA851969 ILW851968:ILW851969 IVS851968:IVS851969 JFO851968:JFO851969 JPK851968:JPK851969 JZG851968:JZG851969 KJC851968:KJC851969 KSY851968:KSY851969 LCU851968:LCU851969 LMQ851968:LMQ851969 LWM851968:LWM851969 MGI851968:MGI851969 MQE851968:MQE851969 NAA851968:NAA851969 NJW851968:NJW851969 NTS851968:NTS851969 ODO851968:ODO851969 ONK851968:ONK851969 OXG851968:OXG851969 PHC851968:PHC851969 PQY851968:PQY851969 QAU851968:QAU851969 QKQ851968:QKQ851969 QUM851968:QUM851969 REI851968:REI851969 ROE851968:ROE851969 RYA851968:RYA851969 SHW851968:SHW851969 SRS851968:SRS851969 TBO851968:TBO851969 TLK851968:TLK851969 TVG851968:TVG851969 UFC851968:UFC851969 UOY851968:UOY851969 UYU851968:UYU851969 VIQ851968:VIQ851969 VSM851968:VSM851969 WCI851968:WCI851969 WME851968:WME851969 WWA851968:WWA851969 X917504:X917505 JO917504:JO917505 TK917504:TK917505 ADG917504:ADG917505 ANC917504:ANC917505 AWY917504:AWY917505 BGU917504:BGU917505 BQQ917504:BQQ917505 CAM917504:CAM917505 CKI917504:CKI917505 CUE917504:CUE917505 DEA917504:DEA917505 DNW917504:DNW917505 DXS917504:DXS917505 EHO917504:EHO917505 ERK917504:ERK917505 FBG917504:FBG917505 FLC917504:FLC917505 FUY917504:FUY917505 GEU917504:GEU917505 GOQ917504:GOQ917505 GYM917504:GYM917505 HII917504:HII917505 HSE917504:HSE917505 ICA917504:ICA917505 ILW917504:ILW917505 IVS917504:IVS917505 JFO917504:JFO917505 JPK917504:JPK917505 JZG917504:JZG917505 KJC917504:KJC917505 KSY917504:KSY917505 LCU917504:LCU917505 LMQ917504:LMQ917505 LWM917504:LWM917505 MGI917504:MGI917505 MQE917504:MQE917505 NAA917504:NAA917505 NJW917504:NJW917505 NTS917504:NTS917505 ODO917504:ODO917505 ONK917504:ONK917505 OXG917504:OXG917505 PHC917504:PHC917505 PQY917504:PQY917505 QAU917504:QAU917505 QKQ917504:QKQ917505 QUM917504:QUM917505 REI917504:REI917505 ROE917504:ROE917505 RYA917504:RYA917505 SHW917504:SHW917505 SRS917504:SRS917505 TBO917504:TBO917505 TLK917504:TLK917505 TVG917504:TVG917505 UFC917504:UFC917505 UOY917504:UOY917505 UYU917504:UYU917505 VIQ917504:VIQ917505 VSM917504:VSM917505 WCI917504:WCI917505 WME917504:WME917505 WWA917504:WWA917505 X983040:X983041 JO983040:JO983041 TK983040:TK983041 ADG983040:ADG983041 ANC983040:ANC983041 AWY983040:AWY983041 BGU983040:BGU983041 BQQ983040:BQQ983041 CAM983040:CAM983041 CKI983040:CKI983041 CUE983040:CUE983041 DEA983040:DEA983041 DNW983040:DNW983041 DXS983040:DXS983041 EHO983040:EHO983041 ERK983040:ERK983041 FBG983040:FBG983041 FLC983040:FLC983041 FUY983040:FUY983041 GEU983040:GEU983041 GOQ983040:GOQ983041 GYM983040:GYM983041 HII983040:HII983041 HSE983040:HSE983041 ICA983040:ICA983041 ILW983040:ILW983041 IVS983040:IVS983041 JFO983040:JFO983041 JPK983040:JPK983041 JZG983040:JZG983041 KJC983040:KJC983041 KSY983040:KSY983041 LCU983040:LCU983041 LMQ983040:LMQ983041 LWM983040:LWM983041 MGI983040:MGI983041 MQE983040:MQE983041 NAA983040:NAA983041 NJW983040:NJW983041 NTS983040:NTS983041 ODO983040:ODO983041 ONK983040:ONK983041 OXG983040:OXG983041 PHC983040:PHC983041 PQY983040:PQY983041 QAU983040:QAU983041 QKQ983040:QKQ983041 QUM983040:QUM983041 REI983040:REI983041 ROE983040:ROE983041 RYA983040:RYA983041 SHW983040:SHW983041 SRS983040:SRS983041 TBO983040:TBO983041 TLK983040:TLK983041 TVG983040:TVG983041 UFC983040:UFC983041 UOY983040:UOY983041 UYU983040:UYU983041 VIQ983040:VIQ983041 VSM983040:VSM983041 WCI983040:WCI983041 WME983040:WME983041 WWA983040:WWA983041 Z65536:Z65537 JR65536:JR65537 TN65536:TN65537 ADJ65536:ADJ65537 ANF65536:ANF65537 AXB65536:AXB65537 BGX65536:BGX65537 BQT65536:BQT65537 CAP65536:CAP65537 CKL65536:CKL65537 CUH65536:CUH65537 DED65536:DED65537 DNZ65536:DNZ65537 DXV65536:DXV65537 EHR65536:EHR65537 ERN65536:ERN65537 FBJ65536:FBJ65537 FLF65536:FLF65537 FVB65536:FVB65537 GEX65536:GEX65537 GOT65536:GOT65537 GYP65536:GYP65537 HIL65536:HIL65537 HSH65536:HSH65537 ICD65536:ICD65537 ILZ65536:ILZ65537 IVV65536:IVV65537 JFR65536:JFR65537 JPN65536:JPN65537 JZJ65536:JZJ65537 KJF65536:KJF65537 KTB65536:KTB65537 LCX65536:LCX65537 LMT65536:LMT65537 LWP65536:LWP65537 MGL65536:MGL65537 MQH65536:MQH65537 NAD65536:NAD65537 NJZ65536:NJZ65537 NTV65536:NTV65537 ODR65536:ODR65537 ONN65536:ONN65537 OXJ65536:OXJ65537 PHF65536:PHF65537 PRB65536:PRB65537 QAX65536:QAX65537 QKT65536:QKT65537 QUP65536:QUP65537 REL65536:REL65537 ROH65536:ROH65537 RYD65536:RYD65537 SHZ65536:SHZ65537 SRV65536:SRV65537 TBR65536:TBR65537 TLN65536:TLN65537 TVJ65536:TVJ65537 UFF65536:UFF65537 UPB65536:UPB65537 UYX65536:UYX65537 VIT65536:VIT65537 VSP65536:VSP65537 WCL65536:WCL65537 WMH65536:WMH65537 WWD65536:WWD65537 Z131072:Z131073 JR131072:JR131073 TN131072:TN131073 ADJ131072:ADJ131073 ANF131072:ANF131073 AXB131072:AXB131073 BGX131072:BGX131073 BQT131072:BQT131073 CAP131072:CAP131073 CKL131072:CKL131073 CUH131072:CUH131073 DED131072:DED131073 DNZ131072:DNZ131073 DXV131072:DXV131073 EHR131072:EHR131073 ERN131072:ERN131073 FBJ131072:FBJ131073 FLF131072:FLF131073 FVB131072:FVB131073 GEX131072:GEX131073 GOT131072:GOT131073 GYP131072:GYP131073 HIL131072:HIL131073 HSH131072:HSH131073 ICD131072:ICD131073 ILZ131072:ILZ131073 IVV131072:IVV131073 JFR131072:JFR131073 JPN131072:JPN131073 JZJ131072:JZJ131073 KJF131072:KJF131073 KTB131072:KTB131073 LCX131072:LCX131073 LMT131072:LMT131073 LWP131072:LWP131073 MGL131072:MGL131073 MQH131072:MQH131073 NAD131072:NAD131073 NJZ131072:NJZ131073 NTV131072:NTV131073 ODR131072:ODR131073 ONN131072:ONN131073 OXJ131072:OXJ131073 PHF131072:PHF131073 PRB131072:PRB131073 QAX131072:QAX131073 QKT131072:QKT131073 QUP131072:QUP131073 REL131072:REL131073 ROH131072:ROH131073 RYD131072:RYD131073 SHZ131072:SHZ131073 SRV131072:SRV131073 TBR131072:TBR131073 TLN131072:TLN131073 TVJ131072:TVJ131073 UFF131072:UFF131073 UPB131072:UPB131073 UYX131072:UYX131073 VIT131072:VIT131073 VSP131072:VSP131073 WCL131072:WCL131073 WMH131072:WMH131073 WWD131072:WWD131073 Z196608:Z196609 JR196608:JR196609 TN196608:TN196609 ADJ196608:ADJ196609 ANF196608:ANF196609 AXB196608:AXB196609 BGX196608:BGX196609 BQT196608:BQT196609 CAP196608:CAP196609 CKL196608:CKL196609 CUH196608:CUH196609 DED196608:DED196609 DNZ196608:DNZ196609 DXV196608:DXV196609 EHR196608:EHR196609 ERN196608:ERN196609 FBJ196608:FBJ196609 FLF196608:FLF196609 FVB196608:FVB196609 GEX196608:GEX196609 GOT196608:GOT196609 GYP196608:GYP196609 HIL196608:HIL196609 HSH196608:HSH196609 ICD196608:ICD196609 ILZ196608:ILZ196609 IVV196608:IVV196609 JFR196608:JFR196609 JPN196608:JPN196609 JZJ196608:JZJ196609 KJF196608:KJF196609 KTB196608:KTB196609 LCX196608:LCX196609 LMT196608:LMT196609 LWP196608:LWP196609 MGL196608:MGL196609 MQH196608:MQH196609 NAD196608:NAD196609 NJZ196608:NJZ196609 NTV196608:NTV196609 ODR196608:ODR196609 ONN196608:ONN196609 OXJ196608:OXJ196609 PHF196608:PHF196609 PRB196608:PRB196609 QAX196608:QAX196609 QKT196608:QKT196609 QUP196608:QUP196609 REL196608:REL196609 ROH196608:ROH196609 RYD196608:RYD196609 SHZ196608:SHZ196609 SRV196608:SRV196609 TBR196608:TBR196609 TLN196608:TLN196609 TVJ196608:TVJ196609 UFF196608:UFF196609 UPB196608:UPB196609 UYX196608:UYX196609 VIT196608:VIT196609 VSP196608:VSP196609 WCL196608:WCL196609 WMH196608:WMH196609 WWD196608:WWD196609 Z262144:Z262145 JR262144:JR262145 TN262144:TN262145 ADJ262144:ADJ262145 ANF262144:ANF262145 AXB262144:AXB262145 BGX262144:BGX262145 BQT262144:BQT262145 CAP262144:CAP262145 CKL262144:CKL262145 CUH262144:CUH262145 DED262144:DED262145 DNZ262144:DNZ262145 DXV262144:DXV262145 EHR262144:EHR262145 ERN262144:ERN262145 FBJ262144:FBJ262145 FLF262144:FLF262145 FVB262144:FVB262145 GEX262144:GEX262145 GOT262144:GOT262145 GYP262144:GYP262145 HIL262144:HIL262145 HSH262144:HSH262145 ICD262144:ICD262145 ILZ262144:ILZ262145 IVV262144:IVV262145 JFR262144:JFR262145 JPN262144:JPN262145 JZJ262144:JZJ262145 KJF262144:KJF262145 KTB262144:KTB262145 LCX262144:LCX262145 LMT262144:LMT262145 LWP262144:LWP262145 MGL262144:MGL262145 MQH262144:MQH262145 NAD262144:NAD262145 NJZ262144:NJZ262145 NTV262144:NTV262145 ODR262144:ODR262145 ONN262144:ONN262145 OXJ262144:OXJ262145 PHF262144:PHF262145 PRB262144:PRB262145 QAX262144:QAX262145 QKT262144:QKT262145 QUP262144:QUP262145 REL262144:REL262145 ROH262144:ROH262145 RYD262144:RYD262145 SHZ262144:SHZ262145 SRV262144:SRV262145 TBR262144:TBR262145 TLN262144:TLN262145 TVJ262144:TVJ262145 UFF262144:UFF262145 UPB262144:UPB262145 UYX262144:UYX262145 VIT262144:VIT262145 VSP262144:VSP262145 WCL262144:WCL262145 WMH262144:WMH262145 WWD262144:WWD262145 Z327680:Z327681 JR327680:JR327681 TN327680:TN327681 ADJ327680:ADJ327681 ANF327680:ANF327681 AXB327680:AXB327681 BGX327680:BGX327681 BQT327680:BQT327681 CAP327680:CAP327681 CKL327680:CKL327681 CUH327680:CUH327681 DED327680:DED327681 DNZ327680:DNZ327681 DXV327680:DXV327681 EHR327680:EHR327681 ERN327680:ERN327681 FBJ327680:FBJ327681 FLF327680:FLF327681 FVB327680:FVB327681 GEX327680:GEX327681 GOT327680:GOT327681 GYP327680:GYP327681 HIL327680:HIL327681 HSH327680:HSH327681 ICD327680:ICD327681 ILZ327680:ILZ327681 IVV327680:IVV327681 JFR327680:JFR327681 JPN327680:JPN327681 JZJ327680:JZJ327681 KJF327680:KJF327681 KTB327680:KTB327681 LCX327680:LCX327681 LMT327680:LMT327681 LWP327680:LWP327681 MGL327680:MGL327681 MQH327680:MQH327681 NAD327680:NAD327681 NJZ327680:NJZ327681 NTV327680:NTV327681 ODR327680:ODR327681 ONN327680:ONN327681 OXJ327680:OXJ327681 PHF327680:PHF327681 PRB327680:PRB327681 QAX327680:QAX327681 QKT327680:QKT327681 QUP327680:QUP327681 REL327680:REL327681 ROH327680:ROH327681 RYD327680:RYD327681 SHZ327680:SHZ327681 SRV327680:SRV327681 TBR327680:TBR327681 TLN327680:TLN327681 TVJ327680:TVJ327681 UFF327680:UFF327681 UPB327680:UPB327681 UYX327680:UYX327681 VIT327680:VIT327681 VSP327680:VSP327681 WCL327680:WCL327681 WMH327680:WMH327681 WWD327680:WWD327681 Z393216:Z393217 JR393216:JR393217 TN393216:TN393217 ADJ393216:ADJ393217 ANF393216:ANF393217 AXB393216:AXB393217 BGX393216:BGX393217 BQT393216:BQT393217 CAP393216:CAP393217 CKL393216:CKL393217 CUH393216:CUH393217 DED393216:DED393217 DNZ393216:DNZ393217 DXV393216:DXV393217 EHR393216:EHR393217 ERN393216:ERN393217 FBJ393216:FBJ393217 FLF393216:FLF393217 FVB393216:FVB393217 GEX393216:GEX393217 GOT393216:GOT393217 GYP393216:GYP393217 HIL393216:HIL393217 HSH393216:HSH393217 ICD393216:ICD393217 ILZ393216:ILZ393217 IVV393216:IVV393217 JFR393216:JFR393217 JPN393216:JPN393217 JZJ393216:JZJ393217 KJF393216:KJF393217 KTB393216:KTB393217 LCX393216:LCX393217 LMT393216:LMT393217 LWP393216:LWP393217 MGL393216:MGL393217 MQH393216:MQH393217 NAD393216:NAD393217 NJZ393216:NJZ393217 NTV393216:NTV393217 ODR393216:ODR393217 ONN393216:ONN393217 OXJ393216:OXJ393217 PHF393216:PHF393217 PRB393216:PRB393217 QAX393216:QAX393217 QKT393216:QKT393217 QUP393216:QUP393217 REL393216:REL393217 ROH393216:ROH393217 RYD393216:RYD393217 SHZ393216:SHZ393217 SRV393216:SRV393217 TBR393216:TBR393217 TLN393216:TLN393217 TVJ393216:TVJ393217 UFF393216:UFF393217 UPB393216:UPB393217 UYX393216:UYX393217 VIT393216:VIT393217 VSP393216:VSP393217 WCL393216:WCL393217 WMH393216:WMH393217 WWD393216:WWD393217 Z458752:Z458753 JR458752:JR458753 TN458752:TN458753 ADJ458752:ADJ458753 ANF458752:ANF458753 AXB458752:AXB458753 BGX458752:BGX458753 BQT458752:BQT458753 CAP458752:CAP458753 CKL458752:CKL458753 CUH458752:CUH458753 DED458752:DED458753 DNZ458752:DNZ458753 DXV458752:DXV458753 EHR458752:EHR458753 ERN458752:ERN458753 FBJ458752:FBJ458753 FLF458752:FLF458753 FVB458752:FVB458753 GEX458752:GEX458753 GOT458752:GOT458753 GYP458752:GYP458753 HIL458752:HIL458753 HSH458752:HSH458753 ICD458752:ICD458753 ILZ458752:ILZ458753 IVV458752:IVV458753 JFR458752:JFR458753 JPN458752:JPN458753 JZJ458752:JZJ458753 KJF458752:KJF458753 KTB458752:KTB458753 LCX458752:LCX458753 LMT458752:LMT458753 LWP458752:LWP458753 MGL458752:MGL458753 MQH458752:MQH458753 NAD458752:NAD458753 NJZ458752:NJZ458753 NTV458752:NTV458753 ODR458752:ODR458753 ONN458752:ONN458753 OXJ458752:OXJ458753 PHF458752:PHF458753 PRB458752:PRB458753 QAX458752:QAX458753 QKT458752:QKT458753 QUP458752:QUP458753 REL458752:REL458753 ROH458752:ROH458753 RYD458752:RYD458753 SHZ458752:SHZ458753 SRV458752:SRV458753 TBR458752:TBR458753 TLN458752:TLN458753 TVJ458752:TVJ458753 UFF458752:UFF458753 UPB458752:UPB458753 UYX458752:UYX458753 VIT458752:VIT458753 VSP458752:VSP458753 WCL458752:WCL458753 WMH458752:WMH458753 WWD458752:WWD458753 Z524288:Z524289 JR524288:JR524289 TN524288:TN524289 ADJ524288:ADJ524289 ANF524288:ANF524289 AXB524288:AXB524289 BGX524288:BGX524289 BQT524288:BQT524289 CAP524288:CAP524289 CKL524288:CKL524289 CUH524288:CUH524289 DED524288:DED524289 DNZ524288:DNZ524289 DXV524288:DXV524289 EHR524288:EHR524289 ERN524288:ERN524289 FBJ524288:FBJ524289 FLF524288:FLF524289 FVB524288:FVB524289 GEX524288:GEX524289 GOT524288:GOT524289 GYP524288:GYP524289 HIL524288:HIL524289 HSH524288:HSH524289 ICD524288:ICD524289 ILZ524288:ILZ524289 IVV524288:IVV524289 JFR524288:JFR524289 JPN524288:JPN524289 JZJ524288:JZJ524289 KJF524288:KJF524289 KTB524288:KTB524289 LCX524288:LCX524289 LMT524288:LMT524289 LWP524288:LWP524289 MGL524288:MGL524289 MQH524288:MQH524289 NAD524288:NAD524289 NJZ524288:NJZ524289 NTV524288:NTV524289 ODR524288:ODR524289 ONN524288:ONN524289 OXJ524288:OXJ524289 PHF524288:PHF524289 PRB524288:PRB524289 QAX524288:QAX524289 QKT524288:QKT524289 QUP524288:QUP524289 REL524288:REL524289 ROH524288:ROH524289 RYD524288:RYD524289 SHZ524288:SHZ524289 SRV524288:SRV524289 TBR524288:TBR524289 TLN524288:TLN524289 TVJ524288:TVJ524289 UFF524288:UFF524289 UPB524288:UPB524289 UYX524288:UYX524289 VIT524288:VIT524289 VSP524288:VSP524289 WCL524288:WCL524289 WMH524288:WMH524289 WWD524288:WWD524289 Z589824:Z589825 JR589824:JR589825 TN589824:TN589825 ADJ589824:ADJ589825 ANF589824:ANF589825 AXB589824:AXB589825 BGX589824:BGX589825 BQT589824:BQT589825 CAP589824:CAP589825 CKL589824:CKL589825 CUH589824:CUH589825 DED589824:DED589825 DNZ589824:DNZ589825 DXV589824:DXV589825 EHR589824:EHR589825 ERN589824:ERN589825 FBJ589824:FBJ589825 FLF589824:FLF589825 FVB589824:FVB589825 GEX589824:GEX589825 GOT589824:GOT589825 GYP589824:GYP589825 HIL589824:HIL589825 HSH589824:HSH589825 ICD589824:ICD589825 ILZ589824:ILZ589825 IVV589824:IVV589825 JFR589824:JFR589825 JPN589824:JPN589825 JZJ589824:JZJ589825 KJF589824:KJF589825 KTB589824:KTB589825 LCX589824:LCX589825 LMT589824:LMT589825 LWP589824:LWP589825 MGL589824:MGL589825 MQH589824:MQH589825 NAD589824:NAD589825 NJZ589824:NJZ589825 NTV589824:NTV589825 ODR589824:ODR589825 ONN589824:ONN589825 OXJ589824:OXJ589825 PHF589824:PHF589825 PRB589824:PRB589825 QAX589824:QAX589825 QKT589824:QKT589825 QUP589824:QUP589825 REL589824:REL589825 ROH589824:ROH589825 RYD589824:RYD589825 SHZ589824:SHZ589825 SRV589824:SRV589825 TBR589824:TBR589825 TLN589824:TLN589825 TVJ589824:TVJ589825 UFF589824:UFF589825 UPB589824:UPB589825 UYX589824:UYX589825 VIT589824:VIT589825 VSP589824:VSP589825 WCL589824:WCL589825 WMH589824:WMH589825 WWD589824:WWD589825 Z655360:Z655361 JR655360:JR655361 TN655360:TN655361 ADJ655360:ADJ655361 ANF655360:ANF655361 AXB655360:AXB655361 BGX655360:BGX655361 BQT655360:BQT655361 CAP655360:CAP655361 CKL655360:CKL655361 CUH655360:CUH655361 DED655360:DED655361 DNZ655360:DNZ655361 DXV655360:DXV655361 EHR655360:EHR655361 ERN655360:ERN655361 FBJ655360:FBJ655361 FLF655360:FLF655361 FVB655360:FVB655361 GEX655360:GEX655361 GOT655360:GOT655361 GYP655360:GYP655361 HIL655360:HIL655361 HSH655360:HSH655361 ICD655360:ICD655361 ILZ655360:ILZ655361 IVV655360:IVV655361 JFR655360:JFR655361 JPN655360:JPN655361 JZJ655360:JZJ655361 KJF655360:KJF655361 KTB655360:KTB655361 LCX655360:LCX655361 LMT655360:LMT655361 LWP655360:LWP655361 MGL655360:MGL655361 MQH655360:MQH655361 NAD655360:NAD655361 NJZ655360:NJZ655361 NTV655360:NTV655361 ODR655360:ODR655361 ONN655360:ONN655361 OXJ655360:OXJ655361 PHF655360:PHF655361 PRB655360:PRB655361 QAX655360:QAX655361 QKT655360:QKT655361 QUP655360:QUP655361 REL655360:REL655361 ROH655360:ROH655361 RYD655360:RYD655361 SHZ655360:SHZ655361 SRV655360:SRV655361 TBR655360:TBR655361 TLN655360:TLN655361 TVJ655360:TVJ655361 UFF655360:UFF655361 UPB655360:UPB655361 UYX655360:UYX655361 VIT655360:VIT655361 VSP655360:VSP655361 WCL655360:WCL655361 WMH655360:WMH655361 WWD655360:WWD655361 Z720896:Z720897 JR720896:JR720897 TN720896:TN720897 ADJ720896:ADJ720897 ANF720896:ANF720897 AXB720896:AXB720897 BGX720896:BGX720897 BQT720896:BQT720897 CAP720896:CAP720897 CKL720896:CKL720897 CUH720896:CUH720897 DED720896:DED720897 DNZ720896:DNZ720897 DXV720896:DXV720897 EHR720896:EHR720897 ERN720896:ERN720897 FBJ720896:FBJ720897 FLF720896:FLF720897 FVB720896:FVB720897 GEX720896:GEX720897 GOT720896:GOT720897 GYP720896:GYP720897 HIL720896:HIL720897 HSH720896:HSH720897 ICD720896:ICD720897 ILZ720896:ILZ720897 IVV720896:IVV720897 JFR720896:JFR720897 JPN720896:JPN720897 JZJ720896:JZJ720897 KJF720896:KJF720897 KTB720896:KTB720897 LCX720896:LCX720897 LMT720896:LMT720897 LWP720896:LWP720897 MGL720896:MGL720897 MQH720896:MQH720897 NAD720896:NAD720897 NJZ720896:NJZ720897 NTV720896:NTV720897 ODR720896:ODR720897 ONN720896:ONN720897 OXJ720896:OXJ720897 PHF720896:PHF720897 PRB720896:PRB720897 QAX720896:QAX720897 QKT720896:QKT720897 QUP720896:QUP720897 REL720896:REL720897 ROH720896:ROH720897 RYD720896:RYD720897 SHZ720896:SHZ720897 SRV720896:SRV720897 TBR720896:TBR720897 TLN720896:TLN720897 TVJ720896:TVJ720897 UFF720896:UFF720897 UPB720896:UPB720897 UYX720896:UYX720897 VIT720896:VIT720897 VSP720896:VSP720897 WCL720896:WCL720897 WMH720896:WMH720897 WWD720896:WWD720897 Z786432:Z786433 JR786432:JR786433 TN786432:TN786433 ADJ786432:ADJ786433 ANF786432:ANF786433 AXB786432:AXB786433 BGX786432:BGX786433 BQT786432:BQT786433 CAP786432:CAP786433 CKL786432:CKL786433 CUH786432:CUH786433 DED786432:DED786433 DNZ786432:DNZ786433 DXV786432:DXV786433 EHR786432:EHR786433 ERN786432:ERN786433 FBJ786432:FBJ786433 FLF786432:FLF786433 FVB786432:FVB786433 GEX786432:GEX786433 GOT786432:GOT786433 GYP786432:GYP786433 HIL786432:HIL786433 HSH786432:HSH786433 ICD786432:ICD786433 ILZ786432:ILZ786433 IVV786432:IVV786433 JFR786432:JFR786433 JPN786432:JPN786433 JZJ786432:JZJ786433 KJF786432:KJF786433 KTB786432:KTB786433 LCX786432:LCX786433 LMT786432:LMT786433 LWP786432:LWP786433 MGL786432:MGL786433 MQH786432:MQH786433 NAD786432:NAD786433 NJZ786432:NJZ786433 NTV786432:NTV786433 ODR786432:ODR786433 ONN786432:ONN786433 OXJ786432:OXJ786433 PHF786432:PHF786433 PRB786432:PRB786433 QAX786432:QAX786433 QKT786432:QKT786433 QUP786432:QUP786433 REL786432:REL786433 ROH786432:ROH786433 RYD786432:RYD786433 SHZ786432:SHZ786433 SRV786432:SRV786433 TBR786432:TBR786433 TLN786432:TLN786433 TVJ786432:TVJ786433 UFF786432:UFF786433 UPB786432:UPB786433 UYX786432:UYX786433 VIT786432:VIT786433 VSP786432:VSP786433 WCL786432:WCL786433 WMH786432:WMH786433 WWD786432:WWD786433 Z851968:Z851969 JR851968:JR851969 TN851968:TN851969 ADJ851968:ADJ851969 ANF851968:ANF851969 AXB851968:AXB851969 BGX851968:BGX851969 BQT851968:BQT851969 CAP851968:CAP851969 CKL851968:CKL851969 CUH851968:CUH851969 DED851968:DED851969 DNZ851968:DNZ851969 DXV851968:DXV851969 EHR851968:EHR851969 ERN851968:ERN851969 FBJ851968:FBJ851969 FLF851968:FLF851969 FVB851968:FVB851969 GEX851968:GEX851969 GOT851968:GOT851969 GYP851968:GYP851969 HIL851968:HIL851969 HSH851968:HSH851969 ICD851968:ICD851969 ILZ851968:ILZ851969 IVV851968:IVV851969 JFR851968:JFR851969 JPN851968:JPN851969 JZJ851968:JZJ851969 KJF851968:KJF851969 KTB851968:KTB851969 LCX851968:LCX851969 LMT851968:LMT851969 LWP851968:LWP851969 MGL851968:MGL851969 MQH851968:MQH851969 NAD851968:NAD851969 NJZ851968:NJZ851969 NTV851968:NTV851969 ODR851968:ODR851969 ONN851968:ONN851969 OXJ851968:OXJ851969 PHF851968:PHF851969 PRB851968:PRB851969 QAX851968:QAX851969 QKT851968:QKT851969 QUP851968:QUP851969 REL851968:REL851969 ROH851968:ROH851969 RYD851968:RYD851969 SHZ851968:SHZ851969 SRV851968:SRV851969 TBR851968:TBR851969 TLN851968:TLN851969 TVJ851968:TVJ851969 UFF851968:UFF851969 UPB851968:UPB851969 UYX851968:UYX851969 VIT851968:VIT851969 VSP851968:VSP851969 WCL851968:WCL851969 WMH851968:WMH851969 WWD851968:WWD851969 Z917504:Z917505 JR917504:JR917505 TN917504:TN917505 ADJ917504:ADJ917505 ANF917504:ANF917505 AXB917504:AXB917505 BGX917504:BGX917505 BQT917504:BQT917505 CAP917504:CAP917505 CKL917504:CKL917505 CUH917504:CUH917505 DED917504:DED917505 DNZ917504:DNZ917505 DXV917504:DXV917505 EHR917504:EHR917505 ERN917504:ERN917505 FBJ917504:FBJ917505 FLF917504:FLF917505 FVB917504:FVB917505 GEX917504:GEX917505 GOT917504:GOT917505 GYP917504:GYP917505 HIL917504:HIL917505 HSH917504:HSH917505 ICD917504:ICD917505 ILZ917504:ILZ917505 IVV917504:IVV917505 JFR917504:JFR917505 JPN917504:JPN917505 JZJ917504:JZJ917505 KJF917504:KJF917505 KTB917504:KTB917505 LCX917504:LCX917505 LMT917504:LMT917505 LWP917504:LWP917505 MGL917504:MGL917505 MQH917504:MQH917505 NAD917504:NAD917505 NJZ917504:NJZ917505 NTV917504:NTV917505 ODR917504:ODR917505 ONN917504:ONN917505 OXJ917504:OXJ917505 PHF917504:PHF917505 PRB917504:PRB917505 QAX917504:QAX917505 QKT917504:QKT917505 QUP917504:QUP917505 REL917504:REL917505 ROH917504:ROH917505 RYD917504:RYD917505 SHZ917504:SHZ917505 SRV917504:SRV917505 TBR917504:TBR917505 TLN917504:TLN917505 TVJ917504:TVJ917505 UFF917504:UFF917505 UPB917504:UPB917505 UYX917504:UYX917505 VIT917504:VIT917505 VSP917504:VSP917505 WCL917504:WCL917505 WMH917504:WMH917505 WWD917504:WWD917505 Z983040:Z983041 JR983040:JR983041 TN983040:TN983041 ADJ983040:ADJ983041 ANF983040:ANF983041 AXB983040:AXB983041 BGX983040:BGX983041 BQT983040:BQT983041 CAP983040:CAP983041 CKL983040:CKL983041 CUH983040:CUH983041 DED983040:DED983041 DNZ983040:DNZ983041 DXV983040:DXV983041 EHR983040:EHR983041 ERN983040:ERN983041 FBJ983040:FBJ983041 FLF983040:FLF983041 FVB983040:FVB983041 GEX983040:GEX983041 GOT983040:GOT983041 GYP983040:GYP983041 HIL983040:HIL983041 HSH983040:HSH983041 ICD983040:ICD983041 ILZ983040:ILZ983041 IVV983040:IVV983041 JFR983040:JFR983041 JPN983040:JPN983041 JZJ983040:JZJ983041 KJF983040:KJF983041 KTB983040:KTB983041 LCX983040:LCX983041 LMT983040:LMT983041 LWP983040:LWP983041 MGL983040:MGL983041 MQH983040:MQH983041 NAD983040:NAD983041 NJZ983040:NJZ983041 NTV983040:NTV983041 ODR983040:ODR983041 ONN983040:ONN983041 OXJ983040:OXJ983041 PHF983040:PHF983041 PRB983040:PRB983041 QAX983040:QAX983041 QKT983040:QKT983041 QUP983040:QUP983041 REL983040:REL983041 ROH983040:ROH983041 RYD983040:RYD983041 SHZ983040:SHZ983041 SRV983040:SRV983041 TBR983040:TBR983041 TLN983040:TLN983041 TVJ983040:TVJ983041 UFF983040:UFF983041 UPB983040:UPB983041 UYX983040:UYX983041 VIT983040:VIT983041 VSP983040:VSP983041 WCL983040:WCL983041 WMH983040:WMH983041 WWD983040:WWD983041 AB65536:AB65537 JU65536:JU65537 TQ65536:TQ65537 ADM65536:ADM65537 ANI65536:ANI65537 AXE65536:AXE65537 BHA65536:BHA65537 BQW65536:BQW65537 CAS65536:CAS65537 CKO65536:CKO65537 CUK65536:CUK65537 DEG65536:DEG65537 DOC65536:DOC65537 DXY65536:DXY65537 EHU65536:EHU65537 ERQ65536:ERQ65537 FBM65536:FBM65537 FLI65536:FLI65537 FVE65536:FVE65537 GFA65536:GFA65537 GOW65536:GOW65537 GYS65536:GYS65537 HIO65536:HIO65537 HSK65536:HSK65537 ICG65536:ICG65537 IMC65536:IMC65537 IVY65536:IVY65537 JFU65536:JFU65537 JPQ65536:JPQ65537 JZM65536:JZM65537 KJI65536:KJI65537 KTE65536:KTE65537 LDA65536:LDA65537 LMW65536:LMW65537 LWS65536:LWS65537 MGO65536:MGO65537 MQK65536:MQK65537 NAG65536:NAG65537 NKC65536:NKC65537 NTY65536:NTY65537 ODU65536:ODU65537 ONQ65536:ONQ65537 OXM65536:OXM65537 PHI65536:PHI65537 PRE65536:PRE65537 QBA65536:QBA65537 QKW65536:QKW65537 QUS65536:QUS65537 REO65536:REO65537 ROK65536:ROK65537 RYG65536:RYG65537 SIC65536:SIC65537 SRY65536:SRY65537 TBU65536:TBU65537 TLQ65536:TLQ65537 TVM65536:TVM65537 UFI65536:UFI65537 UPE65536:UPE65537 UZA65536:UZA65537 VIW65536:VIW65537 VSS65536:VSS65537 WCO65536:WCO65537 WMK65536:WMK65537 WWG65536:WWG65537 AB131072:AB131073 JU131072:JU131073 TQ131072:TQ131073 ADM131072:ADM131073 ANI131072:ANI131073 AXE131072:AXE131073 BHA131072:BHA131073 BQW131072:BQW131073 CAS131072:CAS131073 CKO131072:CKO131073 CUK131072:CUK131073 DEG131072:DEG131073 DOC131072:DOC131073 DXY131072:DXY131073 EHU131072:EHU131073 ERQ131072:ERQ131073 FBM131072:FBM131073 FLI131072:FLI131073 FVE131072:FVE131073 GFA131072:GFA131073 GOW131072:GOW131073 GYS131072:GYS131073 HIO131072:HIO131073 HSK131072:HSK131073 ICG131072:ICG131073 IMC131072:IMC131073 IVY131072:IVY131073 JFU131072:JFU131073 JPQ131072:JPQ131073 JZM131072:JZM131073 KJI131072:KJI131073 KTE131072:KTE131073 LDA131072:LDA131073 LMW131072:LMW131073 LWS131072:LWS131073 MGO131072:MGO131073 MQK131072:MQK131073 NAG131072:NAG131073 NKC131072:NKC131073 NTY131072:NTY131073 ODU131072:ODU131073 ONQ131072:ONQ131073 OXM131072:OXM131073 PHI131072:PHI131073 PRE131072:PRE131073 QBA131072:QBA131073 QKW131072:QKW131073 QUS131072:QUS131073 REO131072:REO131073 ROK131072:ROK131073 RYG131072:RYG131073 SIC131072:SIC131073 SRY131072:SRY131073 TBU131072:TBU131073 TLQ131072:TLQ131073 TVM131072:TVM131073 UFI131072:UFI131073 UPE131072:UPE131073 UZA131072:UZA131073 VIW131072:VIW131073 VSS131072:VSS131073 WCO131072:WCO131073 WMK131072:WMK131073 WWG131072:WWG131073 AB196608:AB196609 JU196608:JU196609 TQ196608:TQ196609 ADM196608:ADM196609 ANI196608:ANI196609 AXE196608:AXE196609 BHA196608:BHA196609 BQW196608:BQW196609 CAS196608:CAS196609 CKO196608:CKO196609 CUK196608:CUK196609 DEG196608:DEG196609 DOC196608:DOC196609 DXY196608:DXY196609 EHU196608:EHU196609 ERQ196608:ERQ196609 FBM196608:FBM196609 FLI196608:FLI196609 FVE196608:FVE196609 GFA196608:GFA196609 GOW196608:GOW196609 GYS196608:GYS196609 HIO196608:HIO196609 HSK196608:HSK196609 ICG196608:ICG196609 IMC196608:IMC196609 IVY196608:IVY196609 JFU196608:JFU196609 JPQ196608:JPQ196609 JZM196608:JZM196609 KJI196608:KJI196609 KTE196608:KTE196609 LDA196608:LDA196609 LMW196608:LMW196609 LWS196608:LWS196609 MGO196608:MGO196609 MQK196608:MQK196609 NAG196608:NAG196609 NKC196608:NKC196609 NTY196608:NTY196609 ODU196608:ODU196609 ONQ196608:ONQ196609 OXM196608:OXM196609 PHI196608:PHI196609 PRE196608:PRE196609 QBA196608:QBA196609 QKW196608:QKW196609 QUS196608:QUS196609 REO196608:REO196609 ROK196608:ROK196609 RYG196608:RYG196609 SIC196608:SIC196609 SRY196608:SRY196609 TBU196608:TBU196609 TLQ196608:TLQ196609 TVM196608:TVM196609 UFI196608:UFI196609 UPE196608:UPE196609 UZA196608:UZA196609 VIW196608:VIW196609 VSS196608:VSS196609 WCO196608:WCO196609 WMK196608:WMK196609 WWG196608:WWG196609 AB262144:AB262145 JU262144:JU262145 TQ262144:TQ262145 ADM262144:ADM262145 ANI262144:ANI262145 AXE262144:AXE262145 BHA262144:BHA262145 BQW262144:BQW262145 CAS262144:CAS262145 CKO262144:CKO262145 CUK262144:CUK262145 DEG262144:DEG262145 DOC262144:DOC262145 DXY262144:DXY262145 EHU262144:EHU262145 ERQ262144:ERQ262145 FBM262144:FBM262145 FLI262144:FLI262145 FVE262144:FVE262145 GFA262144:GFA262145 GOW262144:GOW262145 GYS262144:GYS262145 HIO262144:HIO262145 HSK262144:HSK262145 ICG262144:ICG262145 IMC262144:IMC262145 IVY262144:IVY262145 JFU262144:JFU262145 JPQ262144:JPQ262145 JZM262144:JZM262145 KJI262144:KJI262145 KTE262144:KTE262145 LDA262144:LDA262145 LMW262144:LMW262145 LWS262144:LWS262145 MGO262144:MGO262145 MQK262144:MQK262145 NAG262144:NAG262145 NKC262144:NKC262145 NTY262144:NTY262145 ODU262144:ODU262145 ONQ262144:ONQ262145 OXM262144:OXM262145 PHI262144:PHI262145 PRE262144:PRE262145 QBA262144:QBA262145 QKW262144:QKW262145 QUS262144:QUS262145 REO262144:REO262145 ROK262144:ROK262145 RYG262144:RYG262145 SIC262144:SIC262145 SRY262144:SRY262145 TBU262144:TBU262145 TLQ262144:TLQ262145 TVM262144:TVM262145 UFI262144:UFI262145 UPE262144:UPE262145 UZA262144:UZA262145 VIW262144:VIW262145 VSS262144:VSS262145 WCO262144:WCO262145 WMK262144:WMK262145 WWG262144:WWG262145 AB327680:AB327681 JU327680:JU327681 TQ327680:TQ327681 ADM327680:ADM327681 ANI327680:ANI327681 AXE327680:AXE327681 BHA327680:BHA327681 BQW327680:BQW327681 CAS327680:CAS327681 CKO327680:CKO327681 CUK327680:CUK327681 DEG327680:DEG327681 DOC327680:DOC327681 DXY327680:DXY327681 EHU327680:EHU327681 ERQ327680:ERQ327681 FBM327680:FBM327681 FLI327680:FLI327681 FVE327680:FVE327681 GFA327680:GFA327681 GOW327680:GOW327681 GYS327680:GYS327681 HIO327680:HIO327681 HSK327680:HSK327681 ICG327680:ICG327681 IMC327680:IMC327681 IVY327680:IVY327681 JFU327680:JFU327681 JPQ327680:JPQ327681 JZM327680:JZM327681 KJI327680:KJI327681 KTE327680:KTE327681 LDA327680:LDA327681 LMW327680:LMW327681 LWS327680:LWS327681 MGO327680:MGO327681 MQK327680:MQK327681 NAG327680:NAG327681 NKC327680:NKC327681 NTY327680:NTY327681 ODU327680:ODU327681 ONQ327680:ONQ327681 OXM327680:OXM327681 PHI327680:PHI327681 PRE327680:PRE327681 QBA327680:QBA327681 QKW327680:QKW327681 QUS327680:QUS327681 REO327680:REO327681 ROK327680:ROK327681 RYG327680:RYG327681 SIC327680:SIC327681 SRY327680:SRY327681 TBU327680:TBU327681 TLQ327680:TLQ327681 TVM327680:TVM327681 UFI327680:UFI327681 UPE327680:UPE327681 UZA327680:UZA327681 VIW327680:VIW327681 VSS327680:VSS327681 WCO327680:WCO327681 WMK327680:WMK327681 WWG327680:WWG327681 AB393216:AB393217 JU393216:JU393217 TQ393216:TQ393217 ADM393216:ADM393217 ANI393216:ANI393217 AXE393216:AXE393217 BHA393216:BHA393217 BQW393216:BQW393217 CAS393216:CAS393217 CKO393216:CKO393217 CUK393216:CUK393217 DEG393216:DEG393217 DOC393216:DOC393217 DXY393216:DXY393217 EHU393216:EHU393217 ERQ393216:ERQ393217 FBM393216:FBM393217 FLI393216:FLI393217 FVE393216:FVE393217 GFA393216:GFA393217 GOW393216:GOW393217 GYS393216:GYS393217 HIO393216:HIO393217 HSK393216:HSK393217 ICG393216:ICG393217 IMC393216:IMC393217 IVY393216:IVY393217 JFU393216:JFU393217 JPQ393216:JPQ393217 JZM393216:JZM393217 KJI393216:KJI393217 KTE393216:KTE393217 LDA393216:LDA393217 LMW393216:LMW393217 LWS393216:LWS393217 MGO393216:MGO393217 MQK393216:MQK393217 NAG393216:NAG393217 NKC393216:NKC393217 NTY393216:NTY393217 ODU393216:ODU393217 ONQ393216:ONQ393217 OXM393216:OXM393217 PHI393216:PHI393217 PRE393216:PRE393217 QBA393216:QBA393217 QKW393216:QKW393217 QUS393216:QUS393217 REO393216:REO393217 ROK393216:ROK393217 RYG393216:RYG393217 SIC393216:SIC393217 SRY393216:SRY393217 TBU393216:TBU393217 TLQ393216:TLQ393217 TVM393216:TVM393217 UFI393216:UFI393217 UPE393216:UPE393217 UZA393216:UZA393217 VIW393216:VIW393217 VSS393216:VSS393217 WCO393216:WCO393217 WMK393216:WMK393217 WWG393216:WWG393217 AB458752:AB458753 JU458752:JU458753 TQ458752:TQ458753 ADM458752:ADM458753 ANI458752:ANI458753 AXE458752:AXE458753 BHA458752:BHA458753 BQW458752:BQW458753 CAS458752:CAS458753 CKO458752:CKO458753 CUK458752:CUK458753 DEG458752:DEG458753 DOC458752:DOC458753 DXY458752:DXY458753 EHU458752:EHU458753 ERQ458752:ERQ458753 FBM458752:FBM458753 FLI458752:FLI458753 FVE458752:FVE458753 GFA458752:GFA458753 GOW458752:GOW458753 GYS458752:GYS458753 HIO458752:HIO458753 HSK458752:HSK458753 ICG458752:ICG458753 IMC458752:IMC458753 IVY458752:IVY458753 JFU458752:JFU458753 JPQ458752:JPQ458753 JZM458752:JZM458753 KJI458752:KJI458753 KTE458752:KTE458753 LDA458752:LDA458753 LMW458752:LMW458753 LWS458752:LWS458753 MGO458752:MGO458753 MQK458752:MQK458753 NAG458752:NAG458753 NKC458752:NKC458753 NTY458752:NTY458753 ODU458752:ODU458753 ONQ458752:ONQ458753 OXM458752:OXM458753 PHI458752:PHI458753 PRE458752:PRE458753 QBA458752:QBA458753 QKW458752:QKW458753 QUS458752:QUS458753 REO458752:REO458753 ROK458752:ROK458753 RYG458752:RYG458753 SIC458752:SIC458753 SRY458752:SRY458753 TBU458752:TBU458753 TLQ458752:TLQ458753 TVM458752:TVM458753 UFI458752:UFI458753 UPE458752:UPE458753 UZA458752:UZA458753 VIW458752:VIW458753 VSS458752:VSS458753 WCO458752:WCO458753 WMK458752:WMK458753 WWG458752:WWG458753 AB524288:AB524289 JU524288:JU524289 TQ524288:TQ524289 ADM524288:ADM524289 ANI524288:ANI524289 AXE524288:AXE524289 BHA524288:BHA524289 BQW524288:BQW524289 CAS524288:CAS524289 CKO524288:CKO524289 CUK524288:CUK524289 DEG524288:DEG524289 DOC524288:DOC524289 DXY524288:DXY524289 EHU524288:EHU524289 ERQ524288:ERQ524289 FBM524288:FBM524289 FLI524288:FLI524289 FVE524288:FVE524289 GFA524288:GFA524289 GOW524288:GOW524289 GYS524288:GYS524289 HIO524288:HIO524289 HSK524288:HSK524289 ICG524288:ICG524289 IMC524288:IMC524289 IVY524288:IVY524289 JFU524288:JFU524289 JPQ524288:JPQ524289 JZM524288:JZM524289 KJI524288:KJI524289 KTE524288:KTE524289 LDA524288:LDA524289 LMW524288:LMW524289 LWS524288:LWS524289 MGO524288:MGO524289 MQK524288:MQK524289 NAG524288:NAG524289 NKC524288:NKC524289 NTY524288:NTY524289 ODU524288:ODU524289 ONQ524288:ONQ524289 OXM524288:OXM524289 PHI524288:PHI524289 PRE524288:PRE524289 QBA524288:QBA524289 QKW524288:QKW524289 QUS524288:QUS524289 REO524288:REO524289 ROK524288:ROK524289 RYG524288:RYG524289 SIC524288:SIC524289 SRY524288:SRY524289 TBU524288:TBU524289 TLQ524288:TLQ524289 TVM524288:TVM524289 UFI524288:UFI524289 UPE524288:UPE524289 UZA524288:UZA524289 VIW524288:VIW524289 VSS524288:VSS524289 WCO524288:WCO524289 WMK524288:WMK524289 WWG524288:WWG524289 AB589824:AB589825 JU589824:JU589825 TQ589824:TQ589825 ADM589824:ADM589825 ANI589824:ANI589825 AXE589824:AXE589825 BHA589824:BHA589825 BQW589824:BQW589825 CAS589824:CAS589825 CKO589824:CKO589825 CUK589824:CUK589825 DEG589824:DEG589825 DOC589824:DOC589825 DXY589824:DXY589825 EHU589824:EHU589825 ERQ589824:ERQ589825 FBM589824:FBM589825 FLI589824:FLI589825 FVE589824:FVE589825 GFA589824:GFA589825 GOW589824:GOW589825 GYS589824:GYS589825 HIO589824:HIO589825 HSK589824:HSK589825 ICG589824:ICG589825 IMC589824:IMC589825 IVY589824:IVY589825 JFU589824:JFU589825 JPQ589824:JPQ589825 JZM589824:JZM589825 KJI589824:KJI589825 KTE589824:KTE589825 LDA589824:LDA589825 LMW589824:LMW589825 LWS589824:LWS589825 MGO589824:MGO589825 MQK589824:MQK589825 NAG589824:NAG589825 NKC589824:NKC589825 NTY589824:NTY589825 ODU589824:ODU589825 ONQ589824:ONQ589825 OXM589824:OXM589825 PHI589824:PHI589825 PRE589824:PRE589825 QBA589824:QBA589825 QKW589824:QKW589825 QUS589824:QUS589825 REO589824:REO589825 ROK589824:ROK589825 RYG589824:RYG589825 SIC589824:SIC589825 SRY589824:SRY589825 TBU589824:TBU589825 TLQ589824:TLQ589825 TVM589824:TVM589825 UFI589824:UFI589825 UPE589824:UPE589825 UZA589824:UZA589825 VIW589824:VIW589825 VSS589824:VSS589825 WCO589824:WCO589825 WMK589824:WMK589825 WWG589824:WWG589825 AB655360:AB655361 JU655360:JU655361 TQ655360:TQ655361 ADM655360:ADM655361 ANI655360:ANI655361 AXE655360:AXE655361 BHA655360:BHA655361 BQW655360:BQW655361 CAS655360:CAS655361 CKO655360:CKO655361 CUK655360:CUK655361 DEG655360:DEG655361 DOC655360:DOC655361 DXY655360:DXY655361 EHU655360:EHU655361 ERQ655360:ERQ655361 FBM655360:FBM655361 FLI655360:FLI655361 FVE655360:FVE655361 GFA655360:GFA655361 GOW655360:GOW655361 GYS655360:GYS655361 HIO655360:HIO655361 HSK655360:HSK655361 ICG655360:ICG655361 IMC655360:IMC655361 IVY655360:IVY655361 JFU655360:JFU655361 JPQ655360:JPQ655361 JZM655360:JZM655361 KJI655360:KJI655361 KTE655360:KTE655361 LDA655360:LDA655361 LMW655360:LMW655361 LWS655360:LWS655361 MGO655360:MGO655361 MQK655360:MQK655361 NAG655360:NAG655361 NKC655360:NKC655361 NTY655360:NTY655361 ODU655360:ODU655361 ONQ655360:ONQ655361 OXM655360:OXM655361 PHI655360:PHI655361 PRE655360:PRE655361 QBA655360:QBA655361 QKW655360:QKW655361 QUS655360:QUS655361 REO655360:REO655361 ROK655360:ROK655361 RYG655360:RYG655361 SIC655360:SIC655361 SRY655360:SRY655361 TBU655360:TBU655361 TLQ655360:TLQ655361 TVM655360:TVM655361 UFI655360:UFI655361 UPE655360:UPE655361 UZA655360:UZA655361 VIW655360:VIW655361 VSS655360:VSS655361 WCO655360:WCO655361 WMK655360:WMK655361 WWG655360:WWG655361 AB720896:AB720897 JU720896:JU720897 TQ720896:TQ720897 ADM720896:ADM720897 ANI720896:ANI720897 AXE720896:AXE720897 BHA720896:BHA720897 BQW720896:BQW720897 CAS720896:CAS720897 CKO720896:CKO720897 CUK720896:CUK720897 DEG720896:DEG720897 DOC720896:DOC720897 DXY720896:DXY720897 EHU720896:EHU720897 ERQ720896:ERQ720897 FBM720896:FBM720897 FLI720896:FLI720897 FVE720896:FVE720897 GFA720896:GFA720897 GOW720896:GOW720897 GYS720896:GYS720897 HIO720896:HIO720897 HSK720896:HSK720897 ICG720896:ICG720897 IMC720896:IMC720897 IVY720896:IVY720897 JFU720896:JFU720897 JPQ720896:JPQ720897 JZM720896:JZM720897 KJI720896:KJI720897 KTE720896:KTE720897 LDA720896:LDA720897 LMW720896:LMW720897 LWS720896:LWS720897 MGO720896:MGO720897 MQK720896:MQK720897 NAG720896:NAG720897 NKC720896:NKC720897 NTY720896:NTY720897 ODU720896:ODU720897 ONQ720896:ONQ720897 OXM720896:OXM720897 PHI720896:PHI720897 PRE720896:PRE720897 QBA720896:QBA720897 QKW720896:QKW720897 QUS720896:QUS720897 REO720896:REO720897 ROK720896:ROK720897 RYG720896:RYG720897 SIC720896:SIC720897 SRY720896:SRY720897 TBU720896:TBU720897 TLQ720896:TLQ720897 TVM720896:TVM720897 UFI720896:UFI720897 UPE720896:UPE720897 UZA720896:UZA720897 VIW720896:VIW720897 VSS720896:VSS720897 WCO720896:WCO720897 WMK720896:WMK720897 WWG720896:WWG720897 AB786432:AB786433 JU786432:JU786433 TQ786432:TQ786433 ADM786432:ADM786433 ANI786432:ANI786433 AXE786432:AXE786433 BHA786432:BHA786433 BQW786432:BQW786433 CAS786432:CAS786433 CKO786432:CKO786433 CUK786432:CUK786433 DEG786432:DEG786433 DOC786432:DOC786433 DXY786432:DXY786433 EHU786432:EHU786433 ERQ786432:ERQ786433 FBM786432:FBM786433 FLI786432:FLI786433 FVE786432:FVE786433 GFA786432:GFA786433 GOW786432:GOW786433 GYS786432:GYS786433 HIO786432:HIO786433 HSK786432:HSK786433 ICG786432:ICG786433 IMC786432:IMC786433 IVY786432:IVY786433 JFU786432:JFU786433 JPQ786432:JPQ786433 JZM786432:JZM786433 KJI786432:KJI786433 KTE786432:KTE786433 LDA786432:LDA786433 LMW786432:LMW786433 LWS786432:LWS786433 MGO786432:MGO786433 MQK786432:MQK786433 NAG786432:NAG786433 NKC786432:NKC786433 NTY786432:NTY786433 ODU786432:ODU786433 ONQ786432:ONQ786433 OXM786432:OXM786433 PHI786432:PHI786433 PRE786432:PRE786433 QBA786432:QBA786433 QKW786432:QKW786433 QUS786432:QUS786433 REO786432:REO786433 ROK786432:ROK786433 RYG786432:RYG786433 SIC786432:SIC786433 SRY786432:SRY786433 TBU786432:TBU786433 TLQ786432:TLQ786433 TVM786432:TVM786433 UFI786432:UFI786433 UPE786432:UPE786433 UZA786432:UZA786433 VIW786432:VIW786433 VSS786432:VSS786433 WCO786432:WCO786433 WMK786432:WMK786433 WWG786432:WWG786433 AB851968:AB851969 JU851968:JU851969 TQ851968:TQ851969 ADM851968:ADM851969 ANI851968:ANI851969 AXE851968:AXE851969 BHA851968:BHA851969 BQW851968:BQW851969 CAS851968:CAS851969 CKO851968:CKO851969 CUK851968:CUK851969 DEG851968:DEG851969 DOC851968:DOC851969 DXY851968:DXY851969 EHU851968:EHU851969 ERQ851968:ERQ851969 FBM851968:FBM851969 FLI851968:FLI851969 FVE851968:FVE851969 GFA851968:GFA851969 GOW851968:GOW851969 GYS851968:GYS851969 HIO851968:HIO851969 HSK851968:HSK851969 ICG851968:ICG851969 IMC851968:IMC851969 IVY851968:IVY851969 JFU851968:JFU851969 JPQ851968:JPQ851969 JZM851968:JZM851969 KJI851968:KJI851969 KTE851968:KTE851969 LDA851968:LDA851969 LMW851968:LMW851969 LWS851968:LWS851969 MGO851968:MGO851969 MQK851968:MQK851969 NAG851968:NAG851969 NKC851968:NKC851969 NTY851968:NTY851969 ODU851968:ODU851969 ONQ851968:ONQ851969 OXM851968:OXM851969 PHI851968:PHI851969 PRE851968:PRE851969 QBA851968:QBA851969 QKW851968:QKW851969 QUS851968:QUS851969 REO851968:REO851969 ROK851968:ROK851969 RYG851968:RYG851969 SIC851968:SIC851969 SRY851968:SRY851969 TBU851968:TBU851969 TLQ851968:TLQ851969 TVM851968:TVM851969 UFI851968:UFI851969 UPE851968:UPE851969 UZA851968:UZA851969 VIW851968:VIW851969 VSS851968:VSS851969 WCO851968:WCO851969 WMK851968:WMK851969 WWG851968:WWG851969 AB917504:AB917505 JU917504:JU917505 TQ917504:TQ917505 ADM917504:ADM917505 ANI917504:ANI917505 AXE917504:AXE917505 BHA917504:BHA917505 BQW917504:BQW917505 CAS917504:CAS917505 CKO917504:CKO917505 CUK917504:CUK917505 DEG917504:DEG917505 DOC917504:DOC917505 DXY917504:DXY917505 EHU917504:EHU917505 ERQ917504:ERQ917505 FBM917504:FBM917505 FLI917504:FLI917505 FVE917504:FVE917505 GFA917504:GFA917505 GOW917504:GOW917505 GYS917504:GYS917505 HIO917504:HIO917505 HSK917504:HSK917505 ICG917504:ICG917505 IMC917504:IMC917505 IVY917504:IVY917505 JFU917504:JFU917505 JPQ917504:JPQ917505 JZM917504:JZM917505 KJI917504:KJI917505 KTE917504:KTE917505 LDA917504:LDA917505 LMW917504:LMW917505 LWS917504:LWS917505 MGO917504:MGO917505 MQK917504:MQK917505 NAG917504:NAG917505 NKC917504:NKC917505 NTY917504:NTY917505 ODU917504:ODU917505 ONQ917504:ONQ917505 OXM917504:OXM917505 PHI917504:PHI917505 PRE917504:PRE917505 QBA917504:QBA917505 QKW917504:QKW917505 QUS917504:QUS917505 REO917504:REO917505 ROK917504:ROK917505 RYG917504:RYG917505 SIC917504:SIC917505 SRY917504:SRY917505 TBU917504:TBU917505 TLQ917504:TLQ917505 TVM917504:TVM917505 UFI917504:UFI917505 UPE917504:UPE917505 UZA917504:UZA917505 VIW917504:VIW917505 VSS917504:VSS917505 WCO917504:WCO917505 WMK917504:WMK917505 WWG917504:WWG917505 AB983040:AB983041 JU983040:JU983041 TQ983040:TQ983041 ADM983040:ADM983041 ANI983040:ANI983041 AXE983040:AXE983041 BHA983040:BHA983041 BQW983040:BQW983041 CAS983040:CAS983041 CKO983040:CKO983041 CUK983040:CUK983041 DEG983040:DEG983041 DOC983040:DOC983041 DXY983040:DXY983041 EHU983040:EHU983041 ERQ983040:ERQ983041 FBM983040:FBM983041 FLI983040:FLI983041 FVE983040:FVE983041 GFA983040:GFA983041 GOW983040:GOW983041 GYS983040:GYS983041 HIO983040:HIO983041 HSK983040:HSK983041 ICG983040:ICG983041 IMC983040:IMC983041 IVY983040:IVY983041 JFU983040:JFU983041 JPQ983040:JPQ983041 JZM983040:JZM983041 KJI983040:KJI983041 KTE983040:KTE983041 LDA983040:LDA983041 LMW983040:LMW983041 LWS983040:LWS983041 MGO983040:MGO983041 MQK983040:MQK983041 NAG983040:NAG983041 NKC983040:NKC983041 NTY983040:NTY983041 ODU983040:ODU983041 ONQ983040:ONQ983041 OXM983040:OXM983041 PHI983040:PHI983041 PRE983040:PRE983041 QBA983040:QBA983041 QKW983040:QKW983041 QUS983040:QUS983041 REO983040:REO983041 ROK983040:ROK983041 RYG983040:RYG983041 SIC983040:SIC983041 SRY983040:SRY983041 TBU983040:TBU983041 TLQ983040:TLQ983041 TVM983040:TVM983041 UFI983040:UFI983041 UPE983040:UPE983041 UZA983040:UZA983041 VIW983040:VIW983041 VSS983040:VSS983041 WCO983040:WCO983041 WMK983040:WMK983041 WWG983040:WWG983041 AD65536:AD65537 JX65536:JX65537 TT65536:TT65537 ADP65536:ADP65537 ANL65536:ANL65537 AXH65536:AXH65537 BHD65536:BHD65537 BQZ65536:BQZ65537 CAV65536:CAV65537 CKR65536:CKR65537 CUN65536:CUN65537 DEJ65536:DEJ65537 DOF65536:DOF65537 DYB65536:DYB65537 EHX65536:EHX65537 ERT65536:ERT65537 FBP65536:FBP65537 FLL65536:FLL65537 FVH65536:FVH65537 GFD65536:GFD65537 GOZ65536:GOZ65537 GYV65536:GYV65537 HIR65536:HIR65537 HSN65536:HSN65537 ICJ65536:ICJ65537 IMF65536:IMF65537 IWB65536:IWB65537 JFX65536:JFX65537 JPT65536:JPT65537 JZP65536:JZP65537 KJL65536:KJL65537 KTH65536:KTH65537 LDD65536:LDD65537 LMZ65536:LMZ65537 LWV65536:LWV65537 MGR65536:MGR65537 MQN65536:MQN65537 NAJ65536:NAJ65537 NKF65536:NKF65537 NUB65536:NUB65537 ODX65536:ODX65537 ONT65536:ONT65537 OXP65536:OXP65537 PHL65536:PHL65537 PRH65536:PRH65537 QBD65536:QBD65537 QKZ65536:QKZ65537 QUV65536:QUV65537 RER65536:RER65537 RON65536:RON65537 RYJ65536:RYJ65537 SIF65536:SIF65537 SSB65536:SSB65537 TBX65536:TBX65537 TLT65536:TLT65537 TVP65536:TVP65537 UFL65536:UFL65537 UPH65536:UPH65537 UZD65536:UZD65537 VIZ65536:VIZ65537 VSV65536:VSV65537 WCR65536:WCR65537 WMN65536:WMN65537 WWJ65536:WWJ65537 AD131072:AD131073 JX131072:JX131073 TT131072:TT131073 ADP131072:ADP131073 ANL131072:ANL131073 AXH131072:AXH131073 BHD131072:BHD131073 BQZ131072:BQZ131073 CAV131072:CAV131073 CKR131072:CKR131073 CUN131072:CUN131073 DEJ131072:DEJ131073 DOF131072:DOF131073 DYB131072:DYB131073 EHX131072:EHX131073 ERT131072:ERT131073 FBP131072:FBP131073 FLL131072:FLL131073 FVH131072:FVH131073 GFD131072:GFD131073 GOZ131072:GOZ131073 GYV131072:GYV131073 HIR131072:HIR131073 HSN131072:HSN131073 ICJ131072:ICJ131073 IMF131072:IMF131073 IWB131072:IWB131073 JFX131072:JFX131073 JPT131072:JPT131073 JZP131072:JZP131073 KJL131072:KJL131073 KTH131072:KTH131073 LDD131072:LDD131073 LMZ131072:LMZ131073 LWV131072:LWV131073 MGR131072:MGR131073 MQN131072:MQN131073 NAJ131072:NAJ131073 NKF131072:NKF131073 NUB131072:NUB131073 ODX131072:ODX131073 ONT131072:ONT131073 OXP131072:OXP131073 PHL131072:PHL131073 PRH131072:PRH131073 QBD131072:QBD131073 QKZ131072:QKZ131073 QUV131072:QUV131073 RER131072:RER131073 RON131072:RON131073 RYJ131072:RYJ131073 SIF131072:SIF131073 SSB131072:SSB131073 TBX131072:TBX131073 TLT131072:TLT131073 TVP131072:TVP131073 UFL131072:UFL131073 UPH131072:UPH131073 UZD131072:UZD131073 VIZ131072:VIZ131073 VSV131072:VSV131073 WCR131072:WCR131073 WMN131072:WMN131073 WWJ131072:WWJ131073 AD196608:AD196609 JX196608:JX196609 TT196608:TT196609 ADP196608:ADP196609 ANL196608:ANL196609 AXH196608:AXH196609 BHD196608:BHD196609 BQZ196608:BQZ196609 CAV196608:CAV196609 CKR196608:CKR196609 CUN196608:CUN196609 DEJ196608:DEJ196609 DOF196608:DOF196609 DYB196608:DYB196609 EHX196608:EHX196609 ERT196608:ERT196609 FBP196608:FBP196609 FLL196608:FLL196609 FVH196608:FVH196609 GFD196608:GFD196609 GOZ196608:GOZ196609 GYV196608:GYV196609 HIR196608:HIR196609 HSN196608:HSN196609 ICJ196608:ICJ196609 IMF196608:IMF196609 IWB196608:IWB196609 JFX196608:JFX196609 JPT196608:JPT196609 JZP196608:JZP196609 KJL196608:KJL196609 KTH196608:KTH196609 LDD196608:LDD196609 LMZ196608:LMZ196609 LWV196608:LWV196609 MGR196608:MGR196609 MQN196608:MQN196609 NAJ196608:NAJ196609 NKF196608:NKF196609 NUB196608:NUB196609 ODX196608:ODX196609 ONT196608:ONT196609 OXP196608:OXP196609 PHL196608:PHL196609 PRH196608:PRH196609 QBD196608:QBD196609 QKZ196608:QKZ196609 QUV196608:QUV196609 RER196608:RER196609 RON196608:RON196609 RYJ196608:RYJ196609 SIF196608:SIF196609 SSB196608:SSB196609 TBX196608:TBX196609 TLT196608:TLT196609 TVP196608:TVP196609 UFL196608:UFL196609 UPH196608:UPH196609 UZD196608:UZD196609 VIZ196608:VIZ196609 VSV196608:VSV196609 WCR196608:WCR196609 WMN196608:WMN196609 WWJ196608:WWJ196609 AD262144:AD262145 JX262144:JX262145 TT262144:TT262145 ADP262144:ADP262145 ANL262144:ANL262145 AXH262144:AXH262145 BHD262144:BHD262145 BQZ262144:BQZ262145 CAV262144:CAV262145 CKR262144:CKR262145 CUN262144:CUN262145 DEJ262144:DEJ262145 DOF262144:DOF262145 DYB262144:DYB262145 EHX262144:EHX262145 ERT262144:ERT262145 FBP262144:FBP262145 FLL262144:FLL262145 FVH262144:FVH262145 GFD262144:GFD262145 GOZ262144:GOZ262145 GYV262144:GYV262145 HIR262144:HIR262145 HSN262144:HSN262145 ICJ262144:ICJ262145 IMF262144:IMF262145 IWB262144:IWB262145 JFX262144:JFX262145 JPT262144:JPT262145 JZP262144:JZP262145 KJL262144:KJL262145 KTH262144:KTH262145 LDD262144:LDD262145 LMZ262144:LMZ262145 LWV262144:LWV262145 MGR262144:MGR262145 MQN262144:MQN262145 NAJ262144:NAJ262145 NKF262144:NKF262145 NUB262144:NUB262145 ODX262144:ODX262145 ONT262144:ONT262145 OXP262144:OXP262145 PHL262144:PHL262145 PRH262144:PRH262145 QBD262144:QBD262145 QKZ262144:QKZ262145 QUV262144:QUV262145 RER262144:RER262145 RON262144:RON262145 RYJ262144:RYJ262145 SIF262144:SIF262145 SSB262144:SSB262145 TBX262144:TBX262145 TLT262144:TLT262145 TVP262144:TVP262145 UFL262144:UFL262145 UPH262144:UPH262145 UZD262144:UZD262145 VIZ262144:VIZ262145 VSV262144:VSV262145 WCR262144:WCR262145 WMN262144:WMN262145 WWJ262144:WWJ262145 AD327680:AD327681 JX327680:JX327681 TT327680:TT327681 ADP327680:ADP327681 ANL327680:ANL327681 AXH327680:AXH327681 BHD327680:BHD327681 BQZ327680:BQZ327681 CAV327680:CAV327681 CKR327680:CKR327681 CUN327680:CUN327681 DEJ327680:DEJ327681 DOF327680:DOF327681 DYB327680:DYB327681 EHX327680:EHX327681 ERT327680:ERT327681 FBP327680:FBP327681 FLL327680:FLL327681 FVH327680:FVH327681 GFD327680:GFD327681 GOZ327680:GOZ327681 GYV327680:GYV327681 HIR327680:HIR327681 HSN327680:HSN327681 ICJ327680:ICJ327681 IMF327680:IMF327681 IWB327680:IWB327681 JFX327680:JFX327681 JPT327680:JPT327681 JZP327680:JZP327681 KJL327680:KJL327681 KTH327680:KTH327681 LDD327680:LDD327681 LMZ327680:LMZ327681 LWV327680:LWV327681 MGR327680:MGR327681 MQN327680:MQN327681 NAJ327680:NAJ327681 NKF327680:NKF327681 NUB327680:NUB327681 ODX327680:ODX327681 ONT327680:ONT327681 OXP327680:OXP327681 PHL327680:PHL327681 PRH327680:PRH327681 QBD327680:QBD327681 QKZ327680:QKZ327681 QUV327680:QUV327681 RER327680:RER327681 RON327680:RON327681 RYJ327680:RYJ327681 SIF327680:SIF327681 SSB327680:SSB327681 TBX327680:TBX327681 TLT327680:TLT327681 TVP327680:TVP327681 UFL327680:UFL327681 UPH327680:UPH327681 UZD327680:UZD327681 VIZ327680:VIZ327681 VSV327680:VSV327681 WCR327680:WCR327681 WMN327680:WMN327681 WWJ327680:WWJ327681 AD393216:AD393217 JX393216:JX393217 TT393216:TT393217 ADP393216:ADP393217 ANL393216:ANL393217 AXH393216:AXH393217 BHD393216:BHD393217 BQZ393216:BQZ393217 CAV393216:CAV393217 CKR393216:CKR393217 CUN393216:CUN393217 DEJ393216:DEJ393217 DOF393216:DOF393217 DYB393216:DYB393217 EHX393216:EHX393217 ERT393216:ERT393217 FBP393216:FBP393217 FLL393216:FLL393217 FVH393216:FVH393217 GFD393216:GFD393217 GOZ393216:GOZ393217 GYV393216:GYV393217 HIR393216:HIR393217 HSN393216:HSN393217 ICJ393216:ICJ393217 IMF393216:IMF393217 IWB393216:IWB393217 JFX393216:JFX393217 JPT393216:JPT393217 JZP393216:JZP393217 KJL393216:KJL393217 KTH393216:KTH393217 LDD393216:LDD393217 LMZ393216:LMZ393217 LWV393216:LWV393217 MGR393216:MGR393217 MQN393216:MQN393217 NAJ393216:NAJ393217 NKF393216:NKF393217 NUB393216:NUB393217 ODX393216:ODX393217 ONT393216:ONT393217 OXP393216:OXP393217 PHL393216:PHL393217 PRH393216:PRH393217 QBD393216:QBD393217 QKZ393216:QKZ393217 QUV393216:QUV393217 RER393216:RER393217 RON393216:RON393217 RYJ393216:RYJ393217 SIF393216:SIF393217 SSB393216:SSB393217 TBX393216:TBX393217 TLT393216:TLT393217 TVP393216:TVP393217 UFL393216:UFL393217 UPH393216:UPH393217 UZD393216:UZD393217 VIZ393216:VIZ393217 VSV393216:VSV393217 WCR393216:WCR393217 WMN393216:WMN393217 WWJ393216:WWJ393217 AD458752:AD458753 JX458752:JX458753 TT458752:TT458753 ADP458752:ADP458753 ANL458752:ANL458753 AXH458752:AXH458753 BHD458752:BHD458753 BQZ458752:BQZ458753 CAV458752:CAV458753 CKR458752:CKR458753 CUN458752:CUN458753 DEJ458752:DEJ458753 DOF458752:DOF458753 DYB458752:DYB458753 EHX458752:EHX458753 ERT458752:ERT458753 FBP458752:FBP458753 FLL458752:FLL458753 FVH458752:FVH458753 GFD458752:GFD458753 GOZ458752:GOZ458753 GYV458752:GYV458753 HIR458752:HIR458753 HSN458752:HSN458753 ICJ458752:ICJ458753 IMF458752:IMF458753 IWB458752:IWB458753 JFX458752:JFX458753 JPT458752:JPT458753 JZP458752:JZP458753 KJL458752:KJL458753 KTH458752:KTH458753 LDD458752:LDD458753 LMZ458752:LMZ458753 LWV458752:LWV458753 MGR458752:MGR458753 MQN458752:MQN458753 NAJ458752:NAJ458753 NKF458752:NKF458753 NUB458752:NUB458753 ODX458752:ODX458753 ONT458752:ONT458753 OXP458752:OXP458753 PHL458752:PHL458753 PRH458752:PRH458753 QBD458752:QBD458753 QKZ458752:QKZ458753 QUV458752:QUV458753 RER458752:RER458753 RON458752:RON458753 RYJ458752:RYJ458753 SIF458752:SIF458753 SSB458752:SSB458753 TBX458752:TBX458753 TLT458752:TLT458753 TVP458752:TVP458753 UFL458752:UFL458753 UPH458752:UPH458753 UZD458752:UZD458753 VIZ458752:VIZ458753 VSV458752:VSV458753 WCR458752:WCR458753 WMN458752:WMN458753 WWJ458752:WWJ458753 AD524288:AD524289 JX524288:JX524289 TT524288:TT524289 ADP524288:ADP524289 ANL524288:ANL524289 AXH524288:AXH524289 BHD524288:BHD524289 BQZ524288:BQZ524289 CAV524288:CAV524289 CKR524288:CKR524289 CUN524288:CUN524289 DEJ524288:DEJ524289 DOF524288:DOF524289 DYB524288:DYB524289 EHX524288:EHX524289 ERT524288:ERT524289 FBP524288:FBP524289 FLL524288:FLL524289 FVH524288:FVH524289 GFD524288:GFD524289 GOZ524288:GOZ524289 GYV524288:GYV524289 HIR524288:HIR524289 HSN524288:HSN524289 ICJ524288:ICJ524289 IMF524288:IMF524289 IWB524288:IWB524289 JFX524288:JFX524289 JPT524288:JPT524289 JZP524288:JZP524289 KJL524288:KJL524289 KTH524288:KTH524289 LDD524288:LDD524289 LMZ524288:LMZ524289 LWV524288:LWV524289 MGR524288:MGR524289 MQN524288:MQN524289 NAJ524288:NAJ524289 NKF524288:NKF524289 NUB524288:NUB524289 ODX524288:ODX524289 ONT524288:ONT524289 OXP524288:OXP524289 PHL524288:PHL524289 PRH524288:PRH524289 QBD524288:QBD524289 QKZ524288:QKZ524289 QUV524288:QUV524289 RER524288:RER524289 RON524288:RON524289 RYJ524288:RYJ524289 SIF524288:SIF524289 SSB524288:SSB524289 TBX524288:TBX524289 TLT524288:TLT524289 TVP524288:TVP524289 UFL524288:UFL524289 UPH524288:UPH524289 UZD524288:UZD524289 VIZ524288:VIZ524289 VSV524288:VSV524289 WCR524288:WCR524289 WMN524288:WMN524289 WWJ524288:WWJ524289 AD589824:AD589825 JX589824:JX589825 TT589824:TT589825 ADP589824:ADP589825 ANL589824:ANL589825 AXH589824:AXH589825 BHD589824:BHD589825 BQZ589824:BQZ589825 CAV589824:CAV589825 CKR589824:CKR589825 CUN589824:CUN589825 DEJ589824:DEJ589825 DOF589824:DOF589825 DYB589824:DYB589825 EHX589824:EHX589825 ERT589824:ERT589825 FBP589824:FBP589825 FLL589824:FLL589825 FVH589824:FVH589825 GFD589824:GFD589825 GOZ589824:GOZ589825 GYV589824:GYV589825 HIR589824:HIR589825 HSN589824:HSN589825 ICJ589824:ICJ589825 IMF589824:IMF589825 IWB589824:IWB589825 JFX589824:JFX589825 JPT589824:JPT589825 JZP589824:JZP589825 KJL589824:KJL589825 KTH589824:KTH589825 LDD589824:LDD589825 LMZ589824:LMZ589825 LWV589824:LWV589825 MGR589824:MGR589825 MQN589824:MQN589825 NAJ589824:NAJ589825 NKF589824:NKF589825 NUB589824:NUB589825 ODX589824:ODX589825 ONT589824:ONT589825 OXP589824:OXP589825 PHL589824:PHL589825 PRH589824:PRH589825 QBD589824:QBD589825 QKZ589824:QKZ589825 QUV589824:QUV589825 RER589824:RER589825 RON589824:RON589825 RYJ589824:RYJ589825 SIF589824:SIF589825 SSB589824:SSB589825 TBX589824:TBX589825 TLT589824:TLT589825 TVP589824:TVP589825 UFL589824:UFL589825 UPH589824:UPH589825 UZD589824:UZD589825 VIZ589824:VIZ589825 VSV589824:VSV589825 WCR589824:WCR589825 WMN589824:WMN589825 WWJ589824:WWJ589825 AD655360:AD655361 JX655360:JX655361 TT655360:TT655361 ADP655360:ADP655361 ANL655360:ANL655361 AXH655360:AXH655361 BHD655360:BHD655361 BQZ655360:BQZ655361 CAV655360:CAV655361 CKR655360:CKR655361 CUN655360:CUN655361 DEJ655360:DEJ655361 DOF655360:DOF655361 DYB655360:DYB655361 EHX655360:EHX655361 ERT655360:ERT655361 FBP655360:FBP655361 FLL655360:FLL655361 FVH655360:FVH655361 GFD655360:GFD655361 GOZ655360:GOZ655361 GYV655360:GYV655361 HIR655360:HIR655361 HSN655360:HSN655361 ICJ655360:ICJ655361 IMF655360:IMF655361 IWB655360:IWB655361 JFX655360:JFX655361 JPT655360:JPT655361 JZP655360:JZP655361 KJL655360:KJL655361 KTH655360:KTH655361 LDD655360:LDD655361 LMZ655360:LMZ655361 LWV655360:LWV655361 MGR655360:MGR655361 MQN655360:MQN655361 NAJ655360:NAJ655361 NKF655360:NKF655361 NUB655360:NUB655361 ODX655360:ODX655361 ONT655360:ONT655361 OXP655360:OXP655361 PHL655360:PHL655361 PRH655360:PRH655361 QBD655360:QBD655361 QKZ655360:QKZ655361 QUV655360:QUV655361 RER655360:RER655361 RON655360:RON655361 RYJ655360:RYJ655361 SIF655360:SIF655361 SSB655360:SSB655361 TBX655360:TBX655361 TLT655360:TLT655361 TVP655360:TVP655361 UFL655360:UFL655361 UPH655360:UPH655361 UZD655360:UZD655361 VIZ655360:VIZ655361 VSV655360:VSV655361 WCR655360:WCR655361 WMN655360:WMN655361 WWJ655360:WWJ655361 AD720896:AD720897 JX720896:JX720897 TT720896:TT720897 ADP720896:ADP720897 ANL720896:ANL720897 AXH720896:AXH720897 BHD720896:BHD720897 BQZ720896:BQZ720897 CAV720896:CAV720897 CKR720896:CKR720897 CUN720896:CUN720897 DEJ720896:DEJ720897 DOF720896:DOF720897 DYB720896:DYB720897 EHX720896:EHX720897 ERT720896:ERT720897 FBP720896:FBP720897 FLL720896:FLL720897 FVH720896:FVH720897 GFD720896:GFD720897 GOZ720896:GOZ720897 GYV720896:GYV720897 HIR720896:HIR720897 HSN720896:HSN720897 ICJ720896:ICJ720897 IMF720896:IMF720897 IWB720896:IWB720897 JFX720896:JFX720897 JPT720896:JPT720897 JZP720896:JZP720897 KJL720896:KJL720897 KTH720896:KTH720897 LDD720896:LDD720897 LMZ720896:LMZ720897 LWV720896:LWV720897 MGR720896:MGR720897 MQN720896:MQN720897 NAJ720896:NAJ720897 NKF720896:NKF720897 NUB720896:NUB720897 ODX720896:ODX720897 ONT720896:ONT720897 OXP720896:OXP720897 PHL720896:PHL720897 PRH720896:PRH720897 QBD720896:QBD720897 QKZ720896:QKZ720897 QUV720896:QUV720897 RER720896:RER720897 RON720896:RON720897 RYJ720896:RYJ720897 SIF720896:SIF720897 SSB720896:SSB720897 TBX720896:TBX720897 TLT720896:TLT720897 TVP720896:TVP720897 UFL720896:UFL720897 UPH720896:UPH720897 UZD720896:UZD720897 VIZ720896:VIZ720897 VSV720896:VSV720897 WCR720896:WCR720897 WMN720896:WMN720897 WWJ720896:WWJ720897 AD786432:AD786433 JX786432:JX786433 TT786432:TT786433 ADP786432:ADP786433 ANL786432:ANL786433 AXH786432:AXH786433 BHD786432:BHD786433 BQZ786432:BQZ786433 CAV786432:CAV786433 CKR786432:CKR786433 CUN786432:CUN786433 DEJ786432:DEJ786433 DOF786432:DOF786433 DYB786432:DYB786433 EHX786432:EHX786433 ERT786432:ERT786433 FBP786432:FBP786433 FLL786432:FLL786433 FVH786432:FVH786433 GFD786432:GFD786433 GOZ786432:GOZ786433 GYV786432:GYV786433 HIR786432:HIR786433 HSN786432:HSN786433 ICJ786432:ICJ786433 IMF786432:IMF786433 IWB786432:IWB786433 JFX786432:JFX786433 JPT786432:JPT786433 JZP786432:JZP786433 KJL786432:KJL786433 KTH786432:KTH786433 LDD786432:LDD786433 LMZ786432:LMZ786433 LWV786432:LWV786433 MGR786432:MGR786433 MQN786432:MQN786433 NAJ786432:NAJ786433 NKF786432:NKF786433 NUB786432:NUB786433 ODX786432:ODX786433 ONT786432:ONT786433 OXP786432:OXP786433 PHL786432:PHL786433 PRH786432:PRH786433 QBD786432:QBD786433 QKZ786432:QKZ786433 QUV786432:QUV786433 RER786432:RER786433 RON786432:RON786433 RYJ786432:RYJ786433 SIF786432:SIF786433 SSB786432:SSB786433 TBX786432:TBX786433 TLT786432:TLT786433 TVP786432:TVP786433 UFL786432:UFL786433 UPH786432:UPH786433 UZD786432:UZD786433 VIZ786432:VIZ786433 VSV786432:VSV786433 WCR786432:WCR786433 WMN786432:WMN786433 WWJ786432:WWJ786433 AD851968:AD851969 JX851968:JX851969 TT851968:TT851969 ADP851968:ADP851969 ANL851968:ANL851969 AXH851968:AXH851969 BHD851968:BHD851969 BQZ851968:BQZ851969 CAV851968:CAV851969 CKR851968:CKR851969 CUN851968:CUN851969 DEJ851968:DEJ851969 DOF851968:DOF851969 DYB851968:DYB851969 EHX851968:EHX851969 ERT851968:ERT851969 FBP851968:FBP851969 FLL851968:FLL851969 FVH851968:FVH851969 GFD851968:GFD851969 GOZ851968:GOZ851969 GYV851968:GYV851969 HIR851968:HIR851969 HSN851968:HSN851969 ICJ851968:ICJ851969 IMF851968:IMF851969 IWB851968:IWB851969 JFX851968:JFX851969 JPT851968:JPT851969 JZP851968:JZP851969 KJL851968:KJL851969 KTH851968:KTH851969 LDD851968:LDD851969 LMZ851968:LMZ851969 LWV851968:LWV851969 MGR851968:MGR851969 MQN851968:MQN851969 NAJ851968:NAJ851969 NKF851968:NKF851969 NUB851968:NUB851969 ODX851968:ODX851969 ONT851968:ONT851969 OXP851968:OXP851969 PHL851968:PHL851969 PRH851968:PRH851969 QBD851968:QBD851969 QKZ851968:QKZ851969 QUV851968:QUV851969 RER851968:RER851969 RON851968:RON851969 RYJ851968:RYJ851969 SIF851968:SIF851969 SSB851968:SSB851969 TBX851968:TBX851969 TLT851968:TLT851969 TVP851968:TVP851969 UFL851968:UFL851969 UPH851968:UPH851969 UZD851968:UZD851969 VIZ851968:VIZ851969 VSV851968:VSV851969 WCR851968:WCR851969 WMN851968:WMN851969 WWJ851968:WWJ851969 AD917504:AD917505 JX917504:JX917505 TT917504:TT917505 ADP917504:ADP917505 ANL917504:ANL917505 AXH917504:AXH917505 BHD917504:BHD917505 BQZ917504:BQZ917505 CAV917504:CAV917505 CKR917504:CKR917505 CUN917504:CUN917505 DEJ917504:DEJ917505 DOF917504:DOF917505 DYB917504:DYB917505 EHX917504:EHX917505 ERT917504:ERT917505 FBP917504:FBP917505 FLL917504:FLL917505 FVH917504:FVH917505 GFD917504:GFD917505 GOZ917504:GOZ917505 GYV917504:GYV917505 HIR917504:HIR917505 HSN917504:HSN917505 ICJ917504:ICJ917505 IMF917504:IMF917505 IWB917504:IWB917505 JFX917504:JFX917505 JPT917504:JPT917505 JZP917504:JZP917505 KJL917504:KJL917505 KTH917504:KTH917505 LDD917504:LDD917505 LMZ917504:LMZ917505 LWV917504:LWV917505 MGR917504:MGR917505 MQN917504:MQN917505 NAJ917504:NAJ917505 NKF917504:NKF917505 NUB917504:NUB917505 ODX917504:ODX917505 ONT917504:ONT917505 OXP917504:OXP917505 PHL917504:PHL917505 PRH917504:PRH917505 QBD917504:QBD917505 QKZ917504:QKZ917505 QUV917504:QUV917505 RER917504:RER917505 RON917504:RON917505 RYJ917504:RYJ917505 SIF917504:SIF917505 SSB917504:SSB917505 TBX917504:TBX917505 TLT917504:TLT917505 TVP917504:TVP917505 UFL917504:UFL917505 UPH917504:UPH917505 UZD917504:UZD917505 VIZ917504:VIZ917505 VSV917504:VSV917505 WCR917504:WCR917505 WMN917504:WMN917505 WWJ917504:WWJ917505 AD983040:AD983041 JX983040:JX983041 TT983040:TT983041 ADP983040:ADP983041 ANL983040:ANL983041 AXH983040:AXH983041 BHD983040:BHD983041 BQZ983040:BQZ983041 CAV983040:CAV983041 CKR983040:CKR983041 CUN983040:CUN983041 DEJ983040:DEJ983041 DOF983040:DOF983041 DYB983040:DYB983041 EHX983040:EHX983041 ERT983040:ERT983041 FBP983040:FBP983041 FLL983040:FLL983041 FVH983040:FVH983041 GFD983040:GFD983041 GOZ983040:GOZ983041 GYV983040:GYV983041 HIR983040:HIR983041 HSN983040:HSN983041 ICJ983040:ICJ983041 IMF983040:IMF983041 IWB983040:IWB983041 JFX983040:JFX983041 JPT983040:JPT983041 JZP983040:JZP983041 KJL983040:KJL983041 KTH983040:KTH983041 LDD983040:LDD983041 LMZ983040:LMZ983041 LWV983040:LWV983041 MGR983040:MGR983041 MQN983040:MQN983041 NAJ983040:NAJ983041 NKF983040:NKF983041 NUB983040:NUB983041 ODX983040:ODX983041 ONT983040:ONT983041 OXP983040:OXP983041 PHL983040:PHL983041 PRH983040:PRH983041 QBD983040:QBD983041 QKZ983040:QKZ983041 QUV983040:QUV983041 RER983040:RER983041 RON983040:RON983041 RYJ983040:RYJ983041 SIF983040:SIF983041 SSB983040:SSB983041 TBX983040:TBX983041 TLT983040:TLT983041 TVP983040:TVP983041 UFL983040:UFL983041 UPH983040:UPH983041 UZD983040:UZD983041 VIZ983040:VIZ983041 VSV983040:VSV983041 WCR983040:WCR983041 WMN983040:WMN983041 WWJ983040:WWJ983041 UOX11:UOX12 AF65536:AF65537 KA65536:KA65537 TW65536:TW65537 ADS65536:ADS65537 ANO65536:ANO65537 AXK65536:AXK65537 BHG65536:BHG65537 BRC65536:BRC65537 CAY65536:CAY65537 CKU65536:CKU65537 CUQ65536:CUQ65537 DEM65536:DEM65537 DOI65536:DOI65537 DYE65536:DYE65537 EIA65536:EIA65537 ERW65536:ERW65537 FBS65536:FBS65537 FLO65536:FLO65537 FVK65536:FVK65537 GFG65536:GFG65537 GPC65536:GPC65537 GYY65536:GYY65537 HIU65536:HIU65537 HSQ65536:HSQ65537 ICM65536:ICM65537 IMI65536:IMI65537 IWE65536:IWE65537 JGA65536:JGA65537 JPW65536:JPW65537 JZS65536:JZS65537 KJO65536:KJO65537 KTK65536:KTK65537 LDG65536:LDG65537 LNC65536:LNC65537 LWY65536:LWY65537 MGU65536:MGU65537 MQQ65536:MQQ65537 NAM65536:NAM65537 NKI65536:NKI65537 NUE65536:NUE65537 OEA65536:OEA65537 ONW65536:ONW65537 OXS65536:OXS65537 PHO65536:PHO65537 PRK65536:PRK65537 QBG65536:QBG65537 QLC65536:QLC65537 QUY65536:QUY65537 REU65536:REU65537 ROQ65536:ROQ65537 RYM65536:RYM65537 SII65536:SII65537 SSE65536:SSE65537 TCA65536:TCA65537 TLW65536:TLW65537 TVS65536:TVS65537 UFO65536:UFO65537 UPK65536:UPK65537 UZG65536:UZG65537 VJC65536:VJC65537 VSY65536:VSY65537 WCU65536:WCU65537 WMQ65536:WMQ65537 WWM65536:WWM65537 AF131072:AF131073 KA131072:KA131073 TW131072:TW131073 ADS131072:ADS131073 ANO131072:ANO131073 AXK131072:AXK131073 BHG131072:BHG131073 BRC131072:BRC131073 CAY131072:CAY131073 CKU131072:CKU131073 CUQ131072:CUQ131073 DEM131072:DEM131073 DOI131072:DOI131073 DYE131072:DYE131073 EIA131072:EIA131073 ERW131072:ERW131073 FBS131072:FBS131073 FLO131072:FLO131073 FVK131072:FVK131073 GFG131072:GFG131073 GPC131072:GPC131073 GYY131072:GYY131073 HIU131072:HIU131073 HSQ131072:HSQ131073 ICM131072:ICM131073 IMI131072:IMI131073 IWE131072:IWE131073 JGA131072:JGA131073 JPW131072:JPW131073 JZS131072:JZS131073 KJO131072:KJO131073 KTK131072:KTK131073 LDG131072:LDG131073 LNC131072:LNC131073 LWY131072:LWY131073 MGU131072:MGU131073 MQQ131072:MQQ131073 NAM131072:NAM131073 NKI131072:NKI131073 NUE131072:NUE131073 OEA131072:OEA131073 ONW131072:ONW131073 OXS131072:OXS131073 PHO131072:PHO131073 PRK131072:PRK131073 QBG131072:QBG131073 QLC131072:QLC131073 QUY131072:QUY131073 REU131072:REU131073 ROQ131072:ROQ131073 RYM131072:RYM131073 SII131072:SII131073 SSE131072:SSE131073 TCA131072:TCA131073 TLW131072:TLW131073 TVS131072:TVS131073 UFO131072:UFO131073 UPK131072:UPK131073 UZG131072:UZG131073 VJC131072:VJC131073 VSY131072:VSY131073 WCU131072:WCU131073 WMQ131072:WMQ131073 WWM131072:WWM131073 AF196608:AF196609 KA196608:KA196609 TW196608:TW196609 ADS196608:ADS196609 ANO196608:ANO196609 AXK196608:AXK196609 BHG196608:BHG196609 BRC196608:BRC196609 CAY196608:CAY196609 CKU196608:CKU196609 CUQ196608:CUQ196609 DEM196608:DEM196609 DOI196608:DOI196609 DYE196608:DYE196609 EIA196608:EIA196609 ERW196608:ERW196609 FBS196608:FBS196609 FLO196608:FLO196609 FVK196608:FVK196609 GFG196608:GFG196609 GPC196608:GPC196609 GYY196608:GYY196609 HIU196608:HIU196609 HSQ196608:HSQ196609 ICM196608:ICM196609 IMI196608:IMI196609 IWE196608:IWE196609 JGA196608:JGA196609 JPW196608:JPW196609 JZS196608:JZS196609 KJO196608:KJO196609 KTK196608:KTK196609 LDG196608:LDG196609 LNC196608:LNC196609 LWY196608:LWY196609 MGU196608:MGU196609 MQQ196608:MQQ196609 NAM196608:NAM196609 NKI196608:NKI196609 NUE196608:NUE196609 OEA196608:OEA196609 ONW196608:ONW196609 OXS196608:OXS196609 PHO196608:PHO196609 PRK196608:PRK196609 QBG196608:QBG196609 QLC196608:QLC196609 QUY196608:QUY196609 REU196608:REU196609 ROQ196608:ROQ196609 RYM196608:RYM196609 SII196608:SII196609 SSE196608:SSE196609 TCA196608:TCA196609 TLW196608:TLW196609 TVS196608:TVS196609 UFO196608:UFO196609 UPK196608:UPK196609 UZG196608:UZG196609 VJC196608:VJC196609 VSY196608:VSY196609 WCU196608:WCU196609 WMQ196608:WMQ196609 WWM196608:WWM196609 AF262144:AF262145 KA262144:KA262145 TW262144:TW262145 ADS262144:ADS262145 ANO262144:ANO262145 AXK262144:AXK262145 BHG262144:BHG262145 BRC262144:BRC262145 CAY262144:CAY262145 CKU262144:CKU262145 CUQ262144:CUQ262145 DEM262144:DEM262145 DOI262144:DOI262145 DYE262144:DYE262145 EIA262144:EIA262145 ERW262144:ERW262145 FBS262144:FBS262145 FLO262144:FLO262145 FVK262144:FVK262145 GFG262144:GFG262145 GPC262144:GPC262145 GYY262144:GYY262145 HIU262144:HIU262145 HSQ262144:HSQ262145 ICM262144:ICM262145 IMI262144:IMI262145 IWE262144:IWE262145 JGA262144:JGA262145 JPW262144:JPW262145 JZS262144:JZS262145 KJO262144:KJO262145 KTK262144:KTK262145 LDG262144:LDG262145 LNC262144:LNC262145 LWY262144:LWY262145 MGU262144:MGU262145 MQQ262144:MQQ262145 NAM262144:NAM262145 NKI262144:NKI262145 NUE262144:NUE262145 OEA262144:OEA262145 ONW262144:ONW262145 OXS262144:OXS262145 PHO262144:PHO262145 PRK262144:PRK262145 QBG262144:QBG262145 QLC262144:QLC262145 QUY262144:QUY262145 REU262144:REU262145 ROQ262144:ROQ262145 RYM262144:RYM262145 SII262144:SII262145 SSE262144:SSE262145 TCA262144:TCA262145 TLW262144:TLW262145 TVS262144:TVS262145 UFO262144:UFO262145 UPK262144:UPK262145 UZG262144:UZG262145 VJC262144:VJC262145 VSY262144:VSY262145 WCU262144:WCU262145 WMQ262144:WMQ262145 WWM262144:WWM262145 AF327680:AF327681 KA327680:KA327681 TW327680:TW327681 ADS327680:ADS327681 ANO327680:ANO327681 AXK327680:AXK327681 BHG327680:BHG327681 BRC327680:BRC327681 CAY327680:CAY327681 CKU327680:CKU327681 CUQ327680:CUQ327681 DEM327680:DEM327681 DOI327680:DOI327681 DYE327680:DYE327681 EIA327680:EIA327681 ERW327680:ERW327681 FBS327680:FBS327681 FLO327680:FLO327681 FVK327680:FVK327681 GFG327680:GFG327681 GPC327680:GPC327681 GYY327680:GYY327681 HIU327680:HIU327681 HSQ327680:HSQ327681 ICM327680:ICM327681 IMI327680:IMI327681 IWE327680:IWE327681 JGA327680:JGA327681 JPW327680:JPW327681 JZS327680:JZS327681 KJO327680:KJO327681 KTK327680:KTK327681 LDG327680:LDG327681 LNC327680:LNC327681 LWY327680:LWY327681 MGU327680:MGU327681 MQQ327680:MQQ327681 NAM327680:NAM327681 NKI327680:NKI327681 NUE327680:NUE327681 OEA327680:OEA327681 ONW327680:ONW327681 OXS327680:OXS327681 PHO327680:PHO327681 PRK327680:PRK327681 QBG327680:QBG327681 QLC327680:QLC327681 QUY327680:QUY327681 REU327680:REU327681 ROQ327680:ROQ327681 RYM327680:RYM327681 SII327680:SII327681 SSE327680:SSE327681 TCA327680:TCA327681 TLW327680:TLW327681 TVS327680:TVS327681 UFO327680:UFO327681 UPK327680:UPK327681 UZG327680:UZG327681 VJC327680:VJC327681 VSY327680:VSY327681 WCU327680:WCU327681 WMQ327680:WMQ327681 WWM327680:WWM327681 AF393216:AF393217 KA393216:KA393217 TW393216:TW393217 ADS393216:ADS393217 ANO393216:ANO393217 AXK393216:AXK393217 BHG393216:BHG393217 BRC393216:BRC393217 CAY393216:CAY393217 CKU393216:CKU393217 CUQ393216:CUQ393217 DEM393216:DEM393217 DOI393216:DOI393217 DYE393216:DYE393217 EIA393216:EIA393217 ERW393216:ERW393217 FBS393216:FBS393217 FLO393216:FLO393217 FVK393216:FVK393217 GFG393216:GFG393217 GPC393216:GPC393217 GYY393216:GYY393217 HIU393216:HIU393217 HSQ393216:HSQ393217 ICM393216:ICM393217 IMI393216:IMI393217 IWE393216:IWE393217 JGA393216:JGA393217 JPW393216:JPW393217 JZS393216:JZS393217 KJO393216:KJO393217 KTK393216:KTK393217 LDG393216:LDG393217 LNC393216:LNC393217 LWY393216:LWY393217 MGU393216:MGU393217 MQQ393216:MQQ393217 NAM393216:NAM393217 NKI393216:NKI393217 NUE393216:NUE393217 OEA393216:OEA393217 ONW393216:ONW393217 OXS393216:OXS393217 PHO393216:PHO393217 PRK393216:PRK393217 QBG393216:QBG393217 QLC393216:QLC393217 QUY393216:QUY393217 REU393216:REU393217 ROQ393216:ROQ393217 RYM393216:RYM393217 SII393216:SII393217 SSE393216:SSE393217 TCA393216:TCA393217 TLW393216:TLW393217 TVS393216:TVS393217 UFO393216:UFO393217 UPK393216:UPK393217 UZG393216:UZG393217 VJC393216:VJC393217 VSY393216:VSY393217 WCU393216:WCU393217 WMQ393216:WMQ393217 WWM393216:WWM393217 AF458752:AF458753 KA458752:KA458753 TW458752:TW458753 ADS458752:ADS458753 ANO458752:ANO458753 AXK458752:AXK458753 BHG458752:BHG458753 BRC458752:BRC458753 CAY458752:CAY458753 CKU458752:CKU458753 CUQ458752:CUQ458753 DEM458752:DEM458753 DOI458752:DOI458753 DYE458752:DYE458753 EIA458752:EIA458753 ERW458752:ERW458753 FBS458752:FBS458753 FLO458752:FLO458753 FVK458752:FVK458753 GFG458752:GFG458753 GPC458752:GPC458753 GYY458752:GYY458753 HIU458752:HIU458753 HSQ458752:HSQ458753 ICM458752:ICM458753 IMI458752:IMI458753 IWE458752:IWE458753 JGA458752:JGA458753 JPW458752:JPW458753 JZS458752:JZS458753 KJO458752:KJO458753 KTK458752:KTK458753 LDG458752:LDG458753 LNC458752:LNC458753 LWY458752:LWY458753 MGU458752:MGU458753 MQQ458752:MQQ458753 NAM458752:NAM458753 NKI458752:NKI458753 NUE458752:NUE458753 OEA458752:OEA458753 ONW458752:ONW458753 OXS458752:OXS458753 PHO458752:PHO458753 PRK458752:PRK458753 QBG458752:QBG458753 QLC458752:QLC458753 QUY458752:QUY458753 REU458752:REU458753 ROQ458752:ROQ458753 RYM458752:RYM458753 SII458752:SII458753 SSE458752:SSE458753 TCA458752:TCA458753 TLW458752:TLW458753 TVS458752:TVS458753 UFO458752:UFO458753 UPK458752:UPK458753 UZG458752:UZG458753 VJC458752:VJC458753 VSY458752:VSY458753 WCU458752:WCU458753 WMQ458752:WMQ458753 WWM458752:WWM458753 AF524288:AF524289 KA524288:KA524289 TW524288:TW524289 ADS524288:ADS524289 ANO524288:ANO524289 AXK524288:AXK524289 BHG524288:BHG524289 BRC524288:BRC524289 CAY524288:CAY524289 CKU524288:CKU524289 CUQ524288:CUQ524289 DEM524288:DEM524289 DOI524288:DOI524289 DYE524288:DYE524289 EIA524288:EIA524289 ERW524288:ERW524289 FBS524288:FBS524289 FLO524288:FLO524289 FVK524288:FVK524289 GFG524288:GFG524289 GPC524288:GPC524289 GYY524288:GYY524289 HIU524288:HIU524289 HSQ524288:HSQ524289 ICM524288:ICM524289 IMI524288:IMI524289 IWE524288:IWE524289 JGA524288:JGA524289 JPW524288:JPW524289 JZS524288:JZS524289 KJO524288:KJO524289 KTK524288:KTK524289 LDG524288:LDG524289 LNC524288:LNC524289 LWY524288:LWY524289 MGU524288:MGU524289 MQQ524288:MQQ524289 NAM524288:NAM524289 NKI524288:NKI524289 NUE524288:NUE524289 OEA524288:OEA524289 ONW524288:ONW524289 OXS524288:OXS524289 PHO524288:PHO524289 PRK524288:PRK524289 QBG524288:QBG524289 QLC524288:QLC524289 QUY524288:QUY524289 REU524288:REU524289 ROQ524288:ROQ524289 RYM524288:RYM524289 SII524288:SII524289 SSE524288:SSE524289 TCA524288:TCA524289 TLW524288:TLW524289 TVS524288:TVS524289 UFO524288:UFO524289 UPK524288:UPK524289 UZG524288:UZG524289 VJC524288:VJC524289 VSY524288:VSY524289 WCU524288:WCU524289 WMQ524288:WMQ524289 WWM524288:WWM524289 AF589824:AF589825 KA589824:KA589825 TW589824:TW589825 ADS589824:ADS589825 ANO589824:ANO589825 AXK589824:AXK589825 BHG589824:BHG589825 BRC589824:BRC589825 CAY589824:CAY589825 CKU589824:CKU589825 CUQ589824:CUQ589825 DEM589824:DEM589825 DOI589824:DOI589825 DYE589824:DYE589825 EIA589824:EIA589825 ERW589824:ERW589825 FBS589824:FBS589825 FLO589824:FLO589825 FVK589824:FVK589825 GFG589824:GFG589825 GPC589824:GPC589825 GYY589824:GYY589825 HIU589824:HIU589825 HSQ589824:HSQ589825 ICM589824:ICM589825 IMI589824:IMI589825 IWE589824:IWE589825 JGA589824:JGA589825 JPW589824:JPW589825 JZS589824:JZS589825 KJO589824:KJO589825 KTK589824:KTK589825 LDG589824:LDG589825 LNC589824:LNC589825 LWY589824:LWY589825 MGU589824:MGU589825 MQQ589824:MQQ589825 NAM589824:NAM589825 NKI589824:NKI589825 NUE589824:NUE589825 OEA589824:OEA589825 ONW589824:ONW589825 OXS589824:OXS589825 PHO589824:PHO589825 PRK589824:PRK589825 QBG589824:QBG589825 QLC589824:QLC589825 QUY589824:QUY589825 REU589824:REU589825 ROQ589824:ROQ589825 RYM589824:RYM589825 SII589824:SII589825 SSE589824:SSE589825 TCA589824:TCA589825 TLW589824:TLW589825 TVS589824:TVS589825 UFO589824:UFO589825 UPK589824:UPK589825 UZG589824:UZG589825 VJC589824:VJC589825 VSY589824:VSY589825 WCU589824:WCU589825 WMQ589824:WMQ589825 WWM589824:WWM589825 AF655360:AF655361 KA655360:KA655361 TW655360:TW655361 ADS655360:ADS655361 ANO655360:ANO655361 AXK655360:AXK655361 BHG655360:BHG655361 BRC655360:BRC655361 CAY655360:CAY655361 CKU655360:CKU655361 CUQ655360:CUQ655361 DEM655360:DEM655361 DOI655360:DOI655361 DYE655360:DYE655361 EIA655360:EIA655361 ERW655360:ERW655361 FBS655360:FBS655361 FLO655360:FLO655361 FVK655360:FVK655361 GFG655360:GFG655361 GPC655360:GPC655361 GYY655360:GYY655361 HIU655360:HIU655361 HSQ655360:HSQ655361 ICM655360:ICM655361 IMI655360:IMI655361 IWE655360:IWE655361 JGA655360:JGA655361 JPW655360:JPW655361 JZS655360:JZS655361 KJO655360:KJO655361 KTK655360:KTK655361 LDG655360:LDG655361 LNC655360:LNC655361 LWY655360:LWY655361 MGU655360:MGU655361 MQQ655360:MQQ655361 NAM655360:NAM655361 NKI655360:NKI655361 NUE655360:NUE655361 OEA655360:OEA655361 ONW655360:ONW655361 OXS655360:OXS655361 PHO655360:PHO655361 PRK655360:PRK655361 QBG655360:QBG655361 QLC655360:QLC655361 QUY655360:QUY655361 REU655360:REU655361 ROQ655360:ROQ655361 RYM655360:RYM655361 SII655360:SII655361 SSE655360:SSE655361 TCA655360:TCA655361 TLW655360:TLW655361 TVS655360:TVS655361 UFO655360:UFO655361 UPK655360:UPK655361 UZG655360:UZG655361 VJC655360:VJC655361 VSY655360:VSY655361 WCU655360:WCU655361 WMQ655360:WMQ655361 WWM655360:WWM655361 AF720896:AF720897 KA720896:KA720897 TW720896:TW720897 ADS720896:ADS720897 ANO720896:ANO720897 AXK720896:AXK720897 BHG720896:BHG720897 BRC720896:BRC720897 CAY720896:CAY720897 CKU720896:CKU720897 CUQ720896:CUQ720897 DEM720896:DEM720897 DOI720896:DOI720897 DYE720896:DYE720897 EIA720896:EIA720897 ERW720896:ERW720897 FBS720896:FBS720897 FLO720896:FLO720897 FVK720896:FVK720897 GFG720896:GFG720897 GPC720896:GPC720897 GYY720896:GYY720897 HIU720896:HIU720897 HSQ720896:HSQ720897 ICM720896:ICM720897 IMI720896:IMI720897 IWE720896:IWE720897 JGA720896:JGA720897 JPW720896:JPW720897 JZS720896:JZS720897 KJO720896:KJO720897 KTK720896:KTK720897 LDG720896:LDG720897 LNC720896:LNC720897 LWY720896:LWY720897 MGU720896:MGU720897 MQQ720896:MQQ720897 NAM720896:NAM720897 NKI720896:NKI720897 NUE720896:NUE720897 OEA720896:OEA720897 ONW720896:ONW720897 OXS720896:OXS720897 PHO720896:PHO720897 PRK720896:PRK720897 QBG720896:QBG720897 QLC720896:QLC720897 QUY720896:QUY720897 REU720896:REU720897 ROQ720896:ROQ720897 RYM720896:RYM720897 SII720896:SII720897 SSE720896:SSE720897 TCA720896:TCA720897 TLW720896:TLW720897 TVS720896:TVS720897 UFO720896:UFO720897 UPK720896:UPK720897 UZG720896:UZG720897 VJC720896:VJC720897 VSY720896:VSY720897 WCU720896:WCU720897 WMQ720896:WMQ720897 WWM720896:WWM720897 AF786432:AF786433 KA786432:KA786433 TW786432:TW786433 ADS786432:ADS786433 ANO786432:ANO786433 AXK786432:AXK786433 BHG786432:BHG786433 BRC786432:BRC786433 CAY786432:CAY786433 CKU786432:CKU786433 CUQ786432:CUQ786433 DEM786432:DEM786433 DOI786432:DOI786433 DYE786432:DYE786433 EIA786432:EIA786433 ERW786432:ERW786433 FBS786432:FBS786433 FLO786432:FLO786433 FVK786432:FVK786433 GFG786432:GFG786433 GPC786432:GPC786433 GYY786432:GYY786433 HIU786432:HIU786433 HSQ786432:HSQ786433 ICM786432:ICM786433 IMI786432:IMI786433 IWE786432:IWE786433 JGA786432:JGA786433 JPW786432:JPW786433 JZS786432:JZS786433 KJO786432:KJO786433 KTK786432:KTK786433 LDG786432:LDG786433 LNC786432:LNC786433 LWY786432:LWY786433 MGU786432:MGU786433 MQQ786432:MQQ786433 NAM786432:NAM786433 NKI786432:NKI786433 NUE786432:NUE786433 OEA786432:OEA786433 ONW786432:ONW786433 OXS786432:OXS786433 PHO786432:PHO786433 PRK786432:PRK786433 QBG786432:QBG786433 QLC786432:QLC786433 QUY786432:QUY786433 REU786432:REU786433 ROQ786432:ROQ786433 RYM786432:RYM786433 SII786432:SII786433 SSE786432:SSE786433 TCA786432:TCA786433 TLW786432:TLW786433 TVS786432:TVS786433 UFO786432:UFO786433 UPK786432:UPK786433 UZG786432:UZG786433 VJC786432:VJC786433 VSY786432:VSY786433 WCU786432:WCU786433 WMQ786432:WMQ786433 WWM786432:WWM786433 AF851968:AF851969 KA851968:KA851969 TW851968:TW851969 ADS851968:ADS851969 ANO851968:ANO851969 AXK851968:AXK851969 BHG851968:BHG851969 BRC851968:BRC851969 CAY851968:CAY851969 CKU851968:CKU851969 CUQ851968:CUQ851969 DEM851968:DEM851969 DOI851968:DOI851969 DYE851968:DYE851969 EIA851968:EIA851969 ERW851968:ERW851969 FBS851968:FBS851969 FLO851968:FLO851969 FVK851968:FVK851969 GFG851968:GFG851969 GPC851968:GPC851969 GYY851968:GYY851969 HIU851968:HIU851969 HSQ851968:HSQ851969 ICM851968:ICM851969 IMI851968:IMI851969 IWE851968:IWE851969 JGA851968:JGA851969 JPW851968:JPW851969 JZS851968:JZS851969 KJO851968:KJO851969 KTK851968:KTK851969 LDG851968:LDG851969 LNC851968:LNC851969 LWY851968:LWY851969 MGU851968:MGU851969 MQQ851968:MQQ851969 NAM851968:NAM851969 NKI851968:NKI851969 NUE851968:NUE851969 OEA851968:OEA851969 ONW851968:ONW851969 OXS851968:OXS851969 PHO851968:PHO851969 PRK851968:PRK851969 QBG851968:QBG851969 QLC851968:QLC851969 QUY851968:QUY851969 REU851968:REU851969 ROQ851968:ROQ851969 RYM851968:RYM851969 SII851968:SII851969 SSE851968:SSE851969 TCA851968:TCA851969 TLW851968:TLW851969 TVS851968:TVS851969 UFO851968:UFO851969 UPK851968:UPK851969 UZG851968:UZG851969 VJC851968:VJC851969 VSY851968:VSY851969 WCU851968:WCU851969 WMQ851968:WMQ851969 WWM851968:WWM851969 AF917504:AF917505 KA917504:KA917505 TW917504:TW917505 ADS917504:ADS917505 ANO917504:ANO917505 AXK917504:AXK917505 BHG917504:BHG917505 BRC917504:BRC917505 CAY917504:CAY917505 CKU917504:CKU917505 CUQ917504:CUQ917505 DEM917504:DEM917505 DOI917504:DOI917505 DYE917504:DYE917505 EIA917504:EIA917505 ERW917504:ERW917505 FBS917504:FBS917505 FLO917504:FLO917505 FVK917504:FVK917505 GFG917504:GFG917505 GPC917504:GPC917505 GYY917504:GYY917505 HIU917504:HIU917505 HSQ917504:HSQ917505 ICM917504:ICM917505 IMI917504:IMI917505 IWE917504:IWE917505 JGA917504:JGA917505 JPW917504:JPW917505 JZS917504:JZS917505 KJO917504:KJO917505 KTK917504:KTK917505 LDG917504:LDG917505 LNC917504:LNC917505 LWY917504:LWY917505 MGU917504:MGU917505 MQQ917504:MQQ917505 NAM917504:NAM917505 NKI917504:NKI917505 NUE917504:NUE917505 OEA917504:OEA917505 ONW917504:ONW917505 OXS917504:OXS917505 PHO917504:PHO917505 PRK917504:PRK917505 QBG917504:QBG917505 QLC917504:QLC917505 QUY917504:QUY917505 REU917504:REU917505 ROQ917504:ROQ917505 RYM917504:RYM917505 SII917504:SII917505 SSE917504:SSE917505 TCA917504:TCA917505 TLW917504:TLW917505 TVS917504:TVS917505 UFO917504:UFO917505 UPK917504:UPK917505 UZG917504:UZG917505 VJC917504:VJC917505 VSY917504:VSY917505 WCU917504:WCU917505 WMQ917504:WMQ917505 WWM917504:WWM917505 AF983040:AF983041 KA983040:KA983041 TW983040:TW983041 ADS983040:ADS983041 ANO983040:ANO983041 AXK983040:AXK983041 BHG983040:BHG983041 BRC983040:BRC983041 CAY983040:CAY983041 CKU983040:CKU983041 CUQ983040:CUQ983041 DEM983040:DEM983041 DOI983040:DOI983041 DYE983040:DYE983041 EIA983040:EIA983041 ERW983040:ERW983041 FBS983040:FBS983041 FLO983040:FLO983041 FVK983040:FVK983041 GFG983040:GFG983041 GPC983040:GPC983041 GYY983040:GYY983041 HIU983040:HIU983041 HSQ983040:HSQ983041 ICM983040:ICM983041 IMI983040:IMI983041 IWE983040:IWE983041 JGA983040:JGA983041 JPW983040:JPW983041 JZS983040:JZS983041 KJO983040:KJO983041 KTK983040:KTK983041 LDG983040:LDG983041 LNC983040:LNC983041 LWY983040:LWY983041 MGU983040:MGU983041 MQQ983040:MQQ983041 NAM983040:NAM983041 NKI983040:NKI983041 NUE983040:NUE983041 OEA983040:OEA983041 ONW983040:ONW983041 OXS983040:OXS983041 PHO983040:PHO983041 PRK983040:PRK983041 QBG983040:QBG983041 QLC983040:QLC983041 QUY983040:QUY983041 REU983040:REU983041 ROQ983040:ROQ983041 RYM983040:RYM983041 SII983040:SII983041 SSE983040:SSE983041 TCA983040:TCA983041 TLW983040:TLW983041 TVS983040:TVS983041 UFO983040:UFO983041 UPK983040:UPK983041 UZG983040:UZG983041 VJC983040:VJC983041 VSY983040:VSY983041 WCU983040:WCU983041 WMQ983040:WMQ983041 WWM983040:WWM983041 UYT11:UYT12 IG11:IG12 SC11:SC12 ABY11:ABY12 ALU11:ALU12 AVQ11:AVQ12 BFM11:BFM12 BPI11:BPI12 BZE11:BZE12 CJA11:CJA12 CSW11:CSW12 DCS11:DCS12 DMO11:DMO12 DWK11:DWK12 EGG11:EGG12 EQC11:EQC12 EZY11:EZY12 FJU11:FJU12 FTQ11:FTQ12 GDM11:GDM12 GNI11:GNI12 GXE11:GXE12 HHA11:HHA12 HQW11:HQW12 IAS11:IAS12 IKO11:IKO12 IUK11:IUK12 JEG11:JEG12 JOC11:JOC12 JXY11:JXY12 KHU11:KHU12 KRQ11:KRQ12 LBM11:LBM12 LLI11:LLI12 LVE11:LVE12 MFA11:MFA12 MOW11:MOW12 MYS11:MYS12 NIO11:NIO12 NSK11:NSK12 OCG11:OCG12 OMC11:OMC12 OVY11:OVY12 PFU11:PFU12 PPQ11:PPQ12 PZM11:PZM12 QJI11:QJI12 QTE11:QTE12 RDA11:RDA12 RMW11:RMW12 RWS11:RWS12 SGO11:SGO12 SQK11:SQK12 TAG11:TAG12 TKC11:TKC12 TTY11:TTY12 UDU11:UDU12 UNQ11:UNQ12 UXM11:UXM12 VHI11:VHI12 VRE11:VRE12 WBA11:WBA12 WKW11:WKW12 WUS11:WUS12 VIP11:VIP12 IJ11:IJ12 SF11:SF12 ACB11:ACB12 ALX11:ALX12 AVT11:AVT12 BFP11:BFP12 BPL11:BPL12 BZH11:BZH12 CJD11:CJD12 CSZ11:CSZ12 DCV11:DCV12 DMR11:DMR12 DWN11:DWN12 EGJ11:EGJ12 EQF11:EQF12 FAB11:FAB12 FJX11:FJX12 FTT11:FTT12 GDP11:GDP12 GNL11:GNL12 GXH11:GXH12 HHD11:HHD12 HQZ11:HQZ12 IAV11:IAV12 IKR11:IKR12 IUN11:IUN12 JEJ11:JEJ12 JOF11:JOF12 JYB11:JYB12 KHX11:KHX12 KRT11:KRT12 LBP11:LBP12 LLL11:LLL12 LVH11:LVH12 MFD11:MFD12 MOZ11:MOZ12 MYV11:MYV12 NIR11:NIR12 NSN11:NSN12 OCJ11:OCJ12 OMF11:OMF12 OWB11:OWB12 PFX11:PFX12 PPT11:PPT12 PZP11:PZP12 QJL11:QJL12 QTH11:QTH12 RDD11:RDD12 RMZ11:RMZ12 RWV11:RWV12 SGR11:SGR12 SQN11:SQN12 TAJ11:TAJ12 TKF11:TKF12 TUB11:TUB12 UDX11:UDX12 UNT11:UNT12 UXP11:UXP12 VHL11:VHL12 VRH11:VRH12 WBD11:WBD12 WKZ11:WKZ12 WUV11:WUV12 VSL11:VSL12 IM11:IM12 SI11:SI12 ACE11:ACE12 AMA11:AMA12 AVW11:AVW12 BFS11:BFS12 BPO11:BPO12 BZK11:BZK12 CJG11:CJG12 CTC11:CTC12 DCY11:DCY12 DMU11:DMU12 DWQ11:DWQ12 EGM11:EGM12 EQI11:EQI12 FAE11:FAE12 FKA11:FKA12 FTW11:FTW12 GDS11:GDS12 GNO11:GNO12 GXK11:GXK12 HHG11:HHG12 HRC11:HRC12 IAY11:IAY12 IKU11:IKU12 IUQ11:IUQ12 JEM11:JEM12 JOI11:JOI12 JYE11:JYE12 KIA11:KIA12 KRW11:KRW12 LBS11:LBS12 LLO11:LLO12 LVK11:LVK12 MFG11:MFG12 MPC11:MPC12 MYY11:MYY12 NIU11:NIU12 NSQ11:NSQ12 OCM11:OCM12 OMI11:OMI12 OWE11:OWE12 PGA11:PGA12 PPW11:PPW12 PZS11:PZS12 QJO11:QJO12 QTK11:QTK12 RDG11:RDG12 RNC11:RNC12 RWY11:RWY12 SGU11:SGU12 SQQ11:SQQ12 TAM11:TAM12 TKI11:TKI12 TUE11:TUE12 UEA11:UEA12 UNW11:UNW12 UXS11:UXS12 VHO11:VHO12 VRK11:VRK12 WBG11:WBG12 WLC11:WLC12 WUY11:WUY12 WCH11:WCH12 IP11:IP12 SL11:SL12 ACH11:ACH12 AMD11:AMD12 AVZ11:AVZ12 BFV11:BFV12 BPR11:BPR12 BZN11:BZN12 CJJ11:CJJ12 CTF11:CTF12 DDB11:DDB12 DMX11:DMX12 DWT11:DWT12 EGP11:EGP12 EQL11:EQL12 FAH11:FAH12 FKD11:FKD12 FTZ11:FTZ12 GDV11:GDV12 GNR11:GNR12 GXN11:GXN12 HHJ11:HHJ12 HRF11:HRF12 IBB11:IBB12 IKX11:IKX12 IUT11:IUT12 JEP11:JEP12 JOL11:JOL12 JYH11:JYH12 KID11:KID12 KRZ11:KRZ12 LBV11:LBV12 LLR11:LLR12 LVN11:LVN12 MFJ11:MFJ12 MPF11:MPF12 MZB11:MZB12 NIX11:NIX12 NST11:NST12 OCP11:OCP12 OML11:OML12 OWH11:OWH12 PGD11:PGD12 PPZ11:PPZ12 PZV11:PZV12 QJR11:QJR12 QTN11:QTN12 RDJ11:RDJ12 RNF11:RNF12 RXB11:RXB12 SGX11:SGX12 SQT11:SQT12 TAP11:TAP12 TKL11:TKL12 TUH11:TUH12 UED11:UED12 UNZ11:UNZ12 UXV11:UXV12 VHR11:VHR12 VRN11:VRN12 WBJ11:WBJ12 WLF11:WLF12 WVB11:WVB12 WMD11:WMD12 IS11:IS12 SO11:SO12 ACK11:ACK12 AMG11:AMG12 AWC11:AWC12 BFY11:BFY12 BPU11:BPU12 BZQ11:BZQ12 CJM11:CJM12 CTI11:CTI12 DDE11:DDE12 DNA11:DNA12 DWW11:DWW12 EGS11:EGS12 EQO11:EQO12 FAK11:FAK12 FKG11:FKG12 FUC11:FUC12 GDY11:GDY12 GNU11:GNU12 GXQ11:GXQ12 HHM11:HHM12 HRI11:HRI12 IBE11:IBE12 ILA11:ILA12 IUW11:IUW12 JES11:JES12 JOO11:JOO12 JYK11:JYK12 KIG11:KIG12 KSC11:KSC12 LBY11:LBY12 LLU11:LLU12 LVQ11:LVQ12 MFM11:MFM12 MPI11:MPI12 MZE11:MZE12 NJA11:NJA12 NSW11:NSW12 OCS11:OCS12 OMO11:OMO12 OWK11:OWK12 PGG11:PGG12 PQC11:PQC12 PZY11:PZY12 QJU11:QJU12 QTQ11:QTQ12 RDM11:RDM12 RNI11:RNI12 RXE11:RXE12 SHA11:SHA12 SQW11:SQW12 TAS11:TAS12 TKO11:TKO12 TUK11:TUK12 UEG11:UEG12 UOC11:UOC12 UXY11:UXY12 VHU11:VHU12 VRQ11:VRQ12 WBM11:WBM12 WLI11:WLI12 WVE11:WVE12 WVZ11:WVZ12 IV11:IV12 SR11:SR12 ACN11:ACN12 AMJ11:AMJ12 AWF11:AWF12 BGB11:BGB12 BPX11:BPX12 BZT11:BZT12 CJP11:CJP12 CTL11:CTL12 DDH11:DDH12 DND11:DND12 DWZ11:DWZ12 EGV11:EGV12 EQR11:EQR12 FAN11:FAN12 FKJ11:FKJ12 FUF11:FUF12 GEB11:GEB12 GNX11:GNX12 GXT11:GXT12 HHP11:HHP12 HRL11:HRL12 IBH11:IBH12 ILD11:ILD12 IUZ11:IUZ12 JEV11:JEV12 JOR11:JOR12 JYN11:JYN12 KIJ11:KIJ12 KSF11:KSF12 LCB11:LCB12 LLX11:LLX12 LVT11:LVT12 MFP11:MFP12 MPL11:MPL12 MZH11:MZH12 NJD11:NJD12 NSZ11:NSZ12 OCV11:OCV12 OMR11:OMR12 OWN11:OWN12 PGJ11:PGJ12 PQF11:PQF12 QAB11:QAB12 QJX11:QJX12 QTT11:QTT12 RDP11:RDP12 RNL11:RNL12 RXH11:RXH12 SHD11:SHD12 SQZ11:SQZ12 TAV11:TAV12 TKR11:TKR12 TUN11:TUN12 UEJ11:UEJ12 UOF11:UOF12 UYB11:UYB12 VHX11:VHX12 VRT11:VRT12 WBP11:WBP12 WLL11:WLL12 WVH11:WVH12 IY11:IY12 SU11:SU12 ACQ11:ACQ12 AMM11:AMM12 AWI11:AWI12 BGE11:BGE12 BQA11:BQA12 BZW11:BZW12 CJS11:CJS12 CTO11:CTO12 DDK11:DDK12 DNG11:DNG12 DXC11:DXC12 EGY11:EGY12 EQU11:EQU12 FAQ11:FAQ12 FKM11:FKM12 FUI11:FUI12 GEE11:GEE12 GOA11:GOA12 GXW11:GXW12 HHS11:HHS12 HRO11:HRO12 IBK11:IBK12 ILG11:ILG12 IVC11:IVC12 JEY11:JEY12 JOU11:JOU12 JYQ11:JYQ12 KIM11:KIM12 KSI11:KSI12 LCE11:LCE12 LMA11:LMA12 LVW11:LVW12 MFS11:MFS12 MPO11:MPO12 MZK11:MZK12 NJG11:NJG12 NTC11:NTC12 OCY11:OCY12 OMU11:OMU12 OWQ11:OWQ12 PGM11:PGM12 PQI11:PQI12 QAE11:QAE12 QKA11:QKA12 QTW11:QTW12 RDS11:RDS12 RNO11:RNO12 RXK11:RXK12 SHG11:SHG12 SRC11:SRC12 TAY11:TAY12 TKU11:TKU12 TUQ11:TUQ12 UEM11:UEM12 UOI11:UOI12 UYE11:UYE12 VIA11:VIA12 VRW11:VRW12 WBS11:WBS12 WLO11:WLO12 WVK11:WVK12 JB11:JB12 SX11:SX12 ACT11:ACT12 AMP11:AMP12 AWL11:AWL12 BGH11:BGH12 BQD11:BQD12 BZZ11:BZZ12 CJV11:CJV12 CTR11:CTR12 DDN11:DDN12 DNJ11:DNJ12 DXF11:DXF12 EHB11:EHB12 EQX11:EQX12 FAT11:FAT12 FKP11:FKP12 FUL11:FUL12 GEH11:GEH12 GOD11:GOD12 GXZ11:GXZ12 HHV11:HHV12 HRR11:HRR12 IBN11:IBN12 ILJ11:ILJ12 IVF11:IVF12 JFB11:JFB12 JOX11:JOX12 JYT11:JYT12 KIP11:KIP12 KSL11:KSL12 LCH11:LCH12 LMD11:LMD12 LVZ11:LVZ12 MFV11:MFV12 MPR11:MPR12 MZN11:MZN12 NJJ11:NJJ12 NTF11:NTF12 ODB11:ODB12 OMX11:OMX12 OWT11:OWT12 PGP11:PGP12 PQL11:PQL12 QAH11:QAH12 QKD11:QKD12 QTZ11:QTZ12 RDV11:RDV12 RNR11:RNR12 RXN11:RXN12 SHJ11:SHJ12 SRF11:SRF12 TBB11:TBB12 TKX11:TKX12 TUT11:TUT12 UEP11:UEP12 UOL11:UOL12 UYH11:UYH12 VID11:VID12 VRZ11:VRZ12 WBV11:WBV12 WLR11:WLR12 WVN11:WVN12 JE11:JE12 TA11:TA12 ACW11:ACW12 AMS11:AMS12 AWO11:AWO12 BGK11:BGK12 BQG11:BQG12 CAC11:CAC12 CJY11:CJY12 CTU11:CTU12 DDQ11:DDQ12 DNM11:DNM12 DXI11:DXI12 EHE11:EHE12 ERA11:ERA12 FAW11:FAW12 FKS11:FKS12 FUO11:FUO12 GEK11:GEK12 GOG11:GOG12 GYC11:GYC12 HHY11:HHY12 HRU11:HRU12 IBQ11:IBQ12 ILM11:ILM12 IVI11:IVI12 JFE11:JFE12 JPA11:JPA12 JYW11:JYW12 KIS11:KIS12 KSO11:KSO12 LCK11:LCK12 LMG11:LMG12 LWC11:LWC12 MFY11:MFY12 MPU11:MPU12 MZQ11:MZQ12 NJM11:NJM12 NTI11:NTI12 ODE11:ODE12 ONA11:ONA12 OWW11:OWW12 PGS11:PGS12 PQO11:PQO12 QAK11:QAK12 QKG11:QKG12 QUC11:QUC12 RDY11:RDY12 RNU11:RNU12 RXQ11:RXQ12 SHM11:SHM12 SRI11:SRI12 TBE11:TBE12 TLA11:TLA12 TUW11:TUW12 UES11:UES12 UOO11:UOO12 UYK11:UYK12 VIG11:VIG12 VSC11:VSC12 WBY11:WBY12 WLU11:WLU12 WVQ11:WVQ12 JH11:JH12 TD11:TD12 ACZ11:ACZ12 AMV11:AMV12 AWR11:AWR12 BGN11:BGN12 BQJ11:BQJ12 CAF11:CAF12 CKB11:CKB12 CTX11:CTX12 DDT11:DDT12 DNP11:DNP12 DXL11:DXL12 EHH11:EHH12 ERD11:ERD12 FAZ11:FAZ12 FKV11:FKV12 FUR11:FUR12 GEN11:GEN12 GOJ11:GOJ12 GYF11:GYF12 HIB11:HIB12 HRX11:HRX12 IBT11:IBT12 ILP11:ILP12 IVL11:IVL12 JFH11:JFH12 JPD11:JPD12 JYZ11:JYZ12 KIV11:KIV12 KSR11:KSR12 LCN11:LCN12 LMJ11:LMJ12 LWF11:LWF12 MGB11:MGB12 MPX11:MPX12 MZT11:MZT12 NJP11:NJP12 NTL11:NTL12 ODH11:ODH12 OND11:OND12 OWZ11:OWZ12 PGV11:PGV12 PQR11:PQR12 QAN11:QAN12 QKJ11:QKJ12 QUF11:QUF12 REB11:REB12 RNX11:RNX12 RXT11:RXT12 SHP11:SHP12 SRL11:SRL12 TBH11:TBH12 TLD11:TLD12 TUZ11:TUZ12 UEV11:UEV12 UOR11:UOR12 UYN11:UYN12 VIJ11:VIJ12 VSF11:VSF12 WCB11:WCB12 WLX11:WLX12 WVT11:WVT12 JK11:JK12 TG11:TG12 ADC11:ADC12 AMY11:AMY12 AWU11:AWU12 BGQ11:BGQ12 BQM11:BQM12 CAI11:CAI12 CKE11:CKE12 CUA11:CUA12 DDW11:DDW12 DNS11:DNS12 DXO11:DXO12 EHK11:EHK12 ERG11:ERG12 FBC11:FBC12 FKY11:FKY12 FUU11:FUU12 GEQ11:GEQ12 GOM11:GOM12 GYI11:GYI12 HIE11:HIE12 HSA11:HSA12 IBW11:IBW12 ILS11:ILS12 IVO11:IVO12 JFK11:JFK12 JPG11:JPG12 JZC11:JZC12 KIY11:KIY12 KSU11:KSU12 LCQ11:LCQ12 LMM11:LMM12 LWI11:LWI12 MGE11:MGE12 MQA11:MQA12 MZW11:MZW12 NJS11:NJS12 NTO11:NTO12 ODK11:ODK12 ONG11:ONG12 OXC11:OXC12 PGY11:PGY12 PQU11:PQU12 QAQ11:QAQ12 QKM11:QKM12 QUI11:QUI12 REE11:REE12 ROA11:ROA12 RXW11:RXW12 SHS11:SHS12 SRO11:SRO12 TBK11:TBK12 TLG11:TLG12 TVC11:TVC12 UEY11:UEY12 UOU11:UOU12 UYQ11:UYQ12 VIM11:VIM12 VSI11:VSI12 WCE11:WCE12 WMA11:WMA12 WVW11:WVW12 JN11:JN12 TJ11:TJ12 ADF11:ADF12 ANB11:ANB12 AWX11:AWX12 BGT11:BGT12 BQP11:BQP12 CAL11:CAL12 CKH11:CKH12 CUD11:CUD12 DDZ11:DDZ12 DNV11:DNV12 DXR11:DXR12 EHN11:EHN12 ERJ11:ERJ12 FBF11:FBF12 FLB11:FLB12 FUX11:FUX12 GET11:GET12 GOP11:GOP12 GYL11:GYL12 HIH11:HIH12 HSD11:HSD12 IBZ11:IBZ12 ILV11:ILV12 IVR11:IVR12 JFN11:JFN12 JPJ11:JPJ12 JZF11:JZF12 KJB11:KJB12 KSX11:KSX12 LCT11:LCT12 LMP11:LMP12 LWL11:LWL12 MGH11:MGH12 MQD11:MQD12 MZZ11:MZZ12 NJV11:NJV12 NTR11:NTR12 ODN11:ODN12 ONJ11:ONJ12 OXF11:OXF12 PHB11:PHB12 PQX11:PQX12 QAT11:QAT12 QKP11:QKP12 QUL11:QUL12 REH11:REH12 ROD11:ROD12 RXZ11:RXZ12 SHV11:SHV12 SRR11:SRR12 TBN11:TBN12 TLJ11:TLJ12 TVF11:TVF12 UFB11:UFB12 J5:J6 WWM5:WWM6 WMQ5:WMQ6 WCU5:WCU6 VSY5:VSY6 VJC5:VJC6 UZG5:UZG6 UPK5:UPK6 UFO5:UFO6 TVS5:TVS6 TLW5:TLW6 TCA5:TCA6 SSE5:SSE6 SII5:SII6 RYM5:RYM6 ROQ5:ROQ6 REU5:REU6 QUY5:QUY6 QLC5:QLC6 QBG5:QBG6 PRK5:PRK6 PHO5:PHO6 OXS5:OXS6 ONW5:ONW6 OEA5:OEA6 NUE5:NUE6 NKI5:NKI6 NAM5:NAM6 MQQ5:MQQ6 MGU5:MGU6 LWY5:LWY6 LNC5:LNC6 LDG5:LDG6 KTK5:KTK6 KJO5:KJO6 JZS5:JZS6 JPW5:JPW6 JGA5:JGA6 IWE5:IWE6 IMI5:IMI6 ICM5:ICM6 HSQ5:HSQ6 HIU5:HIU6 GYY5:GYY6 GPC5:GPC6 GFG5:GFG6 FVK5:FVK6 FLO5:FLO6 FBS5:FBS6 ERW5:ERW6 EIA5:EIA6 DYE5:DYE6 DOI5:DOI6 DEM5:DEM6 CUQ5:CUQ6 CKU5:CKU6 CAY5:CAY6 BRC5:BRC6 BHG5:BHG6 AXK5:AXK6 ANO5:ANO6 ADS5:ADS6 TW5:TW6 KA5:KA6 AF5:AF6 WWJ5:WWJ6 WMN5:WMN6 WCR5:WCR6 VSV5:VSV6 VIZ5:VIZ6 UZD5:UZD6 UPH5:UPH6 UFL5:UFL6 TVP5:TVP6 TLT5:TLT6 TBX5:TBX6 SSB5:SSB6 SIF5:SIF6 RYJ5:RYJ6 RON5:RON6 RER5:RER6 QUV5:QUV6 QKZ5:QKZ6 QBD5:QBD6 PRH5:PRH6 PHL5:PHL6 OXP5:OXP6 ONT5:ONT6 ODX5:ODX6 NUB5:NUB6 NKF5:NKF6 NAJ5:NAJ6 MQN5:MQN6 MGR5:MGR6 LWV5:LWV6 LMZ5:LMZ6 LDD5:LDD6 KTH5:KTH6 KJL5:KJL6 JZP5:JZP6 JPT5:JPT6 JFX5:JFX6 IWB5:IWB6 IMF5:IMF6 ICJ5:ICJ6 HSN5:HSN6 HIR5:HIR6 GYV5:GYV6 GOZ5:GOZ6 GFD5:GFD6 FVH5:FVH6 FLL5:FLL6 FBP5:FBP6 ERT5:ERT6 EHX5:EHX6 DYB5:DYB6 DOF5:DOF6 DEJ5:DEJ6 CUN5:CUN6 CKR5:CKR6 CAV5:CAV6 BQZ5:BQZ6 BHD5:BHD6 AXH5:AXH6 ANL5:ANL6 ADP5:ADP6 TT5:TT6 JX5:JX6 AD5:AD6 WWG5:WWG6 WMK5:WMK6 WCO5:WCO6 VSS5:VSS6 VIW5:VIW6 UZA5:UZA6 UPE5:UPE6 UFI5:UFI6 TVM5:TVM6 TLQ5:TLQ6 TBU5:TBU6 SRY5:SRY6 SIC5:SIC6 RYG5:RYG6 ROK5:ROK6 REO5:REO6 QUS5:QUS6 QKW5:QKW6 QBA5:QBA6 PRE5:PRE6 PHI5:PHI6 OXM5:OXM6 ONQ5:ONQ6 ODU5:ODU6 NTY5:NTY6 NKC5:NKC6 NAG5:NAG6 MQK5:MQK6 MGO5:MGO6 LWS5:LWS6 LMW5:LMW6 LDA5:LDA6 KTE5:KTE6 KJI5:KJI6 JZM5:JZM6 JPQ5:JPQ6 JFU5:JFU6 IVY5:IVY6 IMC5:IMC6 ICG5:ICG6 HSK5:HSK6 HIO5:HIO6 GYS5:GYS6 GOW5:GOW6 GFA5:GFA6 FVE5:FVE6 FLI5:FLI6 FBM5:FBM6 ERQ5:ERQ6 EHU5:EHU6 DXY5:DXY6 DOC5:DOC6 DEG5:DEG6 CUK5:CUK6 CKO5:CKO6 CAS5:CAS6 BQW5:BQW6 BHA5:BHA6 AXE5:AXE6 ANI5:ANI6 ADM5:ADM6 TQ5:TQ6 JU5:JU6 AB5:AB6 WWD5:WWD6 WMH5:WMH6 WCL5:WCL6 VSP5:VSP6 VIT5:VIT6 UYX5:UYX6 UPB5:UPB6 UFF5:UFF6 TVJ5:TVJ6 TLN5:TLN6 TBR5:TBR6 SRV5:SRV6 SHZ5:SHZ6 RYD5:RYD6 ROH5:ROH6 REL5:REL6 QUP5:QUP6 QKT5:QKT6 QAX5:QAX6 PRB5:PRB6 PHF5:PHF6 OXJ5:OXJ6 ONN5:ONN6 ODR5:ODR6 NTV5:NTV6 NJZ5:NJZ6 NAD5:NAD6 MQH5:MQH6 MGL5:MGL6 LWP5:LWP6 LMT5:LMT6 LCX5:LCX6 KTB5:KTB6 KJF5:KJF6 JZJ5:JZJ6 JPN5:JPN6 JFR5:JFR6 IVV5:IVV6 ILZ5:ILZ6 ICD5:ICD6 HSH5:HSH6 HIL5:HIL6 GYP5:GYP6 GOT5:GOT6 GEX5:GEX6 FVB5:FVB6 FLF5:FLF6 FBJ5:FBJ6 ERN5:ERN6 EHR5:EHR6 DXV5:DXV6 DNZ5:DNZ6 DED5:DED6 CUH5:CUH6 CKL5:CKL6 CAP5:CAP6 BQT5:BQT6 BGX5:BGX6 AXB5:AXB6 ANF5:ANF6 ADJ5:ADJ6 TN5:TN6 JR5:JR6 Z5:Z6 WWA5:WWA6 WME5:WME6 WCI5:WCI6 VSM5:VSM6 VIQ5:VIQ6 UYU5:UYU6 UOY5:UOY6 UFC5:UFC6 TVG5:TVG6 TLK5:TLK6 TBO5:TBO6 SRS5:SRS6 SHW5:SHW6 RYA5:RYA6 ROE5:ROE6 REI5:REI6 QUM5:QUM6 QKQ5:QKQ6 QAU5:QAU6 PQY5:PQY6 PHC5:PHC6 OXG5:OXG6 ONK5:ONK6 ODO5:ODO6 NTS5:NTS6 NJW5:NJW6 NAA5:NAA6 MQE5:MQE6 MGI5:MGI6 LWM5:LWM6 LMQ5:LMQ6 LCU5:LCU6 KSY5:KSY6 KJC5:KJC6 JZG5:JZG6 JPK5:JPK6 JFO5:JFO6 IVS5:IVS6 ILW5:ILW6 ICA5:ICA6 HSE5:HSE6 HII5:HII6 GYM5:GYM6 GOQ5:GOQ6 GEU5:GEU6 FUY5:FUY6 FLC5:FLC6 FBG5:FBG6 ERK5:ERK6 EHO5:EHO6 DXS5:DXS6 DNW5:DNW6 DEA5:DEA6 CUE5:CUE6 CKI5:CKI6 CAM5:CAM6 BQQ5:BQQ6 BGU5:BGU6 AWY5:AWY6 ANC5:ANC6 ADG5:ADG6 TK5:TK6 JO5:JO6 X5:X6 WVX5:WVX6 WMB5:WMB6 WCF5:WCF6 VSJ5:VSJ6 VIN5:VIN6 UYR5:UYR6 UOV5:UOV6 UEZ5:UEZ6 TVD5:TVD6 TLH5:TLH6 TBL5:TBL6 SRP5:SRP6 SHT5:SHT6 RXX5:RXX6 ROB5:ROB6 REF5:REF6 QUJ5:QUJ6 QKN5:QKN6 QAR5:QAR6 PQV5:PQV6 PGZ5:PGZ6 OXD5:OXD6 ONH5:ONH6 ODL5:ODL6 NTP5:NTP6 NJT5:NJT6 MZX5:MZX6 MQB5:MQB6 MGF5:MGF6 LWJ5:LWJ6 LMN5:LMN6 LCR5:LCR6 KSV5:KSV6 KIZ5:KIZ6 JZD5:JZD6 JPH5:JPH6 JFL5:JFL6 IVP5:IVP6 ILT5:ILT6 IBX5:IBX6 HSB5:HSB6 HIF5:HIF6 GYJ5:GYJ6 GON5:GON6 GER5:GER6 FUV5:FUV6 FKZ5:FKZ6 FBD5:FBD6 ERH5:ERH6 EHL5:EHL6 DXP5:DXP6 DNT5:DNT6 DDX5:DDX6 CUB5:CUB6 CKF5:CKF6 CAJ5:CAJ6 BQN5:BQN6 BGR5:BGR6 AWV5:AWV6 AMZ5:AMZ6 ADD5:ADD6 TH5:TH6 JL5:JL6 V5:V6 WVU5:WVU6 WLY5:WLY6 WCC5:WCC6 VSG5:VSG6 VIK5:VIK6 UYO5:UYO6 UOS5:UOS6 UEW5:UEW6 TVA5:TVA6 TLE5:TLE6 TBI5:TBI6 SRM5:SRM6 SHQ5:SHQ6 RXU5:RXU6 RNY5:RNY6 REC5:REC6 QUG5:QUG6 QKK5:QKK6 QAO5:QAO6 PQS5:PQS6 PGW5:PGW6 OXA5:OXA6 ONE5:ONE6 ODI5:ODI6 NTM5:NTM6 NJQ5:NJQ6 MZU5:MZU6 MPY5:MPY6 MGC5:MGC6 LWG5:LWG6 LMK5:LMK6 LCO5:LCO6 KSS5:KSS6 KIW5:KIW6 JZA5:JZA6 JPE5:JPE6 JFI5:JFI6 IVM5:IVM6 ILQ5:ILQ6 IBU5:IBU6 HRY5:HRY6 HIC5:HIC6 GYG5:GYG6 GOK5:GOK6 GEO5:GEO6 FUS5:FUS6 FKW5:FKW6 FBA5:FBA6 ERE5:ERE6 EHI5:EHI6 DXM5:DXM6 DNQ5:DNQ6 DDU5:DDU6 CTY5:CTY6 CKC5:CKC6 CAG5:CAG6 BQK5:BQK6 BGO5:BGO6 AWS5:AWS6 AMW5:AMW6 ADA5:ADA6 TE5:TE6 JI5:JI6 T5:T6 WVR5:WVR6 WLV5:WLV6 WBZ5:WBZ6 VSD5:VSD6 VIH5:VIH6 UYL5:UYL6 UOP5:UOP6 UET5:UET6 TUX5:TUX6 TLB5:TLB6 TBF5:TBF6 SRJ5:SRJ6 SHN5:SHN6 RXR5:RXR6 RNV5:RNV6 RDZ5:RDZ6 QUD5:QUD6 QKH5:QKH6 QAL5:QAL6 PQP5:PQP6 PGT5:PGT6 OWX5:OWX6 ONB5:ONB6 ODF5:ODF6 NTJ5:NTJ6 NJN5:NJN6 MZR5:MZR6 MPV5:MPV6 MFZ5:MFZ6 LWD5:LWD6 LMH5:LMH6 LCL5:LCL6 KSP5:KSP6 KIT5:KIT6 JYX5:JYX6 JPB5:JPB6 JFF5:JFF6 IVJ5:IVJ6 ILN5:ILN6 IBR5:IBR6 HRV5:HRV6 HHZ5:HHZ6 GYD5:GYD6 GOH5:GOH6 GEL5:GEL6 FUP5:FUP6 FKT5:FKT6 FAX5:FAX6 ERB5:ERB6 EHF5:EHF6 DXJ5:DXJ6 DNN5:DNN6 DDR5:DDR6 CTV5:CTV6 CJZ5:CJZ6 CAD5:CAD6 BQH5:BQH6 BGL5:BGL6 AWP5:AWP6 AMT5:AMT6 ACX5:ACX6 TB5:TB6 JF5:JF6 R5:R6 WVO5:WVO6 WLS5:WLS6 WBW5:WBW6 VSA5:VSA6 VIE5:VIE6 UYI5:UYI6 UOM5:UOM6 UEQ5:UEQ6 TUU5:TUU6 TKY5:TKY6 TBC5:TBC6 SRG5:SRG6 SHK5:SHK6 RXO5:RXO6 RNS5:RNS6 RDW5:RDW6 QUA5:QUA6 QKE5:QKE6 QAI5:QAI6 PQM5:PQM6 PGQ5:PGQ6 OWU5:OWU6 OMY5:OMY6 ODC5:ODC6 NTG5:NTG6 NJK5:NJK6 MZO5:MZO6 MPS5:MPS6 MFW5:MFW6 LWA5:LWA6 LME5:LME6 LCI5:LCI6 KSM5:KSM6 KIQ5:KIQ6 JYU5:JYU6 JOY5:JOY6 JFC5:JFC6 IVG5:IVG6 ILK5:ILK6 IBO5:IBO6 HRS5:HRS6 HHW5:HHW6 GYA5:GYA6 GOE5:GOE6 GEI5:GEI6 FUM5:FUM6 FKQ5:FKQ6 FAU5:FAU6 EQY5:EQY6 EHC5:EHC6 DXG5:DXG6 DNK5:DNK6 DDO5:DDO6 CTS5:CTS6 CJW5:CJW6 CAA5:CAA6 BQE5:BQE6 BGI5:BGI6 AWM5:AWM6 AMQ5:AMQ6 ACU5:ACU6 SY5:SY6 JC5:JC6 P5:P6 WVL5:WVL6 WLP5:WLP6 WBT5:WBT6 VRX5:VRX6 VIB5:VIB6 UYF5:UYF6 UOJ5:UOJ6 UEN5:UEN6 TUR5:TUR6 TKV5:TKV6 TAZ5:TAZ6 SRD5:SRD6 SHH5:SHH6 RXL5:RXL6 RNP5:RNP6 RDT5:RDT6 QTX5:QTX6 QKB5:QKB6 QAF5:QAF6 PQJ5:PQJ6 PGN5:PGN6 OWR5:OWR6 OMV5:OMV6 OCZ5:OCZ6 NTD5:NTD6 NJH5:NJH6 MZL5:MZL6 MPP5:MPP6 MFT5:MFT6 LVX5:LVX6 LMB5:LMB6 LCF5:LCF6 KSJ5:KSJ6 KIN5:KIN6 JYR5:JYR6 JOV5:JOV6 JEZ5:JEZ6 IVD5:IVD6 ILH5:ILH6 IBL5:IBL6 HRP5:HRP6 HHT5:HHT6 GXX5:GXX6 GOB5:GOB6 GEF5:GEF6 FUJ5:FUJ6 FKN5:FKN6 FAR5:FAR6 EQV5:EQV6 EGZ5:EGZ6 DXD5:DXD6 DNH5:DNH6 DDL5:DDL6 CTP5:CTP6 CJT5:CJT6 BZX5:BZX6 BQB5:BQB6 BGF5:BGF6 AWJ5:AWJ6 AMN5:AMN6 ACR5:ACR6 SV5:SV6 IZ5:IZ6 N5:N6 WVI5:WVI6 WLM5:WLM6 WBQ5:WBQ6 VRU5:VRU6 VHY5:VHY6 UYC5:UYC6 UOG5:UOG6 UEK5:UEK6 TUO5:TUO6 TKS5:TKS6 TAW5:TAW6 SRA5:SRA6 SHE5:SHE6 RXI5:RXI6 RNM5:RNM6 RDQ5:RDQ6 QTU5:QTU6 QJY5:QJY6 QAC5:QAC6 PQG5:PQG6 PGK5:PGK6 OWO5:OWO6 OMS5:OMS6 OCW5:OCW6 NTA5:NTA6 NJE5:NJE6 MZI5:MZI6 MPM5:MPM6 MFQ5:MFQ6 LVU5:LVU6 LLY5:LLY6 LCC5:LCC6 KSG5:KSG6 KIK5:KIK6 JYO5:JYO6 JOS5:JOS6 JEW5:JEW6 IVA5:IVA6 ILE5:ILE6 IBI5:IBI6 HRM5:HRM6 HHQ5:HHQ6 GXU5:GXU6 GNY5:GNY6 GEC5:GEC6 FUG5:FUG6 FKK5:FKK6 FAO5:FAO6 EQS5:EQS6 EGW5:EGW6 DXA5:DXA6 DNE5:DNE6 DDI5:DDI6 CTM5:CTM6 CJQ5:CJQ6 BZU5:BZU6 BPY5:BPY6 BGC5:BGC6 AWG5:AWG6 AMK5:AMK6 ACO5:ACO6 SS5:SS6 IW5:IW6 L5:L6 WVF5:WVF6 WLJ5:WLJ6 WBN5:WBN6 VRR5:VRR6 VHV5:VHV6 UXZ5:UXZ6 UOD5:UOD6 UEH5:UEH6 TUL5:TUL6 TKP5:TKP6 TAT5:TAT6 SQX5:SQX6 SHB5:SHB6 RXF5:RXF6 RNJ5:RNJ6 RDN5:RDN6 QTR5:QTR6 QJV5:QJV6 PZZ5:PZZ6 PQD5:PQD6 PGH5:PGH6 OWL5:OWL6 OMP5:OMP6 OCT5:OCT6 NSX5:NSX6 NJB5:NJB6 MZF5:MZF6 MPJ5:MPJ6 MFN5:MFN6 LVR5:LVR6 LLV5:LLV6 LBZ5:LBZ6 KSD5:KSD6 KIH5:KIH6 JYL5:JYL6 JOP5:JOP6 JET5:JET6 IUX5:IUX6 ILB5:ILB6 IBF5:IBF6 HRJ5:HRJ6 HHN5:HHN6 GXR5:GXR6 GNV5:GNV6 GDZ5:GDZ6 FUD5:FUD6 FKH5:FKH6 FAL5:FAL6 EQP5:EQP6 EGT5:EGT6 DWX5:DWX6 DNB5:DNB6 DDF5:DDF6 CTJ5:CTJ6 CJN5:CJN6 BZR5:BZR6 BPV5:BPV6 BFZ5:BFZ6 AWD5:AWD6 AMH5:AMH6 ACL5:ACL6 SP5:SP6 IT5:IT6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EA8C7-2E26-43C7-9B35-1917088B5E29}">
  <sheetPr codeName="Sheet17">
    <tabColor theme="3" tint="-0.499984740745262"/>
  </sheetPr>
  <dimension ref="A1:AD12"/>
  <sheetViews>
    <sheetView workbookViewId="0"/>
  </sheetViews>
  <sheetFormatPr defaultRowHeight="12.75"/>
  <cols>
    <col min="1" max="1" width="2.625" style="270" customWidth="1"/>
    <col min="2" max="2" width="3.125" style="271" customWidth="1"/>
    <col min="3" max="3" width="8.875" style="271" bestFit="1" customWidth="1"/>
    <col min="4" max="4" width="26.875" style="271" customWidth="1"/>
    <col min="5" max="5" width="10.625" style="271" customWidth="1"/>
    <col min="6" max="6" width="13.625" style="271" customWidth="1"/>
    <col min="7" max="7" width="5.625" style="271" customWidth="1"/>
    <col min="8" max="8" width="10.625" style="271" customWidth="1"/>
    <col min="9" max="9" width="5.625" style="271" customWidth="1"/>
    <col min="10" max="10" width="10.625" style="271" customWidth="1"/>
    <col min="11" max="11" width="5.625" style="271" customWidth="1"/>
    <col min="12" max="12" width="10.625" style="271" customWidth="1"/>
    <col min="13" max="13" width="5.625" style="271" customWidth="1"/>
    <col min="14" max="14" width="10.625" style="271" customWidth="1"/>
    <col min="15" max="15" width="5.625" style="271" customWidth="1"/>
    <col min="16" max="16" width="10.625" style="271" customWidth="1"/>
    <col min="17" max="17" width="5.625" style="271" customWidth="1"/>
    <col min="18" max="18" width="10.625" style="271" customWidth="1"/>
    <col min="19" max="19" width="5.625" style="271" customWidth="1"/>
    <col min="20" max="20" width="10.625" style="271" customWidth="1"/>
    <col min="21" max="21" width="5.625" style="271" customWidth="1"/>
    <col min="22" max="22" width="10.625" style="271" customWidth="1"/>
    <col min="23" max="23" width="5.625" style="271" customWidth="1"/>
    <col min="24" max="24" width="10.625" style="271" customWidth="1"/>
    <col min="25" max="25" width="5.625" style="271" customWidth="1"/>
    <col min="26" max="26" width="10.625" style="271" customWidth="1"/>
    <col min="27" max="27" width="5.625" style="271" customWidth="1"/>
    <col min="28" max="28" width="10.625" style="271" customWidth="1"/>
    <col min="29" max="29" width="5.625" style="271" customWidth="1"/>
    <col min="30" max="30" width="10.625" style="271" customWidth="1"/>
    <col min="31" max="232" width="9" style="271"/>
    <col min="233" max="233" width="1.5" style="271" customWidth="1"/>
    <col min="234" max="234" width="3.125" style="271" customWidth="1"/>
    <col min="235" max="235" width="9.625" style="271" customWidth="1"/>
    <col min="236" max="236" width="18.125" style="271" customWidth="1"/>
    <col min="237" max="238" width="10.25" style="271" customWidth="1"/>
    <col min="239" max="239" width="8.5" style="271" customWidth="1"/>
    <col min="240" max="240" width="8.875" style="271" bestFit="1" customWidth="1"/>
    <col min="241" max="242" width="6.75" style="271" customWidth="1"/>
    <col min="243" max="243" width="3.5" style="271" customWidth="1"/>
    <col min="244" max="244" width="8.5" style="271" customWidth="1"/>
    <col min="245" max="245" width="13.25" style="271" customWidth="1"/>
    <col min="246" max="246" width="4.5" style="271" customWidth="1"/>
    <col min="247" max="247" width="8.5" style="271" customWidth="1"/>
    <col min="248" max="248" width="12" style="271" customWidth="1"/>
    <col min="249" max="249" width="4.5" style="271" customWidth="1"/>
    <col min="250" max="250" width="8.5" style="271" customWidth="1"/>
    <col min="251" max="251" width="11" style="271" customWidth="1"/>
    <col min="252" max="252" width="4.5" style="271" customWidth="1"/>
    <col min="253" max="253" width="8.5" style="271" customWidth="1"/>
    <col min="254" max="254" width="11.125" style="271" customWidth="1"/>
    <col min="255" max="255" width="4.5" style="271" customWidth="1"/>
    <col min="256" max="256" width="8.5" style="271" customWidth="1"/>
    <col min="257" max="257" width="11.125" style="271" customWidth="1"/>
    <col min="258" max="258" width="4.5" style="271" customWidth="1"/>
    <col min="259" max="259" width="8.5" style="271" customWidth="1"/>
    <col min="260" max="260" width="11.125" style="271" customWidth="1"/>
    <col min="261" max="261" width="4.5" style="271" customWidth="1"/>
    <col min="262" max="262" width="8.5" style="271" customWidth="1"/>
    <col min="263" max="263" width="11.125" style="271" customWidth="1"/>
    <col min="264" max="264" width="4.5" style="271" customWidth="1"/>
    <col min="265" max="265" width="8.5" style="271" customWidth="1"/>
    <col min="266" max="266" width="11.125" style="271" customWidth="1"/>
    <col min="267" max="267" width="4.5" style="271" customWidth="1"/>
    <col min="268" max="268" width="8.5" style="271" customWidth="1"/>
    <col min="269" max="269" width="11.125" style="271" customWidth="1"/>
    <col min="270" max="270" width="4.5" style="271" customWidth="1"/>
    <col min="271" max="271" width="8.5" style="271" customWidth="1"/>
    <col min="272" max="272" width="11.125" style="271" customWidth="1"/>
    <col min="273" max="273" width="4.5" style="271" customWidth="1"/>
    <col min="274" max="274" width="8.5" style="271" customWidth="1"/>
    <col min="275" max="275" width="11.125" style="271" customWidth="1"/>
    <col min="276" max="276" width="4.5" style="271" customWidth="1"/>
    <col min="277" max="277" width="8.5" style="271" customWidth="1"/>
    <col min="278" max="278" width="11.125" style="271" customWidth="1"/>
    <col min="279" max="279" width="4.5" style="271" customWidth="1"/>
    <col min="280" max="280" width="8.5" style="271" customWidth="1"/>
    <col min="281" max="281" width="11.125" style="271" customWidth="1"/>
    <col min="282" max="282" width="4.5" style="271" customWidth="1"/>
    <col min="283" max="283" width="8.5" style="271" customWidth="1"/>
    <col min="284" max="284" width="11.125" style="271" customWidth="1"/>
    <col min="285" max="285" width="33" style="271" customWidth="1"/>
    <col min="286" max="488" width="9" style="271"/>
    <col min="489" max="489" width="1.5" style="271" customWidth="1"/>
    <col min="490" max="490" width="3.125" style="271" customWidth="1"/>
    <col min="491" max="491" width="9.625" style="271" customWidth="1"/>
    <col min="492" max="492" width="18.125" style="271" customWidth="1"/>
    <col min="493" max="494" width="10.25" style="271" customWidth="1"/>
    <col min="495" max="495" width="8.5" style="271" customWidth="1"/>
    <col min="496" max="496" width="8.875" style="271" bestFit="1" customWidth="1"/>
    <col min="497" max="498" width="6.75" style="271" customWidth="1"/>
    <col min="499" max="499" width="3.5" style="271" customWidth="1"/>
    <col min="500" max="500" width="8.5" style="271" customWidth="1"/>
    <col min="501" max="501" width="13.25" style="271" customWidth="1"/>
    <col min="502" max="502" width="4.5" style="271" customWidth="1"/>
    <col min="503" max="503" width="8.5" style="271" customWidth="1"/>
    <col min="504" max="504" width="12" style="271" customWidth="1"/>
    <col min="505" max="505" width="4.5" style="271" customWidth="1"/>
    <col min="506" max="506" width="8.5" style="271" customWidth="1"/>
    <col min="507" max="507" width="11" style="271" customWidth="1"/>
    <col min="508" max="508" width="4.5" style="271" customWidth="1"/>
    <col min="509" max="509" width="8.5" style="271" customWidth="1"/>
    <col min="510" max="510" width="11.125" style="271" customWidth="1"/>
    <col min="511" max="511" width="4.5" style="271" customWidth="1"/>
    <col min="512" max="512" width="8.5" style="271" customWidth="1"/>
    <col min="513" max="513" width="11.125" style="271" customWidth="1"/>
    <col min="514" max="514" width="4.5" style="271" customWidth="1"/>
    <col min="515" max="515" width="8.5" style="271" customWidth="1"/>
    <col min="516" max="516" width="11.125" style="271" customWidth="1"/>
    <col min="517" max="517" width="4.5" style="271" customWidth="1"/>
    <col min="518" max="518" width="8.5" style="271" customWidth="1"/>
    <col min="519" max="519" width="11.125" style="271" customWidth="1"/>
    <col min="520" max="520" width="4.5" style="271" customWidth="1"/>
    <col min="521" max="521" width="8.5" style="271" customWidth="1"/>
    <col min="522" max="522" width="11.125" style="271" customWidth="1"/>
    <col min="523" max="523" width="4.5" style="271" customWidth="1"/>
    <col min="524" max="524" width="8.5" style="271" customWidth="1"/>
    <col min="525" max="525" width="11.125" style="271" customWidth="1"/>
    <col min="526" max="526" width="4.5" style="271" customWidth="1"/>
    <col min="527" max="527" width="8.5" style="271" customWidth="1"/>
    <col min="528" max="528" width="11.125" style="271" customWidth="1"/>
    <col min="529" max="529" width="4.5" style="271" customWidth="1"/>
    <col min="530" max="530" width="8.5" style="271" customWidth="1"/>
    <col min="531" max="531" width="11.125" style="271" customWidth="1"/>
    <col min="532" max="532" width="4.5" style="271" customWidth="1"/>
    <col min="533" max="533" width="8.5" style="271" customWidth="1"/>
    <col min="534" max="534" width="11.125" style="271" customWidth="1"/>
    <col min="535" max="535" width="4.5" style="271" customWidth="1"/>
    <col min="536" max="536" width="8.5" style="271" customWidth="1"/>
    <col min="537" max="537" width="11.125" style="271" customWidth="1"/>
    <col min="538" max="538" width="4.5" style="271" customWidth="1"/>
    <col min="539" max="539" width="8.5" style="271" customWidth="1"/>
    <col min="540" max="540" width="11.125" style="271" customWidth="1"/>
    <col min="541" max="541" width="33" style="271" customWidth="1"/>
    <col min="542" max="744" width="9" style="271"/>
    <col min="745" max="745" width="1.5" style="271" customWidth="1"/>
    <col min="746" max="746" width="3.125" style="271" customWidth="1"/>
    <col min="747" max="747" width="9.625" style="271" customWidth="1"/>
    <col min="748" max="748" width="18.125" style="271" customWidth="1"/>
    <col min="749" max="750" width="10.25" style="271" customWidth="1"/>
    <col min="751" max="751" width="8.5" style="271" customWidth="1"/>
    <col min="752" max="752" width="8.875" style="271" bestFit="1" customWidth="1"/>
    <col min="753" max="754" width="6.75" style="271" customWidth="1"/>
    <col min="755" max="755" width="3.5" style="271" customWidth="1"/>
    <col min="756" max="756" width="8.5" style="271" customWidth="1"/>
    <col min="757" max="757" width="13.25" style="271" customWidth="1"/>
    <col min="758" max="758" width="4.5" style="271" customWidth="1"/>
    <col min="759" max="759" width="8.5" style="271" customWidth="1"/>
    <col min="760" max="760" width="12" style="271" customWidth="1"/>
    <col min="761" max="761" width="4.5" style="271" customWidth="1"/>
    <col min="762" max="762" width="8.5" style="271" customWidth="1"/>
    <col min="763" max="763" width="11" style="271" customWidth="1"/>
    <col min="764" max="764" width="4.5" style="271" customWidth="1"/>
    <col min="765" max="765" width="8.5" style="271" customWidth="1"/>
    <col min="766" max="766" width="11.125" style="271" customWidth="1"/>
    <col min="767" max="767" width="4.5" style="271" customWidth="1"/>
    <col min="768" max="768" width="8.5" style="271" customWidth="1"/>
    <col min="769" max="769" width="11.125" style="271" customWidth="1"/>
    <col min="770" max="770" width="4.5" style="271" customWidth="1"/>
    <col min="771" max="771" width="8.5" style="271" customWidth="1"/>
    <col min="772" max="772" width="11.125" style="271" customWidth="1"/>
    <col min="773" max="773" width="4.5" style="271" customWidth="1"/>
    <col min="774" max="774" width="8.5" style="271" customWidth="1"/>
    <col min="775" max="775" width="11.125" style="271" customWidth="1"/>
    <col min="776" max="776" width="4.5" style="271" customWidth="1"/>
    <col min="777" max="777" width="8.5" style="271" customWidth="1"/>
    <col min="778" max="778" width="11.125" style="271" customWidth="1"/>
    <col min="779" max="779" width="4.5" style="271" customWidth="1"/>
    <col min="780" max="780" width="8.5" style="271" customWidth="1"/>
    <col min="781" max="781" width="11.125" style="271" customWidth="1"/>
    <col min="782" max="782" width="4.5" style="271" customWidth="1"/>
    <col min="783" max="783" width="8.5" style="271" customWidth="1"/>
    <col min="784" max="784" width="11.125" style="271" customWidth="1"/>
    <col min="785" max="785" width="4.5" style="271" customWidth="1"/>
    <col min="786" max="786" width="8.5" style="271" customWidth="1"/>
    <col min="787" max="787" width="11.125" style="271" customWidth="1"/>
    <col min="788" max="788" width="4.5" style="271" customWidth="1"/>
    <col min="789" max="789" width="8.5" style="271" customWidth="1"/>
    <col min="790" max="790" width="11.125" style="271" customWidth="1"/>
    <col min="791" max="791" width="4.5" style="271" customWidth="1"/>
    <col min="792" max="792" width="8.5" style="271" customWidth="1"/>
    <col min="793" max="793" width="11.125" style="271" customWidth="1"/>
    <col min="794" max="794" width="4.5" style="271" customWidth="1"/>
    <col min="795" max="795" width="8.5" style="271" customWidth="1"/>
    <col min="796" max="796" width="11.125" style="271" customWidth="1"/>
    <col min="797" max="797" width="33" style="271" customWidth="1"/>
    <col min="798" max="1000" width="9" style="271"/>
    <col min="1001" max="1001" width="1.5" style="271" customWidth="1"/>
    <col min="1002" max="1002" width="3.125" style="271" customWidth="1"/>
    <col min="1003" max="1003" width="9.625" style="271" customWidth="1"/>
    <col min="1004" max="1004" width="18.125" style="271" customWidth="1"/>
    <col min="1005" max="1006" width="10.25" style="271" customWidth="1"/>
    <col min="1007" max="1007" width="8.5" style="271" customWidth="1"/>
    <col min="1008" max="1008" width="8.875" style="271" bestFit="1" customWidth="1"/>
    <col min="1009" max="1010" width="6.75" style="271" customWidth="1"/>
    <col min="1011" max="1011" width="3.5" style="271" customWidth="1"/>
    <col min="1012" max="1012" width="8.5" style="271" customWidth="1"/>
    <col min="1013" max="1013" width="13.25" style="271" customWidth="1"/>
    <col min="1014" max="1014" width="4.5" style="271" customWidth="1"/>
    <col min="1015" max="1015" width="8.5" style="271" customWidth="1"/>
    <col min="1016" max="1016" width="12" style="271" customWidth="1"/>
    <col min="1017" max="1017" width="4.5" style="271" customWidth="1"/>
    <col min="1018" max="1018" width="8.5" style="271" customWidth="1"/>
    <col min="1019" max="1019" width="11" style="271" customWidth="1"/>
    <col min="1020" max="1020" width="4.5" style="271" customWidth="1"/>
    <col min="1021" max="1021" width="8.5" style="271" customWidth="1"/>
    <col min="1022" max="1022" width="11.125" style="271" customWidth="1"/>
    <col min="1023" max="1023" width="4.5" style="271" customWidth="1"/>
    <col min="1024" max="1024" width="8.5" style="271" customWidth="1"/>
    <col min="1025" max="1025" width="11.125" style="271" customWidth="1"/>
    <col min="1026" max="1026" width="4.5" style="271" customWidth="1"/>
    <col min="1027" max="1027" width="8.5" style="271" customWidth="1"/>
    <col min="1028" max="1028" width="11.125" style="271" customWidth="1"/>
    <col min="1029" max="1029" width="4.5" style="271" customWidth="1"/>
    <col min="1030" max="1030" width="8.5" style="271" customWidth="1"/>
    <col min="1031" max="1031" width="11.125" style="271" customWidth="1"/>
    <col min="1032" max="1032" width="4.5" style="271" customWidth="1"/>
    <col min="1033" max="1033" width="8.5" style="271" customWidth="1"/>
    <col min="1034" max="1034" width="11.125" style="271" customWidth="1"/>
    <col min="1035" max="1035" width="4.5" style="271" customWidth="1"/>
    <col min="1036" max="1036" width="8.5" style="271" customWidth="1"/>
    <col min="1037" max="1037" width="11.125" style="271" customWidth="1"/>
    <col min="1038" max="1038" width="4.5" style="271" customWidth="1"/>
    <col min="1039" max="1039" width="8.5" style="271" customWidth="1"/>
    <col min="1040" max="1040" width="11.125" style="271" customWidth="1"/>
    <col min="1041" max="1041" width="4.5" style="271" customWidth="1"/>
    <col min="1042" max="1042" width="8.5" style="271" customWidth="1"/>
    <col min="1043" max="1043" width="11.125" style="271" customWidth="1"/>
    <col min="1044" max="1044" width="4.5" style="271" customWidth="1"/>
    <col min="1045" max="1045" width="8.5" style="271" customWidth="1"/>
    <col min="1046" max="1046" width="11.125" style="271" customWidth="1"/>
    <col min="1047" max="1047" width="4.5" style="271" customWidth="1"/>
    <col min="1048" max="1048" width="8.5" style="271" customWidth="1"/>
    <col min="1049" max="1049" width="11.125" style="271" customWidth="1"/>
    <col min="1050" max="1050" width="4.5" style="271" customWidth="1"/>
    <col min="1051" max="1051" width="8.5" style="271" customWidth="1"/>
    <col min="1052" max="1052" width="11.125" style="271" customWidth="1"/>
    <col min="1053" max="1053" width="33" style="271" customWidth="1"/>
    <col min="1054" max="1256" width="9" style="271"/>
    <col min="1257" max="1257" width="1.5" style="271" customWidth="1"/>
    <col min="1258" max="1258" width="3.125" style="271" customWidth="1"/>
    <col min="1259" max="1259" width="9.625" style="271" customWidth="1"/>
    <col min="1260" max="1260" width="18.125" style="271" customWidth="1"/>
    <col min="1261" max="1262" width="10.25" style="271" customWidth="1"/>
    <col min="1263" max="1263" width="8.5" style="271" customWidth="1"/>
    <col min="1264" max="1264" width="8.875" style="271" bestFit="1" customWidth="1"/>
    <col min="1265" max="1266" width="6.75" style="271" customWidth="1"/>
    <col min="1267" max="1267" width="3.5" style="271" customWidth="1"/>
    <col min="1268" max="1268" width="8.5" style="271" customWidth="1"/>
    <col min="1269" max="1269" width="13.25" style="271" customWidth="1"/>
    <col min="1270" max="1270" width="4.5" style="271" customWidth="1"/>
    <col min="1271" max="1271" width="8.5" style="271" customWidth="1"/>
    <col min="1272" max="1272" width="12" style="271" customWidth="1"/>
    <col min="1273" max="1273" width="4.5" style="271" customWidth="1"/>
    <col min="1274" max="1274" width="8.5" style="271" customWidth="1"/>
    <col min="1275" max="1275" width="11" style="271" customWidth="1"/>
    <col min="1276" max="1276" width="4.5" style="271" customWidth="1"/>
    <col min="1277" max="1277" width="8.5" style="271" customWidth="1"/>
    <col min="1278" max="1278" width="11.125" style="271" customWidth="1"/>
    <col min="1279" max="1279" width="4.5" style="271" customWidth="1"/>
    <col min="1280" max="1280" width="8.5" style="271" customWidth="1"/>
    <col min="1281" max="1281" width="11.125" style="271" customWidth="1"/>
    <col min="1282" max="1282" width="4.5" style="271" customWidth="1"/>
    <col min="1283" max="1283" width="8.5" style="271" customWidth="1"/>
    <col min="1284" max="1284" width="11.125" style="271" customWidth="1"/>
    <col min="1285" max="1285" width="4.5" style="271" customWidth="1"/>
    <col min="1286" max="1286" width="8.5" style="271" customWidth="1"/>
    <col min="1287" max="1287" width="11.125" style="271" customWidth="1"/>
    <col min="1288" max="1288" width="4.5" style="271" customWidth="1"/>
    <col min="1289" max="1289" width="8.5" style="271" customWidth="1"/>
    <col min="1290" max="1290" width="11.125" style="271" customWidth="1"/>
    <col min="1291" max="1291" width="4.5" style="271" customWidth="1"/>
    <col min="1292" max="1292" width="8.5" style="271" customWidth="1"/>
    <col min="1293" max="1293" width="11.125" style="271" customWidth="1"/>
    <col min="1294" max="1294" width="4.5" style="271" customWidth="1"/>
    <col min="1295" max="1295" width="8.5" style="271" customWidth="1"/>
    <col min="1296" max="1296" width="11.125" style="271" customWidth="1"/>
    <col min="1297" max="1297" width="4.5" style="271" customWidth="1"/>
    <col min="1298" max="1298" width="8.5" style="271" customWidth="1"/>
    <col min="1299" max="1299" width="11.125" style="271" customWidth="1"/>
    <col min="1300" max="1300" width="4.5" style="271" customWidth="1"/>
    <col min="1301" max="1301" width="8.5" style="271" customWidth="1"/>
    <col min="1302" max="1302" width="11.125" style="271" customWidth="1"/>
    <col min="1303" max="1303" width="4.5" style="271" customWidth="1"/>
    <col min="1304" max="1304" width="8.5" style="271" customWidth="1"/>
    <col min="1305" max="1305" width="11.125" style="271" customWidth="1"/>
    <col min="1306" max="1306" width="4.5" style="271" customWidth="1"/>
    <col min="1307" max="1307" width="8.5" style="271" customWidth="1"/>
    <col min="1308" max="1308" width="11.125" style="271" customWidth="1"/>
    <col min="1309" max="1309" width="33" style="271" customWidth="1"/>
    <col min="1310" max="1512" width="9" style="271"/>
    <col min="1513" max="1513" width="1.5" style="271" customWidth="1"/>
    <col min="1514" max="1514" width="3.125" style="271" customWidth="1"/>
    <col min="1515" max="1515" width="9.625" style="271" customWidth="1"/>
    <col min="1516" max="1516" width="18.125" style="271" customWidth="1"/>
    <col min="1517" max="1518" width="10.25" style="271" customWidth="1"/>
    <col min="1519" max="1519" width="8.5" style="271" customWidth="1"/>
    <col min="1520" max="1520" width="8.875" style="271" bestFit="1" customWidth="1"/>
    <col min="1521" max="1522" width="6.75" style="271" customWidth="1"/>
    <col min="1523" max="1523" width="3.5" style="271" customWidth="1"/>
    <col min="1524" max="1524" width="8.5" style="271" customWidth="1"/>
    <col min="1525" max="1525" width="13.25" style="271" customWidth="1"/>
    <col min="1526" max="1526" width="4.5" style="271" customWidth="1"/>
    <col min="1527" max="1527" width="8.5" style="271" customWidth="1"/>
    <col min="1528" max="1528" width="12" style="271" customWidth="1"/>
    <col min="1529" max="1529" width="4.5" style="271" customWidth="1"/>
    <col min="1530" max="1530" width="8.5" style="271" customWidth="1"/>
    <col min="1531" max="1531" width="11" style="271" customWidth="1"/>
    <col min="1532" max="1532" width="4.5" style="271" customWidth="1"/>
    <col min="1533" max="1533" width="8.5" style="271" customWidth="1"/>
    <col min="1534" max="1534" width="11.125" style="271" customWidth="1"/>
    <col min="1535" max="1535" width="4.5" style="271" customWidth="1"/>
    <col min="1536" max="1536" width="8.5" style="271" customWidth="1"/>
    <col min="1537" max="1537" width="11.125" style="271" customWidth="1"/>
    <col min="1538" max="1538" width="4.5" style="271" customWidth="1"/>
    <col min="1539" max="1539" width="8.5" style="271" customWidth="1"/>
    <col min="1540" max="1540" width="11.125" style="271" customWidth="1"/>
    <col min="1541" max="1541" width="4.5" style="271" customWidth="1"/>
    <col min="1542" max="1542" width="8.5" style="271" customWidth="1"/>
    <col min="1543" max="1543" width="11.125" style="271" customWidth="1"/>
    <col min="1544" max="1544" width="4.5" style="271" customWidth="1"/>
    <col min="1545" max="1545" width="8.5" style="271" customWidth="1"/>
    <col min="1546" max="1546" width="11.125" style="271" customWidth="1"/>
    <col min="1547" max="1547" width="4.5" style="271" customWidth="1"/>
    <col min="1548" max="1548" width="8.5" style="271" customWidth="1"/>
    <col min="1549" max="1549" width="11.125" style="271" customWidth="1"/>
    <col min="1550" max="1550" width="4.5" style="271" customWidth="1"/>
    <col min="1551" max="1551" width="8.5" style="271" customWidth="1"/>
    <col min="1552" max="1552" width="11.125" style="271" customWidth="1"/>
    <col min="1553" max="1553" width="4.5" style="271" customWidth="1"/>
    <col min="1554" max="1554" width="8.5" style="271" customWidth="1"/>
    <col min="1555" max="1555" width="11.125" style="271" customWidth="1"/>
    <col min="1556" max="1556" width="4.5" style="271" customWidth="1"/>
    <col min="1557" max="1557" width="8.5" style="271" customWidth="1"/>
    <col min="1558" max="1558" width="11.125" style="271" customWidth="1"/>
    <col min="1559" max="1559" width="4.5" style="271" customWidth="1"/>
    <col min="1560" max="1560" width="8.5" style="271" customWidth="1"/>
    <col min="1561" max="1561" width="11.125" style="271" customWidth="1"/>
    <col min="1562" max="1562" width="4.5" style="271" customWidth="1"/>
    <col min="1563" max="1563" width="8.5" style="271" customWidth="1"/>
    <col min="1564" max="1564" width="11.125" style="271" customWidth="1"/>
    <col min="1565" max="1565" width="33" style="271" customWidth="1"/>
    <col min="1566" max="1768" width="9" style="271"/>
    <col min="1769" max="1769" width="1.5" style="271" customWidth="1"/>
    <col min="1770" max="1770" width="3.125" style="271" customWidth="1"/>
    <col min="1771" max="1771" width="9.625" style="271" customWidth="1"/>
    <col min="1772" max="1772" width="18.125" style="271" customWidth="1"/>
    <col min="1773" max="1774" width="10.25" style="271" customWidth="1"/>
    <col min="1775" max="1775" width="8.5" style="271" customWidth="1"/>
    <col min="1776" max="1776" width="8.875" style="271" bestFit="1" customWidth="1"/>
    <col min="1777" max="1778" width="6.75" style="271" customWidth="1"/>
    <col min="1779" max="1779" width="3.5" style="271" customWidth="1"/>
    <col min="1780" max="1780" width="8.5" style="271" customWidth="1"/>
    <col min="1781" max="1781" width="13.25" style="271" customWidth="1"/>
    <col min="1782" max="1782" width="4.5" style="271" customWidth="1"/>
    <col min="1783" max="1783" width="8.5" style="271" customWidth="1"/>
    <col min="1784" max="1784" width="12" style="271" customWidth="1"/>
    <col min="1785" max="1785" width="4.5" style="271" customWidth="1"/>
    <col min="1786" max="1786" width="8.5" style="271" customWidth="1"/>
    <col min="1787" max="1787" width="11" style="271" customWidth="1"/>
    <col min="1788" max="1788" width="4.5" style="271" customWidth="1"/>
    <col min="1789" max="1789" width="8.5" style="271" customWidth="1"/>
    <col min="1790" max="1790" width="11.125" style="271" customWidth="1"/>
    <col min="1791" max="1791" width="4.5" style="271" customWidth="1"/>
    <col min="1792" max="1792" width="8.5" style="271" customWidth="1"/>
    <col min="1793" max="1793" width="11.125" style="271" customWidth="1"/>
    <col min="1794" max="1794" width="4.5" style="271" customWidth="1"/>
    <col min="1795" max="1795" width="8.5" style="271" customWidth="1"/>
    <col min="1796" max="1796" width="11.125" style="271" customWidth="1"/>
    <col min="1797" max="1797" width="4.5" style="271" customWidth="1"/>
    <col min="1798" max="1798" width="8.5" style="271" customWidth="1"/>
    <col min="1799" max="1799" width="11.125" style="271" customWidth="1"/>
    <col min="1800" max="1800" width="4.5" style="271" customWidth="1"/>
    <col min="1801" max="1801" width="8.5" style="271" customWidth="1"/>
    <col min="1802" max="1802" width="11.125" style="271" customWidth="1"/>
    <col min="1803" max="1803" width="4.5" style="271" customWidth="1"/>
    <col min="1804" max="1804" width="8.5" style="271" customWidth="1"/>
    <col min="1805" max="1805" width="11.125" style="271" customWidth="1"/>
    <col min="1806" max="1806" width="4.5" style="271" customWidth="1"/>
    <col min="1807" max="1807" width="8.5" style="271" customWidth="1"/>
    <col min="1808" max="1808" width="11.125" style="271" customWidth="1"/>
    <col min="1809" max="1809" width="4.5" style="271" customWidth="1"/>
    <col min="1810" max="1810" width="8.5" style="271" customWidth="1"/>
    <col min="1811" max="1811" width="11.125" style="271" customWidth="1"/>
    <col min="1812" max="1812" width="4.5" style="271" customWidth="1"/>
    <col min="1813" max="1813" width="8.5" style="271" customWidth="1"/>
    <col min="1814" max="1814" width="11.125" style="271" customWidth="1"/>
    <col min="1815" max="1815" width="4.5" style="271" customWidth="1"/>
    <col min="1816" max="1816" width="8.5" style="271" customWidth="1"/>
    <col min="1817" max="1817" width="11.125" style="271" customWidth="1"/>
    <col min="1818" max="1818" width="4.5" style="271" customWidth="1"/>
    <col min="1819" max="1819" width="8.5" style="271" customWidth="1"/>
    <col min="1820" max="1820" width="11.125" style="271" customWidth="1"/>
    <col min="1821" max="1821" width="33" style="271" customWidth="1"/>
    <col min="1822" max="2024" width="9" style="271"/>
    <col min="2025" max="2025" width="1.5" style="271" customWidth="1"/>
    <col min="2026" max="2026" width="3.125" style="271" customWidth="1"/>
    <col min="2027" max="2027" width="9.625" style="271" customWidth="1"/>
    <col min="2028" max="2028" width="18.125" style="271" customWidth="1"/>
    <col min="2029" max="2030" width="10.25" style="271" customWidth="1"/>
    <col min="2031" max="2031" width="8.5" style="271" customWidth="1"/>
    <col min="2032" max="2032" width="8.875" style="271" bestFit="1" customWidth="1"/>
    <col min="2033" max="2034" width="6.75" style="271" customWidth="1"/>
    <col min="2035" max="2035" width="3.5" style="271" customWidth="1"/>
    <col min="2036" max="2036" width="8.5" style="271" customWidth="1"/>
    <col min="2037" max="2037" width="13.25" style="271" customWidth="1"/>
    <col min="2038" max="2038" width="4.5" style="271" customWidth="1"/>
    <col min="2039" max="2039" width="8.5" style="271" customWidth="1"/>
    <col min="2040" max="2040" width="12" style="271" customWidth="1"/>
    <col min="2041" max="2041" width="4.5" style="271" customWidth="1"/>
    <col min="2042" max="2042" width="8.5" style="271" customWidth="1"/>
    <col min="2043" max="2043" width="11" style="271" customWidth="1"/>
    <col min="2044" max="2044" width="4.5" style="271" customWidth="1"/>
    <col min="2045" max="2045" width="8.5" style="271" customWidth="1"/>
    <col min="2046" max="2046" width="11.125" style="271" customWidth="1"/>
    <col min="2047" max="2047" width="4.5" style="271" customWidth="1"/>
    <col min="2048" max="2048" width="8.5" style="271" customWidth="1"/>
    <col min="2049" max="2049" width="11.125" style="271" customWidth="1"/>
    <col min="2050" max="2050" width="4.5" style="271" customWidth="1"/>
    <col min="2051" max="2051" width="8.5" style="271" customWidth="1"/>
    <col min="2052" max="2052" width="11.125" style="271" customWidth="1"/>
    <col min="2053" max="2053" width="4.5" style="271" customWidth="1"/>
    <col min="2054" max="2054" width="8.5" style="271" customWidth="1"/>
    <col min="2055" max="2055" width="11.125" style="271" customWidth="1"/>
    <col min="2056" max="2056" width="4.5" style="271" customWidth="1"/>
    <col min="2057" max="2057" width="8.5" style="271" customWidth="1"/>
    <col min="2058" max="2058" width="11.125" style="271" customWidth="1"/>
    <col min="2059" max="2059" width="4.5" style="271" customWidth="1"/>
    <col min="2060" max="2060" width="8.5" style="271" customWidth="1"/>
    <col min="2061" max="2061" width="11.125" style="271" customWidth="1"/>
    <col min="2062" max="2062" width="4.5" style="271" customWidth="1"/>
    <col min="2063" max="2063" width="8.5" style="271" customWidth="1"/>
    <col min="2064" max="2064" width="11.125" style="271" customWidth="1"/>
    <col min="2065" max="2065" width="4.5" style="271" customWidth="1"/>
    <col min="2066" max="2066" width="8.5" style="271" customWidth="1"/>
    <col min="2067" max="2067" width="11.125" style="271" customWidth="1"/>
    <col min="2068" max="2068" width="4.5" style="271" customWidth="1"/>
    <col min="2069" max="2069" width="8.5" style="271" customWidth="1"/>
    <col min="2070" max="2070" width="11.125" style="271" customWidth="1"/>
    <col min="2071" max="2071" width="4.5" style="271" customWidth="1"/>
    <col min="2072" max="2072" width="8.5" style="271" customWidth="1"/>
    <col min="2073" max="2073" width="11.125" style="271" customWidth="1"/>
    <col min="2074" max="2074" width="4.5" style="271" customWidth="1"/>
    <col min="2075" max="2075" width="8.5" style="271" customWidth="1"/>
    <col min="2076" max="2076" width="11.125" style="271" customWidth="1"/>
    <col min="2077" max="2077" width="33" style="271" customWidth="1"/>
    <col min="2078" max="2280" width="9" style="271"/>
    <col min="2281" max="2281" width="1.5" style="271" customWidth="1"/>
    <col min="2282" max="2282" width="3.125" style="271" customWidth="1"/>
    <col min="2283" max="2283" width="9.625" style="271" customWidth="1"/>
    <col min="2284" max="2284" width="18.125" style="271" customWidth="1"/>
    <col min="2285" max="2286" width="10.25" style="271" customWidth="1"/>
    <col min="2287" max="2287" width="8.5" style="271" customWidth="1"/>
    <col min="2288" max="2288" width="8.875" style="271" bestFit="1" customWidth="1"/>
    <col min="2289" max="2290" width="6.75" style="271" customWidth="1"/>
    <col min="2291" max="2291" width="3.5" style="271" customWidth="1"/>
    <col min="2292" max="2292" width="8.5" style="271" customWidth="1"/>
    <col min="2293" max="2293" width="13.25" style="271" customWidth="1"/>
    <col min="2294" max="2294" width="4.5" style="271" customWidth="1"/>
    <col min="2295" max="2295" width="8.5" style="271" customWidth="1"/>
    <col min="2296" max="2296" width="12" style="271" customWidth="1"/>
    <col min="2297" max="2297" width="4.5" style="271" customWidth="1"/>
    <col min="2298" max="2298" width="8.5" style="271" customWidth="1"/>
    <col min="2299" max="2299" width="11" style="271" customWidth="1"/>
    <col min="2300" max="2300" width="4.5" style="271" customWidth="1"/>
    <col min="2301" max="2301" width="8.5" style="271" customWidth="1"/>
    <col min="2302" max="2302" width="11.125" style="271" customWidth="1"/>
    <col min="2303" max="2303" width="4.5" style="271" customWidth="1"/>
    <col min="2304" max="2304" width="8.5" style="271" customWidth="1"/>
    <col min="2305" max="2305" width="11.125" style="271" customWidth="1"/>
    <col min="2306" max="2306" width="4.5" style="271" customWidth="1"/>
    <col min="2307" max="2307" width="8.5" style="271" customWidth="1"/>
    <col min="2308" max="2308" width="11.125" style="271" customWidth="1"/>
    <col min="2309" max="2309" width="4.5" style="271" customWidth="1"/>
    <col min="2310" max="2310" width="8.5" style="271" customWidth="1"/>
    <col min="2311" max="2311" width="11.125" style="271" customWidth="1"/>
    <col min="2312" max="2312" width="4.5" style="271" customWidth="1"/>
    <col min="2313" max="2313" width="8.5" style="271" customWidth="1"/>
    <col min="2314" max="2314" width="11.125" style="271" customWidth="1"/>
    <col min="2315" max="2315" width="4.5" style="271" customWidth="1"/>
    <col min="2316" max="2316" width="8.5" style="271" customWidth="1"/>
    <col min="2317" max="2317" width="11.125" style="271" customWidth="1"/>
    <col min="2318" max="2318" width="4.5" style="271" customWidth="1"/>
    <col min="2319" max="2319" width="8.5" style="271" customWidth="1"/>
    <col min="2320" max="2320" width="11.125" style="271" customWidth="1"/>
    <col min="2321" max="2321" width="4.5" style="271" customWidth="1"/>
    <col min="2322" max="2322" width="8.5" style="271" customWidth="1"/>
    <col min="2323" max="2323" width="11.125" style="271" customWidth="1"/>
    <col min="2324" max="2324" width="4.5" style="271" customWidth="1"/>
    <col min="2325" max="2325" width="8.5" style="271" customWidth="1"/>
    <col min="2326" max="2326" width="11.125" style="271" customWidth="1"/>
    <col min="2327" max="2327" width="4.5" style="271" customWidth="1"/>
    <col min="2328" max="2328" width="8.5" style="271" customWidth="1"/>
    <col min="2329" max="2329" width="11.125" style="271" customWidth="1"/>
    <col min="2330" max="2330" width="4.5" style="271" customWidth="1"/>
    <col min="2331" max="2331" width="8.5" style="271" customWidth="1"/>
    <col min="2332" max="2332" width="11.125" style="271" customWidth="1"/>
    <col min="2333" max="2333" width="33" style="271" customWidth="1"/>
    <col min="2334" max="2536" width="9" style="271"/>
    <col min="2537" max="2537" width="1.5" style="271" customWidth="1"/>
    <col min="2538" max="2538" width="3.125" style="271" customWidth="1"/>
    <col min="2539" max="2539" width="9.625" style="271" customWidth="1"/>
    <col min="2540" max="2540" width="18.125" style="271" customWidth="1"/>
    <col min="2541" max="2542" width="10.25" style="271" customWidth="1"/>
    <col min="2543" max="2543" width="8.5" style="271" customWidth="1"/>
    <col min="2544" max="2544" width="8.875" style="271" bestFit="1" customWidth="1"/>
    <col min="2545" max="2546" width="6.75" style="271" customWidth="1"/>
    <col min="2547" max="2547" width="3.5" style="271" customWidth="1"/>
    <col min="2548" max="2548" width="8.5" style="271" customWidth="1"/>
    <col min="2549" max="2549" width="13.25" style="271" customWidth="1"/>
    <col min="2550" max="2550" width="4.5" style="271" customWidth="1"/>
    <col min="2551" max="2551" width="8.5" style="271" customWidth="1"/>
    <col min="2552" max="2552" width="12" style="271" customWidth="1"/>
    <col min="2553" max="2553" width="4.5" style="271" customWidth="1"/>
    <col min="2554" max="2554" width="8.5" style="271" customWidth="1"/>
    <col min="2555" max="2555" width="11" style="271" customWidth="1"/>
    <col min="2556" max="2556" width="4.5" style="271" customWidth="1"/>
    <col min="2557" max="2557" width="8.5" style="271" customWidth="1"/>
    <col min="2558" max="2558" width="11.125" style="271" customWidth="1"/>
    <col min="2559" max="2559" width="4.5" style="271" customWidth="1"/>
    <col min="2560" max="2560" width="8.5" style="271" customWidth="1"/>
    <col min="2561" max="2561" width="11.125" style="271" customWidth="1"/>
    <col min="2562" max="2562" width="4.5" style="271" customWidth="1"/>
    <col min="2563" max="2563" width="8.5" style="271" customWidth="1"/>
    <col min="2564" max="2564" width="11.125" style="271" customWidth="1"/>
    <col min="2565" max="2565" width="4.5" style="271" customWidth="1"/>
    <col min="2566" max="2566" width="8.5" style="271" customWidth="1"/>
    <col min="2567" max="2567" width="11.125" style="271" customWidth="1"/>
    <col min="2568" max="2568" width="4.5" style="271" customWidth="1"/>
    <col min="2569" max="2569" width="8.5" style="271" customWidth="1"/>
    <col min="2570" max="2570" width="11.125" style="271" customWidth="1"/>
    <col min="2571" max="2571" width="4.5" style="271" customWidth="1"/>
    <col min="2572" max="2572" width="8.5" style="271" customWidth="1"/>
    <col min="2573" max="2573" width="11.125" style="271" customWidth="1"/>
    <col min="2574" max="2574" width="4.5" style="271" customWidth="1"/>
    <col min="2575" max="2575" width="8.5" style="271" customWidth="1"/>
    <col min="2576" max="2576" width="11.125" style="271" customWidth="1"/>
    <col min="2577" max="2577" width="4.5" style="271" customWidth="1"/>
    <col min="2578" max="2578" width="8.5" style="271" customWidth="1"/>
    <col min="2579" max="2579" width="11.125" style="271" customWidth="1"/>
    <col min="2580" max="2580" width="4.5" style="271" customWidth="1"/>
    <col min="2581" max="2581" width="8.5" style="271" customWidth="1"/>
    <col min="2582" max="2582" width="11.125" style="271" customWidth="1"/>
    <col min="2583" max="2583" width="4.5" style="271" customWidth="1"/>
    <col min="2584" max="2584" width="8.5" style="271" customWidth="1"/>
    <col min="2585" max="2585" width="11.125" style="271" customWidth="1"/>
    <col min="2586" max="2586" width="4.5" style="271" customWidth="1"/>
    <col min="2587" max="2587" width="8.5" style="271" customWidth="1"/>
    <col min="2588" max="2588" width="11.125" style="271" customWidth="1"/>
    <col min="2589" max="2589" width="33" style="271" customWidth="1"/>
    <col min="2590" max="2792" width="9" style="271"/>
    <col min="2793" max="2793" width="1.5" style="271" customWidth="1"/>
    <col min="2794" max="2794" width="3.125" style="271" customWidth="1"/>
    <col min="2795" max="2795" width="9.625" style="271" customWidth="1"/>
    <col min="2796" max="2796" width="18.125" style="271" customWidth="1"/>
    <col min="2797" max="2798" width="10.25" style="271" customWidth="1"/>
    <col min="2799" max="2799" width="8.5" style="271" customWidth="1"/>
    <col min="2800" max="2800" width="8.875" style="271" bestFit="1" customWidth="1"/>
    <col min="2801" max="2802" width="6.75" style="271" customWidth="1"/>
    <col min="2803" max="2803" width="3.5" style="271" customWidth="1"/>
    <col min="2804" max="2804" width="8.5" style="271" customWidth="1"/>
    <col min="2805" max="2805" width="13.25" style="271" customWidth="1"/>
    <col min="2806" max="2806" width="4.5" style="271" customWidth="1"/>
    <col min="2807" max="2807" width="8.5" style="271" customWidth="1"/>
    <col min="2808" max="2808" width="12" style="271" customWidth="1"/>
    <col min="2809" max="2809" width="4.5" style="271" customWidth="1"/>
    <col min="2810" max="2810" width="8.5" style="271" customWidth="1"/>
    <col min="2811" max="2811" width="11" style="271" customWidth="1"/>
    <col min="2812" max="2812" width="4.5" style="271" customWidth="1"/>
    <col min="2813" max="2813" width="8.5" style="271" customWidth="1"/>
    <col min="2814" max="2814" width="11.125" style="271" customWidth="1"/>
    <col min="2815" max="2815" width="4.5" style="271" customWidth="1"/>
    <col min="2816" max="2816" width="8.5" style="271" customWidth="1"/>
    <col min="2817" max="2817" width="11.125" style="271" customWidth="1"/>
    <col min="2818" max="2818" width="4.5" style="271" customWidth="1"/>
    <col min="2819" max="2819" width="8.5" style="271" customWidth="1"/>
    <col min="2820" max="2820" width="11.125" style="271" customWidth="1"/>
    <col min="2821" max="2821" width="4.5" style="271" customWidth="1"/>
    <col min="2822" max="2822" width="8.5" style="271" customWidth="1"/>
    <col min="2823" max="2823" width="11.125" style="271" customWidth="1"/>
    <col min="2824" max="2824" width="4.5" style="271" customWidth="1"/>
    <col min="2825" max="2825" width="8.5" style="271" customWidth="1"/>
    <col min="2826" max="2826" width="11.125" style="271" customWidth="1"/>
    <col min="2827" max="2827" width="4.5" style="271" customWidth="1"/>
    <col min="2828" max="2828" width="8.5" style="271" customWidth="1"/>
    <col min="2829" max="2829" width="11.125" style="271" customWidth="1"/>
    <col min="2830" max="2830" width="4.5" style="271" customWidth="1"/>
    <col min="2831" max="2831" width="8.5" style="271" customWidth="1"/>
    <col min="2832" max="2832" width="11.125" style="271" customWidth="1"/>
    <col min="2833" max="2833" width="4.5" style="271" customWidth="1"/>
    <col min="2834" max="2834" width="8.5" style="271" customWidth="1"/>
    <col min="2835" max="2835" width="11.125" style="271" customWidth="1"/>
    <col min="2836" max="2836" width="4.5" style="271" customWidth="1"/>
    <col min="2837" max="2837" width="8.5" style="271" customWidth="1"/>
    <col min="2838" max="2838" width="11.125" style="271" customWidth="1"/>
    <col min="2839" max="2839" width="4.5" style="271" customWidth="1"/>
    <col min="2840" max="2840" width="8.5" style="271" customWidth="1"/>
    <col min="2841" max="2841" width="11.125" style="271" customWidth="1"/>
    <col min="2842" max="2842" width="4.5" style="271" customWidth="1"/>
    <col min="2843" max="2843" width="8.5" style="271" customWidth="1"/>
    <col min="2844" max="2844" width="11.125" style="271" customWidth="1"/>
    <col min="2845" max="2845" width="33" style="271" customWidth="1"/>
    <col min="2846" max="3048" width="9" style="271"/>
    <col min="3049" max="3049" width="1.5" style="271" customWidth="1"/>
    <col min="3050" max="3050" width="3.125" style="271" customWidth="1"/>
    <col min="3051" max="3051" width="9.625" style="271" customWidth="1"/>
    <col min="3052" max="3052" width="18.125" style="271" customWidth="1"/>
    <col min="3053" max="3054" width="10.25" style="271" customWidth="1"/>
    <col min="3055" max="3055" width="8.5" style="271" customWidth="1"/>
    <col min="3056" max="3056" width="8.875" style="271" bestFit="1" customWidth="1"/>
    <col min="3057" max="3058" width="6.75" style="271" customWidth="1"/>
    <col min="3059" max="3059" width="3.5" style="271" customWidth="1"/>
    <col min="3060" max="3060" width="8.5" style="271" customWidth="1"/>
    <col min="3061" max="3061" width="13.25" style="271" customWidth="1"/>
    <col min="3062" max="3062" width="4.5" style="271" customWidth="1"/>
    <col min="3063" max="3063" width="8.5" style="271" customWidth="1"/>
    <col min="3064" max="3064" width="12" style="271" customWidth="1"/>
    <col min="3065" max="3065" width="4.5" style="271" customWidth="1"/>
    <col min="3066" max="3066" width="8.5" style="271" customWidth="1"/>
    <col min="3067" max="3067" width="11" style="271" customWidth="1"/>
    <col min="3068" max="3068" width="4.5" style="271" customWidth="1"/>
    <col min="3069" max="3069" width="8.5" style="271" customWidth="1"/>
    <col min="3070" max="3070" width="11.125" style="271" customWidth="1"/>
    <col min="3071" max="3071" width="4.5" style="271" customWidth="1"/>
    <col min="3072" max="3072" width="8.5" style="271" customWidth="1"/>
    <col min="3073" max="3073" width="11.125" style="271" customWidth="1"/>
    <col min="3074" max="3074" width="4.5" style="271" customWidth="1"/>
    <col min="3075" max="3075" width="8.5" style="271" customWidth="1"/>
    <col min="3076" max="3076" width="11.125" style="271" customWidth="1"/>
    <col min="3077" max="3077" width="4.5" style="271" customWidth="1"/>
    <col min="3078" max="3078" width="8.5" style="271" customWidth="1"/>
    <col min="3079" max="3079" width="11.125" style="271" customWidth="1"/>
    <col min="3080" max="3080" width="4.5" style="271" customWidth="1"/>
    <col min="3081" max="3081" width="8.5" style="271" customWidth="1"/>
    <col min="3082" max="3082" width="11.125" style="271" customWidth="1"/>
    <col min="3083" max="3083" width="4.5" style="271" customWidth="1"/>
    <col min="3084" max="3084" width="8.5" style="271" customWidth="1"/>
    <col min="3085" max="3085" width="11.125" style="271" customWidth="1"/>
    <col min="3086" max="3086" width="4.5" style="271" customWidth="1"/>
    <col min="3087" max="3087" width="8.5" style="271" customWidth="1"/>
    <col min="3088" max="3088" width="11.125" style="271" customWidth="1"/>
    <col min="3089" max="3089" width="4.5" style="271" customWidth="1"/>
    <col min="3090" max="3090" width="8.5" style="271" customWidth="1"/>
    <col min="3091" max="3091" width="11.125" style="271" customWidth="1"/>
    <col min="3092" max="3092" width="4.5" style="271" customWidth="1"/>
    <col min="3093" max="3093" width="8.5" style="271" customWidth="1"/>
    <col min="3094" max="3094" width="11.125" style="271" customWidth="1"/>
    <col min="3095" max="3095" width="4.5" style="271" customWidth="1"/>
    <col min="3096" max="3096" width="8.5" style="271" customWidth="1"/>
    <col min="3097" max="3097" width="11.125" style="271" customWidth="1"/>
    <col min="3098" max="3098" width="4.5" style="271" customWidth="1"/>
    <col min="3099" max="3099" width="8.5" style="271" customWidth="1"/>
    <col min="3100" max="3100" width="11.125" style="271" customWidth="1"/>
    <col min="3101" max="3101" width="33" style="271" customWidth="1"/>
    <col min="3102" max="3304" width="9" style="271"/>
    <col min="3305" max="3305" width="1.5" style="271" customWidth="1"/>
    <col min="3306" max="3306" width="3.125" style="271" customWidth="1"/>
    <col min="3307" max="3307" width="9.625" style="271" customWidth="1"/>
    <col min="3308" max="3308" width="18.125" style="271" customWidth="1"/>
    <col min="3309" max="3310" width="10.25" style="271" customWidth="1"/>
    <col min="3311" max="3311" width="8.5" style="271" customWidth="1"/>
    <col min="3312" max="3312" width="8.875" style="271" bestFit="1" customWidth="1"/>
    <col min="3313" max="3314" width="6.75" style="271" customWidth="1"/>
    <col min="3315" max="3315" width="3.5" style="271" customWidth="1"/>
    <col min="3316" max="3316" width="8.5" style="271" customWidth="1"/>
    <col min="3317" max="3317" width="13.25" style="271" customWidth="1"/>
    <col min="3318" max="3318" width="4.5" style="271" customWidth="1"/>
    <col min="3319" max="3319" width="8.5" style="271" customWidth="1"/>
    <col min="3320" max="3320" width="12" style="271" customWidth="1"/>
    <col min="3321" max="3321" width="4.5" style="271" customWidth="1"/>
    <col min="3322" max="3322" width="8.5" style="271" customWidth="1"/>
    <col min="3323" max="3323" width="11" style="271" customWidth="1"/>
    <col min="3324" max="3324" width="4.5" style="271" customWidth="1"/>
    <col min="3325" max="3325" width="8.5" style="271" customWidth="1"/>
    <col min="3326" max="3326" width="11.125" style="271" customWidth="1"/>
    <col min="3327" max="3327" width="4.5" style="271" customWidth="1"/>
    <col min="3328" max="3328" width="8.5" style="271" customWidth="1"/>
    <col min="3329" max="3329" width="11.125" style="271" customWidth="1"/>
    <col min="3330" max="3330" width="4.5" style="271" customWidth="1"/>
    <col min="3331" max="3331" width="8.5" style="271" customWidth="1"/>
    <col min="3332" max="3332" width="11.125" style="271" customWidth="1"/>
    <col min="3333" max="3333" width="4.5" style="271" customWidth="1"/>
    <col min="3334" max="3334" width="8.5" style="271" customWidth="1"/>
    <col min="3335" max="3335" width="11.125" style="271" customWidth="1"/>
    <col min="3336" max="3336" width="4.5" style="271" customWidth="1"/>
    <col min="3337" max="3337" width="8.5" style="271" customWidth="1"/>
    <col min="3338" max="3338" width="11.125" style="271" customWidth="1"/>
    <col min="3339" max="3339" width="4.5" style="271" customWidth="1"/>
    <col min="3340" max="3340" width="8.5" style="271" customWidth="1"/>
    <col min="3341" max="3341" width="11.125" style="271" customWidth="1"/>
    <col min="3342" max="3342" width="4.5" style="271" customWidth="1"/>
    <col min="3343" max="3343" width="8.5" style="271" customWidth="1"/>
    <col min="3344" max="3344" width="11.125" style="271" customWidth="1"/>
    <col min="3345" max="3345" width="4.5" style="271" customWidth="1"/>
    <col min="3346" max="3346" width="8.5" style="271" customWidth="1"/>
    <col min="3347" max="3347" width="11.125" style="271" customWidth="1"/>
    <col min="3348" max="3348" width="4.5" style="271" customWidth="1"/>
    <col min="3349" max="3349" width="8.5" style="271" customWidth="1"/>
    <col min="3350" max="3350" width="11.125" style="271" customWidth="1"/>
    <col min="3351" max="3351" width="4.5" style="271" customWidth="1"/>
    <col min="3352" max="3352" width="8.5" style="271" customWidth="1"/>
    <col min="3353" max="3353" width="11.125" style="271" customWidth="1"/>
    <col min="3354" max="3354" width="4.5" style="271" customWidth="1"/>
    <col min="3355" max="3355" width="8.5" style="271" customWidth="1"/>
    <col min="3356" max="3356" width="11.125" style="271" customWidth="1"/>
    <col min="3357" max="3357" width="33" style="271" customWidth="1"/>
    <col min="3358" max="3560" width="9" style="271"/>
    <col min="3561" max="3561" width="1.5" style="271" customWidth="1"/>
    <col min="3562" max="3562" width="3.125" style="271" customWidth="1"/>
    <col min="3563" max="3563" width="9.625" style="271" customWidth="1"/>
    <col min="3564" max="3564" width="18.125" style="271" customWidth="1"/>
    <col min="3565" max="3566" width="10.25" style="271" customWidth="1"/>
    <col min="3567" max="3567" width="8.5" style="271" customWidth="1"/>
    <col min="3568" max="3568" width="8.875" style="271" bestFit="1" customWidth="1"/>
    <col min="3569" max="3570" width="6.75" style="271" customWidth="1"/>
    <col min="3571" max="3571" width="3.5" style="271" customWidth="1"/>
    <col min="3572" max="3572" width="8.5" style="271" customWidth="1"/>
    <col min="3573" max="3573" width="13.25" style="271" customWidth="1"/>
    <col min="3574" max="3574" width="4.5" style="271" customWidth="1"/>
    <col min="3575" max="3575" width="8.5" style="271" customWidth="1"/>
    <col min="3576" max="3576" width="12" style="271" customWidth="1"/>
    <col min="3577" max="3577" width="4.5" style="271" customWidth="1"/>
    <col min="3578" max="3578" width="8.5" style="271" customWidth="1"/>
    <col min="3579" max="3579" width="11" style="271" customWidth="1"/>
    <col min="3580" max="3580" width="4.5" style="271" customWidth="1"/>
    <col min="3581" max="3581" width="8.5" style="271" customWidth="1"/>
    <col min="3582" max="3582" width="11.125" style="271" customWidth="1"/>
    <col min="3583" max="3583" width="4.5" style="271" customWidth="1"/>
    <col min="3584" max="3584" width="8.5" style="271" customWidth="1"/>
    <col min="3585" max="3585" width="11.125" style="271" customWidth="1"/>
    <col min="3586" max="3586" width="4.5" style="271" customWidth="1"/>
    <col min="3587" max="3587" width="8.5" style="271" customWidth="1"/>
    <col min="3588" max="3588" width="11.125" style="271" customWidth="1"/>
    <col min="3589" max="3589" width="4.5" style="271" customWidth="1"/>
    <col min="3590" max="3590" width="8.5" style="271" customWidth="1"/>
    <col min="3591" max="3591" width="11.125" style="271" customWidth="1"/>
    <col min="3592" max="3592" width="4.5" style="271" customWidth="1"/>
    <col min="3593" max="3593" width="8.5" style="271" customWidth="1"/>
    <col min="3594" max="3594" width="11.125" style="271" customWidth="1"/>
    <col min="3595" max="3595" width="4.5" style="271" customWidth="1"/>
    <col min="3596" max="3596" width="8.5" style="271" customWidth="1"/>
    <col min="3597" max="3597" width="11.125" style="271" customWidth="1"/>
    <col min="3598" max="3598" width="4.5" style="271" customWidth="1"/>
    <col min="3599" max="3599" width="8.5" style="271" customWidth="1"/>
    <col min="3600" max="3600" width="11.125" style="271" customWidth="1"/>
    <col min="3601" max="3601" width="4.5" style="271" customWidth="1"/>
    <col min="3602" max="3602" width="8.5" style="271" customWidth="1"/>
    <col min="3603" max="3603" width="11.125" style="271" customWidth="1"/>
    <col min="3604" max="3604" width="4.5" style="271" customWidth="1"/>
    <col min="3605" max="3605" width="8.5" style="271" customWidth="1"/>
    <col min="3606" max="3606" width="11.125" style="271" customWidth="1"/>
    <col min="3607" max="3607" width="4.5" style="271" customWidth="1"/>
    <col min="3608" max="3608" width="8.5" style="271" customWidth="1"/>
    <col min="3609" max="3609" width="11.125" style="271" customWidth="1"/>
    <col min="3610" max="3610" width="4.5" style="271" customWidth="1"/>
    <col min="3611" max="3611" width="8.5" style="271" customWidth="1"/>
    <col min="3612" max="3612" width="11.125" style="271" customWidth="1"/>
    <col min="3613" max="3613" width="33" style="271" customWidth="1"/>
    <col min="3614" max="3816" width="9" style="271"/>
    <col min="3817" max="3817" width="1.5" style="271" customWidth="1"/>
    <col min="3818" max="3818" width="3.125" style="271" customWidth="1"/>
    <col min="3819" max="3819" width="9.625" style="271" customWidth="1"/>
    <col min="3820" max="3820" width="18.125" style="271" customWidth="1"/>
    <col min="3821" max="3822" width="10.25" style="271" customWidth="1"/>
    <col min="3823" max="3823" width="8.5" style="271" customWidth="1"/>
    <col min="3824" max="3824" width="8.875" style="271" bestFit="1" customWidth="1"/>
    <col min="3825" max="3826" width="6.75" style="271" customWidth="1"/>
    <col min="3827" max="3827" width="3.5" style="271" customWidth="1"/>
    <col min="3828" max="3828" width="8.5" style="271" customWidth="1"/>
    <col min="3829" max="3829" width="13.25" style="271" customWidth="1"/>
    <col min="3830" max="3830" width="4.5" style="271" customWidth="1"/>
    <col min="3831" max="3831" width="8.5" style="271" customWidth="1"/>
    <col min="3832" max="3832" width="12" style="271" customWidth="1"/>
    <col min="3833" max="3833" width="4.5" style="271" customWidth="1"/>
    <col min="3834" max="3834" width="8.5" style="271" customWidth="1"/>
    <col min="3835" max="3835" width="11" style="271" customWidth="1"/>
    <col min="3836" max="3836" width="4.5" style="271" customWidth="1"/>
    <col min="3837" max="3837" width="8.5" style="271" customWidth="1"/>
    <col min="3838" max="3838" width="11.125" style="271" customWidth="1"/>
    <col min="3839" max="3839" width="4.5" style="271" customWidth="1"/>
    <col min="3840" max="3840" width="8.5" style="271" customWidth="1"/>
    <col min="3841" max="3841" width="11.125" style="271" customWidth="1"/>
    <col min="3842" max="3842" width="4.5" style="271" customWidth="1"/>
    <col min="3843" max="3843" width="8.5" style="271" customWidth="1"/>
    <col min="3844" max="3844" width="11.125" style="271" customWidth="1"/>
    <col min="3845" max="3845" width="4.5" style="271" customWidth="1"/>
    <col min="3846" max="3846" width="8.5" style="271" customWidth="1"/>
    <col min="3847" max="3847" width="11.125" style="271" customWidth="1"/>
    <col min="3848" max="3848" width="4.5" style="271" customWidth="1"/>
    <col min="3849" max="3849" width="8.5" style="271" customWidth="1"/>
    <col min="3850" max="3850" width="11.125" style="271" customWidth="1"/>
    <col min="3851" max="3851" width="4.5" style="271" customWidth="1"/>
    <col min="3852" max="3852" width="8.5" style="271" customWidth="1"/>
    <col min="3853" max="3853" width="11.125" style="271" customWidth="1"/>
    <col min="3854" max="3854" width="4.5" style="271" customWidth="1"/>
    <col min="3855" max="3855" width="8.5" style="271" customWidth="1"/>
    <col min="3856" max="3856" width="11.125" style="271" customWidth="1"/>
    <col min="3857" max="3857" width="4.5" style="271" customWidth="1"/>
    <col min="3858" max="3858" width="8.5" style="271" customWidth="1"/>
    <col min="3859" max="3859" width="11.125" style="271" customWidth="1"/>
    <col min="3860" max="3860" width="4.5" style="271" customWidth="1"/>
    <col min="3861" max="3861" width="8.5" style="271" customWidth="1"/>
    <col min="3862" max="3862" width="11.125" style="271" customWidth="1"/>
    <col min="3863" max="3863" width="4.5" style="271" customWidth="1"/>
    <col min="3864" max="3864" width="8.5" style="271" customWidth="1"/>
    <col min="3865" max="3865" width="11.125" style="271" customWidth="1"/>
    <col min="3866" max="3866" width="4.5" style="271" customWidth="1"/>
    <col min="3867" max="3867" width="8.5" style="271" customWidth="1"/>
    <col min="3868" max="3868" width="11.125" style="271" customWidth="1"/>
    <col min="3869" max="3869" width="33" style="271" customWidth="1"/>
    <col min="3870" max="4072" width="9" style="271"/>
    <col min="4073" max="4073" width="1.5" style="271" customWidth="1"/>
    <col min="4074" max="4074" width="3.125" style="271" customWidth="1"/>
    <col min="4075" max="4075" width="9.625" style="271" customWidth="1"/>
    <col min="4076" max="4076" width="18.125" style="271" customWidth="1"/>
    <col min="4077" max="4078" width="10.25" style="271" customWidth="1"/>
    <col min="4079" max="4079" width="8.5" style="271" customWidth="1"/>
    <col min="4080" max="4080" width="8.875" style="271" bestFit="1" customWidth="1"/>
    <col min="4081" max="4082" width="6.75" style="271" customWidth="1"/>
    <col min="4083" max="4083" width="3.5" style="271" customWidth="1"/>
    <col min="4084" max="4084" width="8.5" style="271" customWidth="1"/>
    <col min="4085" max="4085" width="13.25" style="271" customWidth="1"/>
    <col min="4086" max="4086" width="4.5" style="271" customWidth="1"/>
    <col min="4087" max="4087" width="8.5" style="271" customWidth="1"/>
    <col min="4088" max="4088" width="12" style="271" customWidth="1"/>
    <col min="4089" max="4089" width="4.5" style="271" customWidth="1"/>
    <col min="4090" max="4090" width="8.5" style="271" customWidth="1"/>
    <col min="4091" max="4091" width="11" style="271" customWidth="1"/>
    <col min="4092" max="4092" width="4.5" style="271" customWidth="1"/>
    <col min="4093" max="4093" width="8.5" style="271" customWidth="1"/>
    <col min="4094" max="4094" width="11.125" style="271" customWidth="1"/>
    <col min="4095" max="4095" width="4.5" style="271" customWidth="1"/>
    <col min="4096" max="4096" width="8.5" style="271" customWidth="1"/>
    <col min="4097" max="4097" width="11.125" style="271" customWidth="1"/>
    <col min="4098" max="4098" width="4.5" style="271" customWidth="1"/>
    <col min="4099" max="4099" width="8.5" style="271" customWidth="1"/>
    <col min="4100" max="4100" width="11.125" style="271" customWidth="1"/>
    <col min="4101" max="4101" width="4.5" style="271" customWidth="1"/>
    <col min="4102" max="4102" width="8.5" style="271" customWidth="1"/>
    <col min="4103" max="4103" width="11.125" style="271" customWidth="1"/>
    <col min="4104" max="4104" width="4.5" style="271" customWidth="1"/>
    <col min="4105" max="4105" width="8.5" style="271" customWidth="1"/>
    <col min="4106" max="4106" width="11.125" style="271" customWidth="1"/>
    <col min="4107" max="4107" width="4.5" style="271" customWidth="1"/>
    <col min="4108" max="4108" width="8.5" style="271" customWidth="1"/>
    <col min="4109" max="4109" width="11.125" style="271" customWidth="1"/>
    <col min="4110" max="4110" width="4.5" style="271" customWidth="1"/>
    <col min="4111" max="4111" width="8.5" style="271" customWidth="1"/>
    <col min="4112" max="4112" width="11.125" style="271" customWidth="1"/>
    <col min="4113" max="4113" width="4.5" style="271" customWidth="1"/>
    <col min="4114" max="4114" width="8.5" style="271" customWidth="1"/>
    <col min="4115" max="4115" width="11.125" style="271" customWidth="1"/>
    <col min="4116" max="4116" width="4.5" style="271" customWidth="1"/>
    <col min="4117" max="4117" width="8.5" style="271" customWidth="1"/>
    <col min="4118" max="4118" width="11.125" style="271" customWidth="1"/>
    <col min="4119" max="4119" width="4.5" style="271" customWidth="1"/>
    <col min="4120" max="4120" width="8.5" style="271" customWidth="1"/>
    <col min="4121" max="4121" width="11.125" style="271" customWidth="1"/>
    <col min="4122" max="4122" width="4.5" style="271" customWidth="1"/>
    <col min="4123" max="4123" width="8.5" style="271" customWidth="1"/>
    <col min="4124" max="4124" width="11.125" style="271" customWidth="1"/>
    <col min="4125" max="4125" width="33" style="271" customWidth="1"/>
    <col min="4126" max="4328" width="9" style="271"/>
    <col min="4329" max="4329" width="1.5" style="271" customWidth="1"/>
    <col min="4330" max="4330" width="3.125" style="271" customWidth="1"/>
    <col min="4331" max="4331" width="9.625" style="271" customWidth="1"/>
    <col min="4332" max="4332" width="18.125" style="271" customWidth="1"/>
    <col min="4333" max="4334" width="10.25" style="271" customWidth="1"/>
    <col min="4335" max="4335" width="8.5" style="271" customWidth="1"/>
    <col min="4336" max="4336" width="8.875" style="271" bestFit="1" customWidth="1"/>
    <col min="4337" max="4338" width="6.75" style="271" customWidth="1"/>
    <col min="4339" max="4339" width="3.5" style="271" customWidth="1"/>
    <col min="4340" max="4340" width="8.5" style="271" customWidth="1"/>
    <col min="4341" max="4341" width="13.25" style="271" customWidth="1"/>
    <col min="4342" max="4342" width="4.5" style="271" customWidth="1"/>
    <col min="4343" max="4343" width="8.5" style="271" customWidth="1"/>
    <col min="4344" max="4344" width="12" style="271" customWidth="1"/>
    <col min="4345" max="4345" width="4.5" style="271" customWidth="1"/>
    <col min="4346" max="4346" width="8.5" style="271" customWidth="1"/>
    <col min="4347" max="4347" width="11" style="271" customWidth="1"/>
    <col min="4348" max="4348" width="4.5" style="271" customWidth="1"/>
    <col min="4349" max="4349" width="8.5" style="271" customWidth="1"/>
    <col min="4350" max="4350" width="11.125" style="271" customWidth="1"/>
    <col min="4351" max="4351" width="4.5" style="271" customWidth="1"/>
    <col min="4352" max="4352" width="8.5" style="271" customWidth="1"/>
    <col min="4353" max="4353" width="11.125" style="271" customWidth="1"/>
    <col min="4354" max="4354" width="4.5" style="271" customWidth="1"/>
    <col min="4355" max="4355" width="8.5" style="271" customWidth="1"/>
    <col min="4356" max="4356" width="11.125" style="271" customWidth="1"/>
    <col min="4357" max="4357" width="4.5" style="271" customWidth="1"/>
    <col min="4358" max="4358" width="8.5" style="271" customWidth="1"/>
    <col min="4359" max="4359" width="11.125" style="271" customWidth="1"/>
    <col min="4360" max="4360" width="4.5" style="271" customWidth="1"/>
    <col min="4361" max="4361" width="8.5" style="271" customWidth="1"/>
    <col min="4362" max="4362" width="11.125" style="271" customWidth="1"/>
    <col min="4363" max="4363" width="4.5" style="271" customWidth="1"/>
    <col min="4364" max="4364" width="8.5" style="271" customWidth="1"/>
    <col min="4365" max="4365" width="11.125" style="271" customWidth="1"/>
    <col min="4366" max="4366" width="4.5" style="271" customWidth="1"/>
    <col min="4367" max="4367" width="8.5" style="271" customWidth="1"/>
    <col min="4368" max="4368" width="11.125" style="271" customWidth="1"/>
    <col min="4369" max="4369" width="4.5" style="271" customWidth="1"/>
    <col min="4370" max="4370" width="8.5" style="271" customWidth="1"/>
    <col min="4371" max="4371" width="11.125" style="271" customWidth="1"/>
    <col min="4372" max="4372" width="4.5" style="271" customWidth="1"/>
    <col min="4373" max="4373" width="8.5" style="271" customWidth="1"/>
    <col min="4374" max="4374" width="11.125" style="271" customWidth="1"/>
    <col min="4375" max="4375" width="4.5" style="271" customWidth="1"/>
    <col min="4376" max="4376" width="8.5" style="271" customWidth="1"/>
    <col min="4377" max="4377" width="11.125" style="271" customWidth="1"/>
    <col min="4378" max="4378" width="4.5" style="271" customWidth="1"/>
    <col min="4379" max="4379" width="8.5" style="271" customWidth="1"/>
    <col min="4380" max="4380" width="11.125" style="271" customWidth="1"/>
    <col min="4381" max="4381" width="33" style="271" customWidth="1"/>
    <col min="4382" max="4584" width="9" style="271"/>
    <col min="4585" max="4585" width="1.5" style="271" customWidth="1"/>
    <col min="4586" max="4586" width="3.125" style="271" customWidth="1"/>
    <col min="4587" max="4587" width="9.625" style="271" customWidth="1"/>
    <col min="4588" max="4588" width="18.125" style="271" customWidth="1"/>
    <col min="4589" max="4590" width="10.25" style="271" customWidth="1"/>
    <col min="4591" max="4591" width="8.5" style="271" customWidth="1"/>
    <col min="4592" max="4592" width="8.875" style="271" bestFit="1" customWidth="1"/>
    <col min="4593" max="4594" width="6.75" style="271" customWidth="1"/>
    <col min="4595" max="4595" width="3.5" style="271" customWidth="1"/>
    <col min="4596" max="4596" width="8.5" style="271" customWidth="1"/>
    <col min="4597" max="4597" width="13.25" style="271" customWidth="1"/>
    <col min="4598" max="4598" width="4.5" style="271" customWidth="1"/>
    <col min="4599" max="4599" width="8.5" style="271" customWidth="1"/>
    <col min="4600" max="4600" width="12" style="271" customWidth="1"/>
    <col min="4601" max="4601" width="4.5" style="271" customWidth="1"/>
    <col min="4602" max="4602" width="8.5" style="271" customWidth="1"/>
    <col min="4603" max="4603" width="11" style="271" customWidth="1"/>
    <col min="4604" max="4604" width="4.5" style="271" customWidth="1"/>
    <col min="4605" max="4605" width="8.5" style="271" customWidth="1"/>
    <col min="4606" max="4606" width="11.125" style="271" customWidth="1"/>
    <col min="4607" max="4607" width="4.5" style="271" customWidth="1"/>
    <col min="4608" max="4608" width="8.5" style="271" customWidth="1"/>
    <col min="4609" max="4609" width="11.125" style="271" customWidth="1"/>
    <col min="4610" max="4610" width="4.5" style="271" customWidth="1"/>
    <col min="4611" max="4611" width="8.5" style="271" customWidth="1"/>
    <col min="4612" max="4612" width="11.125" style="271" customWidth="1"/>
    <col min="4613" max="4613" width="4.5" style="271" customWidth="1"/>
    <col min="4614" max="4614" width="8.5" style="271" customWidth="1"/>
    <col min="4615" max="4615" width="11.125" style="271" customWidth="1"/>
    <col min="4616" max="4616" width="4.5" style="271" customWidth="1"/>
    <col min="4617" max="4617" width="8.5" style="271" customWidth="1"/>
    <col min="4618" max="4618" width="11.125" style="271" customWidth="1"/>
    <col min="4619" max="4619" width="4.5" style="271" customWidth="1"/>
    <col min="4620" max="4620" width="8.5" style="271" customWidth="1"/>
    <col min="4621" max="4621" width="11.125" style="271" customWidth="1"/>
    <col min="4622" max="4622" width="4.5" style="271" customWidth="1"/>
    <col min="4623" max="4623" width="8.5" style="271" customWidth="1"/>
    <col min="4624" max="4624" width="11.125" style="271" customWidth="1"/>
    <col min="4625" max="4625" width="4.5" style="271" customWidth="1"/>
    <col min="4626" max="4626" width="8.5" style="271" customWidth="1"/>
    <col min="4627" max="4627" width="11.125" style="271" customWidth="1"/>
    <col min="4628" max="4628" width="4.5" style="271" customWidth="1"/>
    <col min="4629" max="4629" width="8.5" style="271" customWidth="1"/>
    <col min="4630" max="4630" width="11.125" style="271" customWidth="1"/>
    <col min="4631" max="4631" width="4.5" style="271" customWidth="1"/>
    <col min="4632" max="4632" width="8.5" style="271" customWidth="1"/>
    <col min="4633" max="4633" width="11.125" style="271" customWidth="1"/>
    <col min="4634" max="4634" width="4.5" style="271" customWidth="1"/>
    <col min="4635" max="4635" width="8.5" style="271" customWidth="1"/>
    <col min="4636" max="4636" width="11.125" style="271" customWidth="1"/>
    <col min="4637" max="4637" width="33" style="271" customWidth="1"/>
    <col min="4638" max="4840" width="9" style="271"/>
    <col min="4841" max="4841" width="1.5" style="271" customWidth="1"/>
    <col min="4842" max="4842" width="3.125" style="271" customWidth="1"/>
    <col min="4843" max="4843" width="9.625" style="271" customWidth="1"/>
    <col min="4844" max="4844" width="18.125" style="271" customWidth="1"/>
    <col min="4845" max="4846" width="10.25" style="271" customWidth="1"/>
    <col min="4847" max="4847" width="8.5" style="271" customWidth="1"/>
    <col min="4848" max="4848" width="8.875" style="271" bestFit="1" customWidth="1"/>
    <col min="4849" max="4850" width="6.75" style="271" customWidth="1"/>
    <col min="4851" max="4851" width="3.5" style="271" customWidth="1"/>
    <col min="4852" max="4852" width="8.5" style="271" customWidth="1"/>
    <col min="4853" max="4853" width="13.25" style="271" customWidth="1"/>
    <col min="4854" max="4854" width="4.5" style="271" customWidth="1"/>
    <col min="4855" max="4855" width="8.5" style="271" customWidth="1"/>
    <col min="4856" max="4856" width="12" style="271" customWidth="1"/>
    <col min="4857" max="4857" width="4.5" style="271" customWidth="1"/>
    <col min="4858" max="4858" width="8.5" style="271" customWidth="1"/>
    <col min="4859" max="4859" width="11" style="271" customWidth="1"/>
    <col min="4860" max="4860" width="4.5" style="271" customWidth="1"/>
    <col min="4861" max="4861" width="8.5" style="271" customWidth="1"/>
    <col min="4862" max="4862" width="11.125" style="271" customWidth="1"/>
    <col min="4863" max="4863" width="4.5" style="271" customWidth="1"/>
    <col min="4864" max="4864" width="8.5" style="271" customWidth="1"/>
    <col min="4865" max="4865" width="11.125" style="271" customWidth="1"/>
    <col min="4866" max="4866" width="4.5" style="271" customWidth="1"/>
    <col min="4867" max="4867" width="8.5" style="271" customWidth="1"/>
    <col min="4868" max="4868" width="11.125" style="271" customWidth="1"/>
    <col min="4869" max="4869" width="4.5" style="271" customWidth="1"/>
    <col min="4870" max="4870" width="8.5" style="271" customWidth="1"/>
    <col min="4871" max="4871" width="11.125" style="271" customWidth="1"/>
    <col min="4872" max="4872" width="4.5" style="271" customWidth="1"/>
    <col min="4873" max="4873" width="8.5" style="271" customWidth="1"/>
    <col min="4874" max="4874" width="11.125" style="271" customWidth="1"/>
    <col min="4875" max="4875" width="4.5" style="271" customWidth="1"/>
    <col min="4876" max="4876" width="8.5" style="271" customWidth="1"/>
    <col min="4877" max="4877" width="11.125" style="271" customWidth="1"/>
    <col min="4878" max="4878" width="4.5" style="271" customWidth="1"/>
    <col min="4879" max="4879" width="8.5" style="271" customWidth="1"/>
    <col min="4880" max="4880" width="11.125" style="271" customWidth="1"/>
    <col min="4881" max="4881" width="4.5" style="271" customWidth="1"/>
    <col min="4882" max="4882" width="8.5" style="271" customWidth="1"/>
    <col min="4883" max="4883" width="11.125" style="271" customWidth="1"/>
    <col min="4884" max="4884" width="4.5" style="271" customWidth="1"/>
    <col min="4885" max="4885" width="8.5" style="271" customWidth="1"/>
    <col min="4886" max="4886" width="11.125" style="271" customWidth="1"/>
    <col min="4887" max="4887" width="4.5" style="271" customWidth="1"/>
    <col min="4888" max="4888" width="8.5" style="271" customWidth="1"/>
    <col min="4889" max="4889" width="11.125" style="271" customWidth="1"/>
    <col min="4890" max="4890" width="4.5" style="271" customWidth="1"/>
    <col min="4891" max="4891" width="8.5" style="271" customWidth="1"/>
    <col min="4892" max="4892" width="11.125" style="271" customWidth="1"/>
    <col min="4893" max="4893" width="33" style="271" customWidth="1"/>
    <col min="4894" max="5096" width="9" style="271"/>
    <col min="5097" max="5097" width="1.5" style="271" customWidth="1"/>
    <col min="5098" max="5098" width="3.125" style="271" customWidth="1"/>
    <col min="5099" max="5099" width="9.625" style="271" customWidth="1"/>
    <col min="5100" max="5100" width="18.125" style="271" customWidth="1"/>
    <col min="5101" max="5102" width="10.25" style="271" customWidth="1"/>
    <col min="5103" max="5103" width="8.5" style="271" customWidth="1"/>
    <col min="5104" max="5104" width="8.875" style="271" bestFit="1" customWidth="1"/>
    <col min="5105" max="5106" width="6.75" style="271" customWidth="1"/>
    <col min="5107" max="5107" width="3.5" style="271" customWidth="1"/>
    <col min="5108" max="5108" width="8.5" style="271" customWidth="1"/>
    <col min="5109" max="5109" width="13.25" style="271" customWidth="1"/>
    <col min="5110" max="5110" width="4.5" style="271" customWidth="1"/>
    <col min="5111" max="5111" width="8.5" style="271" customWidth="1"/>
    <col min="5112" max="5112" width="12" style="271" customWidth="1"/>
    <col min="5113" max="5113" width="4.5" style="271" customWidth="1"/>
    <col min="5114" max="5114" width="8.5" style="271" customWidth="1"/>
    <col min="5115" max="5115" width="11" style="271" customWidth="1"/>
    <col min="5116" max="5116" width="4.5" style="271" customWidth="1"/>
    <col min="5117" max="5117" width="8.5" style="271" customWidth="1"/>
    <col min="5118" max="5118" width="11.125" style="271" customWidth="1"/>
    <col min="5119" max="5119" width="4.5" style="271" customWidth="1"/>
    <col min="5120" max="5120" width="8.5" style="271" customWidth="1"/>
    <col min="5121" max="5121" width="11.125" style="271" customWidth="1"/>
    <col min="5122" max="5122" width="4.5" style="271" customWidth="1"/>
    <col min="5123" max="5123" width="8.5" style="271" customWidth="1"/>
    <col min="5124" max="5124" width="11.125" style="271" customWidth="1"/>
    <col min="5125" max="5125" width="4.5" style="271" customWidth="1"/>
    <col min="5126" max="5126" width="8.5" style="271" customWidth="1"/>
    <col min="5127" max="5127" width="11.125" style="271" customWidth="1"/>
    <col min="5128" max="5128" width="4.5" style="271" customWidth="1"/>
    <col min="5129" max="5129" width="8.5" style="271" customWidth="1"/>
    <col min="5130" max="5130" width="11.125" style="271" customWidth="1"/>
    <col min="5131" max="5131" width="4.5" style="271" customWidth="1"/>
    <col min="5132" max="5132" width="8.5" style="271" customWidth="1"/>
    <col min="5133" max="5133" width="11.125" style="271" customWidth="1"/>
    <col min="5134" max="5134" width="4.5" style="271" customWidth="1"/>
    <col min="5135" max="5135" width="8.5" style="271" customWidth="1"/>
    <col min="5136" max="5136" width="11.125" style="271" customWidth="1"/>
    <col min="5137" max="5137" width="4.5" style="271" customWidth="1"/>
    <col min="5138" max="5138" width="8.5" style="271" customWidth="1"/>
    <col min="5139" max="5139" width="11.125" style="271" customWidth="1"/>
    <col min="5140" max="5140" width="4.5" style="271" customWidth="1"/>
    <col min="5141" max="5141" width="8.5" style="271" customWidth="1"/>
    <col min="5142" max="5142" width="11.125" style="271" customWidth="1"/>
    <col min="5143" max="5143" width="4.5" style="271" customWidth="1"/>
    <col min="5144" max="5144" width="8.5" style="271" customWidth="1"/>
    <col min="5145" max="5145" width="11.125" style="271" customWidth="1"/>
    <col min="5146" max="5146" width="4.5" style="271" customWidth="1"/>
    <col min="5147" max="5147" width="8.5" style="271" customWidth="1"/>
    <col min="5148" max="5148" width="11.125" style="271" customWidth="1"/>
    <col min="5149" max="5149" width="33" style="271" customWidth="1"/>
    <col min="5150" max="5352" width="9" style="271"/>
    <col min="5353" max="5353" width="1.5" style="271" customWidth="1"/>
    <col min="5354" max="5354" width="3.125" style="271" customWidth="1"/>
    <col min="5355" max="5355" width="9.625" style="271" customWidth="1"/>
    <col min="5356" max="5356" width="18.125" style="271" customWidth="1"/>
    <col min="5357" max="5358" width="10.25" style="271" customWidth="1"/>
    <col min="5359" max="5359" width="8.5" style="271" customWidth="1"/>
    <col min="5360" max="5360" width="8.875" style="271" bestFit="1" customWidth="1"/>
    <col min="5361" max="5362" width="6.75" style="271" customWidth="1"/>
    <col min="5363" max="5363" width="3.5" style="271" customWidth="1"/>
    <col min="5364" max="5364" width="8.5" style="271" customWidth="1"/>
    <col min="5365" max="5365" width="13.25" style="271" customWidth="1"/>
    <col min="5366" max="5366" width="4.5" style="271" customWidth="1"/>
    <col min="5367" max="5367" width="8.5" style="271" customWidth="1"/>
    <col min="5368" max="5368" width="12" style="271" customWidth="1"/>
    <col min="5369" max="5369" width="4.5" style="271" customWidth="1"/>
    <col min="5370" max="5370" width="8.5" style="271" customWidth="1"/>
    <col min="5371" max="5371" width="11" style="271" customWidth="1"/>
    <col min="5372" max="5372" width="4.5" style="271" customWidth="1"/>
    <col min="5373" max="5373" width="8.5" style="271" customWidth="1"/>
    <col min="5374" max="5374" width="11.125" style="271" customWidth="1"/>
    <col min="5375" max="5375" width="4.5" style="271" customWidth="1"/>
    <col min="5376" max="5376" width="8.5" style="271" customWidth="1"/>
    <col min="5377" max="5377" width="11.125" style="271" customWidth="1"/>
    <col min="5378" max="5378" width="4.5" style="271" customWidth="1"/>
    <col min="5379" max="5379" width="8.5" style="271" customWidth="1"/>
    <col min="5380" max="5380" width="11.125" style="271" customWidth="1"/>
    <col min="5381" max="5381" width="4.5" style="271" customWidth="1"/>
    <col min="5382" max="5382" width="8.5" style="271" customWidth="1"/>
    <col min="5383" max="5383" width="11.125" style="271" customWidth="1"/>
    <col min="5384" max="5384" width="4.5" style="271" customWidth="1"/>
    <col min="5385" max="5385" width="8.5" style="271" customWidth="1"/>
    <col min="5386" max="5386" width="11.125" style="271" customWidth="1"/>
    <col min="5387" max="5387" width="4.5" style="271" customWidth="1"/>
    <col min="5388" max="5388" width="8.5" style="271" customWidth="1"/>
    <col min="5389" max="5389" width="11.125" style="271" customWidth="1"/>
    <col min="5390" max="5390" width="4.5" style="271" customWidth="1"/>
    <col min="5391" max="5391" width="8.5" style="271" customWidth="1"/>
    <col min="5392" max="5392" width="11.125" style="271" customWidth="1"/>
    <col min="5393" max="5393" width="4.5" style="271" customWidth="1"/>
    <col min="5394" max="5394" width="8.5" style="271" customWidth="1"/>
    <col min="5395" max="5395" width="11.125" style="271" customWidth="1"/>
    <col min="5396" max="5396" width="4.5" style="271" customWidth="1"/>
    <col min="5397" max="5397" width="8.5" style="271" customWidth="1"/>
    <col min="5398" max="5398" width="11.125" style="271" customWidth="1"/>
    <col min="5399" max="5399" width="4.5" style="271" customWidth="1"/>
    <col min="5400" max="5400" width="8.5" style="271" customWidth="1"/>
    <col min="5401" max="5401" width="11.125" style="271" customWidth="1"/>
    <col min="5402" max="5402" width="4.5" style="271" customWidth="1"/>
    <col min="5403" max="5403" width="8.5" style="271" customWidth="1"/>
    <col min="5404" max="5404" width="11.125" style="271" customWidth="1"/>
    <col min="5405" max="5405" width="33" style="271" customWidth="1"/>
    <col min="5406" max="5608" width="9" style="271"/>
    <col min="5609" max="5609" width="1.5" style="271" customWidth="1"/>
    <col min="5610" max="5610" width="3.125" style="271" customWidth="1"/>
    <col min="5611" max="5611" width="9.625" style="271" customWidth="1"/>
    <col min="5612" max="5612" width="18.125" style="271" customWidth="1"/>
    <col min="5613" max="5614" width="10.25" style="271" customWidth="1"/>
    <col min="5615" max="5615" width="8.5" style="271" customWidth="1"/>
    <col min="5616" max="5616" width="8.875" style="271" bestFit="1" customWidth="1"/>
    <col min="5617" max="5618" width="6.75" style="271" customWidth="1"/>
    <col min="5619" max="5619" width="3.5" style="271" customWidth="1"/>
    <col min="5620" max="5620" width="8.5" style="271" customWidth="1"/>
    <col min="5621" max="5621" width="13.25" style="271" customWidth="1"/>
    <col min="5622" max="5622" width="4.5" style="271" customWidth="1"/>
    <col min="5623" max="5623" width="8.5" style="271" customWidth="1"/>
    <col min="5624" max="5624" width="12" style="271" customWidth="1"/>
    <col min="5625" max="5625" width="4.5" style="271" customWidth="1"/>
    <col min="5626" max="5626" width="8.5" style="271" customWidth="1"/>
    <col min="5627" max="5627" width="11" style="271" customWidth="1"/>
    <col min="5628" max="5628" width="4.5" style="271" customWidth="1"/>
    <col min="5629" max="5629" width="8.5" style="271" customWidth="1"/>
    <col min="5630" max="5630" width="11.125" style="271" customWidth="1"/>
    <col min="5631" max="5631" width="4.5" style="271" customWidth="1"/>
    <col min="5632" max="5632" width="8.5" style="271" customWidth="1"/>
    <col min="5633" max="5633" width="11.125" style="271" customWidth="1"/>
    <col min="5634" max="5634" width="4.5" style="271" customWidth="1"/>
    <col min="5635" max="5635" width="8.5" style="271" customWidth="1"/>
    <col min="5636" max="5636" width="11.125" style="271" customWidth="1"/>
    <col min="5637" max="5637" width="4.5" style="271" customWidth="1"/>
    <col min="5638" max="5638" width="8.5" style="271" customWidth="1"/>
    <col min="5639" max="5639" width="11.125" style="271" customWidth="1"/>
    <col min="5640" max="5640" width="4.5" style="271" customWidth="1"/>
    <col min="5641" max="5641" width="8.5" style="271" customWidth="1"/>
    <col min="5642" max="5642" width="11.125" style="271" customWidth="1"/>
    <col min="5643" max="5643" width="4.5" style="271" customWidth="1"/>
    <col min="5644" max="5644" width="8.5" style="271" customWidth="1"/>
    <col min="5645" max="5645" width="11.125" style="271" customWidth="1"/>
    <col min="5646" max="5646" width="4.5" style="271" customWidth="1"/>
    <col min="5647" max="5647" width="8.5" style="271" customWidth="1"/>
    <col min="5648" max="5648" width="11.125" style="271" customWidth="1"/>
    <col min="5649" max="5649" width="4.5" style="271" customWidth="1"/>
    <col min="5650" max="5650" width="8.5" style="271" customWidth="1"/>
    <col min="5651" max="5651" width="11.125" style="271" customWidth="1"/>
    <col min="5652" max="5652" width="4.5" style="271" customWidth="1"/>
    <col min="5653" max="5653" width="8.5" style="271" customWidth="1"/>
    <col min="5654" max="5654" width="11.125" style="271" customWidth="1"/>
    <col min="5655" max="5655" width="4.5" style="271" customWidth="1"/>
    <col min="5656" max="5656" width="8.5" style="271" customWidth="1"/>
    <col min="5657" max="5657" width="11.125" style="271" customWidth="1"/>
    <col min="5658" max="5658" width="4.5" style="271" customWidth="1"/>
    <col min="5659" max="5659" width="8.5" style="271" customWidth="1"/>
    <col min="5660" max="5660" width="11.125" style="271" customWidth="1"/>
    <col min="5661" max="5661" width="33" style="271" customWidth="1"/>
    <col min="5662" max="5864" width="9" style="271"/>
    <col min="5865" max="5865" width="1.5" style="271" customWidth="1"/>
    <col min="5866" max="5866" width="3.125" style="271" customWidth="1"/>
    <col min="5867" max="5867" width="9.625" style="271" customWidth="1"/>
    <col min="5868" max="5868" width="18.125" style="271" customWidth="1"/>
    <col min="5869" max="5870" width="10.25" style="271" customWidth="1"/>
    <col min="5871" max="5871" width="8.5" style="271" customWidth="1"/>
    <col min="5872" max="5872" width="8.875" style="271" bestFit="1" customWidth="1"/>
    <col min="5873" max="5874" width="6.75" style="271" customWidth="1"/>
    <col min="5875" max="5875" width="3.5" style="271" customWidth="1"/>
    <col min="5876" max="5876" width="8.5" style="271" customWidth="1"/>
    <col min="5877" max="5877" width="13.25" style="271" customWidth="1"/>
    <col min="5878" max="5878" width="4.5" style="271" customWidth="1"/>
    <col min="5879" max="5879" width="8.5" style="271" customWidth="1"/>
    <col min="5880" max="5880" width="12" style="271" customWidth="1"/>
    <col min="5881" max="5881" width="4.5" style="271" customWidth="1"/>
    <col min="5882" max="5882" width="8.5" style="271" customWidth="1"/>
    <col min="5883" max="5883" width="11" style="271" customWidth="1"/>
    <col min="5884" max="5884" width="4.5" style="271" customWidth="1"/>
    <col min="5885" max="5885" width="8.5" style="271" customWidth="1"/>
    <col min="5886" max="5886" width="11.125" style="271" customWidth="1"/>
    <col min="5887" max="5887" width="4.5" style="271" customWidth="1"/>
    <col min="5888" max="5888" width="8.5" style="271" customWidth="1"/>
    <col min="5889" max="5889" width="11.125" style="271" customWidth="1"/>
    <col min="5890" max="5890" width="4.5" style="271" customWidth="1"/>
    <col min="5891" max="5891" width="8.5" style="271" customWidth="1"/>
    <col min="5892" max="5892" width="11.125" style="271" customWidth="1"/>
    <col min="5893" max="5893" width="4.5" style="271" customWidth="1"/>
    <col min="5894" max="5894" width="8.5" style="271" customWidth="1"/>
    <col min="5895" max="5895" width="11.125" style="271" customWidth="1"/>
    <col min="5896" max="5896" width="4.5" style="271" customWidth="1"/>
    <col min="5897" max="5897" width="8.5" style="271" customWidth="1"/>
    <col min="5898" max="5898" width="11.125" style="271" customWidth="1"/>
    <col min="5899" max="5899" width="4.5" style="271" customWidth="1"/>
    <col min="5900" max="5900" width="8.5" style="271" customWidth="1"/>
    <col min="5901" max="5901" width="11.125" style="271" customWidth="1"/>
    <col min="5902" max="5902" width="4.5" style="271" customWidth="1"/>
    <col min="5903" max="5903" width="8.5" style="271" customWidth="1"/>
    <col min="5904" max="5904" width="11.125" style="271" customWidth="1"/>
    <col min="5905" max="5905" width="4.5" style="271" customWidth="1"/>
    <col min="5906" max="5906" width="8.5" style="271" customWidth="1"/>
    <col min="5907" max="5907" width="11.125" style="271" customWidth="1"/>
    <col min="5908" max="5908" width="4.5" style="271" customWidth="1"/>
    <col min="5909" max="5909" width="8.5" style="271" customWidth="1"/>
    <col min="5910" max="5910" width="11.125" style="271" customWidth="1"/>
    <col min="5911" max="5911" width="4.5" style="271" customWidth="1"/>
    <col min="5912" max="5912" width="8.5" style="271" customWidth="1"/>
    <col min="5913" max="5913" width="11.125" style="271" customWidth="1"/>
    <col min="5914" max="5914" width="4.5" style="271" customWidth="1"/>
    <col min="5915" max="5915" width="8.5" style="271" customWidth="1"/>
    <col min="5916" max="5916" width="11.125" style="271" customWidth="1"/>
    <col min="5917" max="5917" width="33" style="271" customWidth="1"/>
    <col min="5918" max="6120" width="9" style="271"/>
    <col min="6121" max="6121" width="1.5" style="271" customWidth="1"/>
    <col min="6122" max="6122" width="3.125" style="271" customWidth="1"/>
    <col min="6123" max="6123" width="9.625" style="271" customWidth="1"/>
    <col min="6124" max="6124" width="18.125" style="271" customWidth="1"/>
    <col min="6125" max="6126" width="10.25" style="271" customWidth="1"/>
    <col min="6127" max="6127" width="8.5" style="271" customWidth="1"/>
    <col min="6128" max="6128" width="8.875" style="271" bestFit="1" customWidth="1"/>
    <col min="6129" max="6130" width="6.75" style="271" customWidth="1"/>
    <col min="6131" max="6131" width="3.5" style="271" customWidth="1"/>
    <col min="6132" max="6132" width="8.5" style="271" customWidth="1"/>
    <col min="6133" max="6133" width="13.25" style="271" customWidth="1"/>
    <col min="6134" max="6134" width="4.5" style="271" customWidth="1"/>
    <col min="6135" max="6135" width="8.5" style="271" customWidth="1"/>
    <col min="6136" max="6136" width="12" style="271" customWidth="1"/>
    <col min="6137" max="6137" width="4.5" style="271" customWidth="1"/>
    <col min="6138" max="6138" width="8.5" style="271" customWidth="1"/>
    <col min="6139" max="6139" width="11" style="271" customWidth="1"/>
    <col min="6140" max="6140" width="4.5" style="271" customWidth="1"/>
    <col min="6141" max="6141" width="8.5" style="271" customWidth="1"/>
    <col min="6142" max="6142" width="11.125" style="271" customWidth="1"/>
    <col min="6143" max="6143" width="4.5" style="271" customWidth="1"/>
    <col min="6144" max="6144" width="8.5" style="271" customWidth="1"/>
    <col min="6145" max="6145" width="11.125" style="271" customWidth="1"/>
    <col min="6146" max="6146" width="4.5" style="271" customWidth="1"/>
    <col min="6147" max="6147" width="8.5" style="271" customWidth="1"/>
    <col min="6148" max="6148" width="11.125" style="271" customWidth="1"/>
    <col min="6149" max="6149" width="4.5" style="271" customWidth="1"/>
    <col min="6150" max="6150" width="8.5" style="271" customWidth="1"/>
    <col min="6151" max="6151" width="11.125" style="271" customWidth="1"/>
    <col min="6152" max="6152" width="4.5" style="271" customWidth="1"/>
    <col min="6153" max="6153" width="8.5" style="271" customWidth="1"/>
    <col min="6154" max="6154" width="11.125" style="271" customWidth="1"/>
    <col min="6155" max="6155" width="4.5" style="271" customWidth="1"/>
    <col min="6156" max="6156" width="8.5" style="271" customWidth="1"/>
    <col min="6157" max="6157" width="11.125" style="271" customWidth="1"/>
    <col min="6158" max="6158" width="4.5" style="271" customWidth="1"/>
    <col min="6159" max="6159" width="8.5" style="271" customWidth="1"/>
    <col min="6160" max="6160" width="11.125" style="271" customWidth="1"/>
    <col min="6161" max="6161" width="4.5" style="271" customWidth="1"/>
    <col min="6162" max="6162" width="8.5" style="271" customWidth="1"/>
    <col min="6163" max="6163" width="11.125" style="271" customWidth="1"/>
    <col min="6164" max="6164" width="4.5" style="271" customWidth="1"/>
    <col min="6165" max="6165" width="8.5" style="271" customWidth="1"/>
    <col min="6166" max="6166" width="11.125" style="271" customWidth="1"/>
    <col min="6167" max="6167" width="4.5" style="271" customWidth="1"/>
    <col min="6168" max="6168" width="8.5" style="271" customWidth="1"/>
    <col min="6169" max="6169" width="11.125" style="271" customWidth="1"/>
    <col min="6170" max="6170" width="4.5" style="271" customWidth="1"/>
    <col min="6171" max="6171" width="8.5" style="271" customWidth="1"/>
    <col min="6172" max="6172" width="11.125" style="271" customWidth="1"/>
    <col min="6173" max="6173" width="33" style="271" customWidth="1"/>
    <col min="6174" max="6376" width="9" style="271"/>
    <col min="6377" max="6377" width="1.5" style="271" customWidth="1"/>
    <col min="6378" max="6378" width="3.125" style="271" customWidth="1"/>
    <col min="6379" max="6379" width="9.625" style="271" customWidth="1"/>
    <col min="6380" max="6380" width="18.125" style="271" customWidth="1"/>
    <col min="6381" max="6382" width="10.25" style="271" customWidth="1"/>
    <col min="6383" max="6383" width="8.5" style="271" customWidth="1"/>
    <col min="6384" max="6384" width="8.875" style="271" bestFit="1" customWidth="1"/>
    <col min="6385" max="6386" width="6.75" style="271" customWidth="1"/>
    <col min="6387" max="6387" width="3.5" style="271" customWidth="1"/>
    <col min="6388" max="6388" width="8.5" style="271" customWidth="1"/>
    <col min="6389" max="6389" width="13.25" style="271" customWidth="1"/>
    <col min="6390" max="6390" width="4.5" style="271" customWidth="1"/>
    <col min="6391" max="6391" width="8.5" style="271" customWidth="1"/>
    <col min="6392" max="6392" width="12" style="271" customWidth="1"/>
    <col min="6393" max="6393" width="4.5" style="271" customWidth="1"/>
    <col min="6394" max="6394" width="8.5" style="271" customWidth="1"/>
    <col min="6395" max="6395" width="11" style="271" customWidth="1"/>
    <col min="6396" max="6396" width="4.5" style="271" customWidth="1"/>
    <col min="6397" max="6397" width="8.5" style="271" customWidth="1"/>
    <col min="6398" max="6398" width="11.125" style="271" customWidth="1"/>
    <col min="6399" max="6399" width="4.5" style="271" customWidth="1"/>
    <col min="6400" max="6400" width="8.5" style="271" customWidth="1"/>
    <col min="6401" max="6401" width="11.125" style="271" customWidth="1"/>
    <col min="6402" max="6402" width="4.5" style="271" customWidth="1"/>
    <col min="6403" max="6403" width="8.5" style="271" customWidth="1"/>
    <col min="6404" max="6404" width="11.125" style="271" customWidth="1"/>
    <col min="6405" max="6405" width="4.5" style="271" customWidth="1"/>
    <col min="6406" max="6406" width="8.5" style="271" customWidth="1"/>
    <col min="6407" max="6407" width="11.125" style="271" customWidth="1"/>
    <col min="6408" max="6408" width="4.5" style="271" customWidth="1"/>
    <col min="6409" max="6409" width="8.5" style="271" customWidth="1"/>
    <col min="6410" max="6410" width="11.125" style="271" customWidth="1"/>
    <col min="6411" max="6411" width="4.5" style="271" customWidth="1"/>
    <col min="6412" max="6412" width="8.5" style="271" customWidth="1"/>
    <col min="6413" max="6413" width="11.125" style="271" customWidth="1"/>
    <col min="6414" max="6414" width="4.5" style="271" customWidth="1"/>
    <col min="6415" max="6415" width="8.5" style="271" customWidth="1"/>
    <col min="6416" max="6416" width="11.125" style="271" customWidth="1"/>
    <col min="6417" max="6417" width="4.5" style="271" customWidth="1"/>
    <col min="6418" max="6418" width="8.5" style="271" customWidth="1"/>
    <col min="6419" max="6419" width="11.125" style="271" customWidth="1"/>
    <col min="6420" max="6420" width="4.5" style="271" customWidth="1"/>
    <col min="6421" max="6421" width="8.5" style="271" customWidth="1"/>
    <col min="6422" max="6422" width="11.125" style="271" customWidth="1"/>
    <col min="6423" max="6423" width="4.5" style="271" customWidth="1"/>
    <col min="6424" max="6424" width="8.5" style="271" customWidth="1"/>
    <col min="6425" max="6425" width="11.125" style="271" customWidth="1"/>
    <col min="6426" max="6426" width="4.5" style="271" customWidth="1"/>
    <col min="6427" max="6427" width="8.5" style="271" customWidth="1"/>
    <col min="6428" max="6428" width="11.125" style="271" customWidth="1"/>
    <col min="6429" max="6429" width="33" style="271" customWidth="1"/>
    <col min="6430" max="6632" width="9" style="271"/>
    <col min="6633" max="6633" width="1.5" style="271" customWidth="1"/>
    <col min="6634" max="6634" width="3.125" style="271" customWidth="1"/>
    <col min="6635" max="6635" width="9.625" style="271" customWidth="1"/>
    <col min="6636" max="6636" width="18.125" style="271" customWidth="1"/>
    <col min="6637" max="6638" width="10.25" style="271" customWidth="1"/>
    <col min="6639" max="6639" width="8.5" style="271" customWidth="1"/>
    <col min="6640" max="6640" width="8.875" style="271" bestFit="1" customWidth="1"/>
    <col min="6641" max="6642" width="6.75" style="271" customWidth="1"/>
    <col min="6643" max="6643" width="3.5" style="271" customWidth="1"/>
    <col min="6644" max="6644" width="8.5" style="271" customWidth="1"/>
    <col min="6645" max="6645" width="13.25" style="271" customWidth="1"/>
    <col min="6646" max="6646" width="4.5" style="271" customWidth="1"/>
    <col min="6647" max="6647" width="8.5" style="271" customWidth="1"/>
    <col min="6648" max="6648" width="12" style="271" customWidth="1"/>
    <col min="6649" max="6649" width="4.5" style="271" customWidth="1"/>
    <col min="6650" max="6650" width="8.5" style="271" customWidth="1"/>
    <col min="6651" max="6651" width="11" style="271" customWidth="1"/>
    <col min="6652" max="6652" width="4.5" style="271" customWidth="1"/>
    <col min="6653" max="6653" width="8.5" style="271" customWidth="1"/>
    <col min="6654" max="6654" width="11.125" style="271" customWidth="1"/>
    <col min="6655" max="6655" width="4.5" style="271" customWidth="1"/>
    <col min="6656" max="6656" width="8.5" style="271" customWidth="1"/>
    <col min="6657" max="6657" width="11.125" style="271" customWidth="1"/>
    <col min="6658" max="6658" width="4.5" style="271" customWidth="1"/>
    <col min="6659" max="6659" width="8.5" style="271" customWidth="1"/>
    <col min="6660" max="6660" width="11.125" style="271" customWidth="1"/>
    <col min="6661" max="6661" width="4.5" style="271" customWidth="1"/>
    <col min="6662" max="6662" width="8.5" style="271" customWidth="1"/>
    <col min="6663" max="6663" width="11.125" style="271" customWidth="1"/>
    <col min="6664" max="6664" width="4.5" style="271" customWidth="1"/>
    <col min="6665" max="6665" width="8.5" style="271" customWidth="1"/>
    <col min="6666" max="6666" width="11.125" style="271" customWidth="1"/>
    <col min="6667" max="6667" width="4.5" style="271" customWidth="1"/>
    <col min="6668" max="6668" width="8.5" style="271" customWidth="1"/>
    <col min="6669" max="6669" width="11.125" style="271" customWidth="1"/>
    <col min="6670" max="6670" width="4.5" style="271" customWidth="1"/>
    <col min="6671" max="6671" width="8.5" style="271" customWidth="1"/>
    <col min="6672" max="6672" width="11.125" style="271" customWidth="1"/>
    <col min="6673" max="6673" width="4.5" style="271" customWidth="1"/>
    <col min="6674" max="6674" width="8.5" style="271" customWidth="1"/>
    <col min="6675" max="6675" width="11.125" style="271" customWidth="1"/>
    <col min="6676" max="6676" width="4.5" style="271" customWidth="1"/>
    <col min="6677" max="6677" width="8.5" style="271" customWidth="1"/>
    <col min="6678" max="6678" width="11.125" style="271" customWidth="1"/>
    <col min="6679" max="6679" width="4.5" style="271" customWidth="1"/>
    <col min="6680" max="6680" width="8.5" style="271" customWidth="1"/>
    <col min="6681" max="6681" width="11.125" style="271" customWidth="1"/>
    <col min="6682" max="6682" width="4.5" style="271" customWidth="1"/>
    <col min="6683" max="6683" width="8.5" style="271" customWidth="1"/>
    <col min="6684" max="6684" width="11.125" style="271" customWidth="1"/>
    <col min="6685" max="6685" width="33" style="271" customWidth="1"/>
    <col min="6686" max="6888" width="9" style="271"/>
    <col min="6889" max="6889" width="1.5" style="271" customWidth="1"/>
    <col min="6890" max="6890" width="3.125" style="271" customWidth="1"/>
    <col min="6891" max="6891" width="9.625" style="271" customWidth="1"/>
    <col min="6892" max="6892" width="18.125" style="271" customWidth="1"/>
    <col min="6893" max="6894" width="10.25" style="271" customWidth="1"/>
    <col min="6895" max="6895" width="8.5" style="271" customWidth="1"/>
    <col min="6896" max="6896" width="8.875" style="271" bestFit="1" customWidth="1"/>
    <col min="6897" max="6898" width="6.75" style="271" customWidth="1"/>
    <col min="6899" max="6899" width="3.5" style="271" customWidth="1"/>
    <col min="6900" max="6900" width="8.5" style="271" customWidth="1"/>
    <col min="6901" max="6901" width="13.25" style="271" customWidth="1"/>
    <col min="6902" max="6902" width="4.5" style="271" customWidth="1"/>
    <col min="6903" max="6903" width="8.5" style="271" customWidth="1"/>
    <col min="6904" max="6904" width="12" style="271" customWidth="1"/>
    <col min="6905" max="6905" width="4.5" style="271" customWidth="1"/>
    <col min="6906" max="6906" width="8.5" style="271" customWidth="1"/>
    <col min="6907" max="6907" width="11" style="271" customWidth="1"/>
    <col min="6908" max="6908" width="4.5" style="271" customWidth="1"/>
    <col min="6909" max="6909" width="8.5" style="271" customWidth="1"/>
    <col min="6910" max="6910" width="11.125" style="271" customWidth="1"/>
    <col min="6911" max="6911" width="4.5" style="271" customWidth="1"/>
    <col min="6912" max="6912" width="8.5" style="271" customWidth="1"/>
    <col min="6913" max="6913" width="11.125" style="271" customWidth="1"/>
    <col min="6914" max="6914" width="4.5" style="271" customWidth="1"/>
    <col min="6915" max="6915" width="8.5" style="271" customWidth="1"/>
    <col min="6916" max="6916" width="11.125" style="271" customWidth="1"/>
    <col min="6917" max="6917" width="4.5" style="271" customWidth="1"/>
    <col min="6918" max="6918" width="8.5" style="271" customWidth="1"/>
    <col min="6919" max="6919" width="11.125" style="271" customWidth="1"/>
    <col min="6920" max="6920" width="4.5" style="271" customWidth="1"/>
    <col min="6921" max="6921" width="8.5" style="271" customWidth="1"/>
    <col min="6922" max="6922" width="11.125" style="271" customWidth="1"/>
    <col min="6923" max="6923" width="4.5" style="271" customWidth="1"/>
    <col min="6924" max="6924" width="8.5" style="271" customWidth="1"/>
    <col min="6925" max="6925" width="11.125" style="271" customWidth="1"/>
    <col min="6926" max="6926" width="4.5" style="271" customWidth="1"/>
    <col min="6927" max="6927" width="8.5" style="271" customWidth="1"/>
    <col min="6928" max="6928" width="11.125" style="271" customWidth="1"/>
    <col min="6929" max="6929" width="4.5" style="271" customWidth="1"/>
    <col min="6930" max="6930" width="8.5" style="271" customWidth="1"/>
    <col min="6931" max="6931" width="11.125" style="271" customWidth="1"/>
    <col min="6932" max="6932" width="4.5" style="271" customWidth="1"/>
    <col min="6933" max="6933" width="8.5" style="271" customWidth="1"/>
    <col min="6934" max="6934" width="11.125" style="271" customWidth="1"/>
    <col min="6935" max="6935" width="4.5" style="271" customWidth="1"/>
    <col min="6936" max="6936" width="8.5" style="271" customWidth="1"/>
    <col min="6937" max="6937" width="11.125" style="271" customWidth="1"/>
    <col min="6938" max="6938" width="4.5" style="271" customWidth="1"/>
    <col min="6939" max="6939" width="8.5" style="271" customWidth="1"/>
    <col min="6940" max="6940" width="11.125" style="271" customWidth="1"/>
    <col min="6941" max="6941" width="33" style="271" customWidth="1"/>
    <col min="6942" max="7144" width="9" style="271"/>
    <col min="7145" max="7145" width="1.5" style="271" customWidth="1"/>
    <col min="7146" max="7146" width="3.125" style="271" customWidth="1"/>
    <col min="7147" max="7147" width="9.625" style="271" customWidth="1"/>
    <col min="7148" max="7148" width="18.125" style="271" customWidth="1"/>
    <col min="7149" max="7150" width="10.25" style="271" customWidth="1"/>
    <col min="7151" max="7151" width="8.5" style="271" customWidth="1"/>
    <col min="7152" max="7152" width="8.875" style="271" bestFit="1" customWidth="1"/>
    <col min="7153" max="7154" width="6.75" style="271" customWidth="1"/>
    <col min="7155" max="7155" width="3.5" style="271" customWidth="1"/>
    <col min="7156" max="7156" width="8.5" style="271" customWidth="1"/>
    <col min="7157" max="7157" width="13.25" style="271" customWidth="1"/>
    <col min="7158" max="7158" width="4.5" style="271" customWidth="1"/>
    <col min="7159" max="7159" width="8.5" style="271" customWidth="1"/>
    <col min="7160" max="7160" width="12" style="271" customWidth="1"/>
    <col min="7161" max="7161" width="4.5" style="271" customWidth="1"/>
    <col min="7162" max="7162" width="8.5" style="271" customWidth="1"/>
    <col min="7163" max="7163" width="11" style="271" customWidth="1"/>
    <col min="7164" max="7164" width="4.5" style="271" customWidth="1"/>
    <col min="7165" max="7165" width="8.5" style="271" customWidth="1"/>
    <col min="7166" max="7166" width="11.125" style="271" customWidth="1"/>
    <col min="7167" max="7167" width="4.5" style="271" customWidth="1"/>
    <col min="7168" max="7168" width="8.5" style="271" customWidth="1"/>
    <col min="7169" max="7169" width="11.125" style="271" customWidth="1"/>
    <col min="7170" max="7170" width="4.5" style="271" customWidth="1"/>
    <col min="7171" max="7171" width="8.5" style="271" customWidth="1"/>
    <col min="7172" max="7172" width="11.125" style="271" customWidth="1"/>
    <col min="7173" max="7173" width="4.5" style="271" customWidth="1"/>
    <col min="7174" max="7174" width="8.5" style="271" customWidth="1"/>
    <col min="7175" max="7175" width="11.125" style="271" customWidth="1"/>
    <col min="7176" max="7176" width="4.5" style="271" customWidth="1"/>
    <col min="7177" max="7177" width="8.5" style="271" customWidth="1"/>
    <col min="7178" max="7178" width="11.125" style="271" customWidth="1"/>
    <col min="7179" max="7179" width="4.5" style="271" customWidth="1"/>
    <col min="7180" max="7180" width="8.5" style="271" customWidth="1"/>
    <col min="7181" max="7181" width="11.125" style="271" customWidth="1"/>
    <col min="7182" max="7182" width="4.5" style="271" customWidth="1"/>
    <col min="7183" max="7183" width="8.5" style="271" customWidth="1"/>
    <col min="7184" max="7184" width="11.125" style="271" customWidth="1"/>
    <col min="7185" max="7185" width="4.5" style="271" customWidth="1"/>
    <col min="7186" max="7186" width="8.5" style="271" customWidth="1"/>
    <col min="7187" max="7187" width="11.125" style="271" customWidth="1"/>
    <col min="7188" max="7188" width="4.5" style="271" customWidth="1"/>
    <col min="7189" max="7189" width="8.5" style="271" customWidth="1"/>
    <col min="7190" max="7190" width="11.125" style="271" customWidth="1"/>
    <col min="7191" max="7191" width="4.5" style="271" customWidth="1"/>
    <col min="7192" max="7192" width="8.5" style="271" customWidth="1"/>
    <col min="7193" max="7193" width="11.125" style="271" customWidth="1"/>
    <col min="7194" max="7194" width="4.5" style="271" customWidth="1"/>
    <col min="7195" max="7195" width="8.5" style="271" customWidth="1"/>
    <col min="7196" max="7196" width="11.125" style="271" customWidth="1"/>
    <col min="7197" max="7197" width="33" style="271" customWidth="1"/>
    <col min="7198" max="7400" width="9" style="271"/>
    <col min="7401" max="7401" width="1.5" style="271" customWidth="1"/>
    <col min="7402" max="7402" width="3.125" style="271" customWidth="1"/>
    <col min="7403" max="7403" width="9.625" style="271" customWidth="1"/>
    <col min="7404" max="7404" width="18.125" style="271" customWidth="1"/>
    <col min="7405" max="7406" width="10.25" style="271" customWidth="1"/>
    <col min="7407" max="7407" width="8.5" style="271" customWidth="1"/>
    <col min="7408" max="7408" width="8.875" style="271" bestFit="1" customWidth="1"/>
    <col min="7409" max="7410" width="6.75" style="271" customWidth="1"/>
    <col min="7411" max="7411" width="3.5" style="271" customWidth="1"/>
    <col min="7412" max="7412" width="8.5" style="271" customWidth="1"/>
    <col min="7413" max="7413" width="13.25" style="271" customWidth="1"/>
    <col min="7414" max="7414" width="4.5" style="271" customWidth="1"/>
    <col min="7415" max="7415" width="8.5" style="271" customWidth="1"/>
    <col min="7416" max="7416" width="12" style="271" customWidth="1"/>
    <col min="7417" max="7417" width="4.5" style="271" customWidth="1"/>
    <col min="7418" max="7418" width="8.5" style="271" customWidth="1"/>
    <col min="7419" max="7419" width="11" style="271" customWidth="1"/>
    <col min="7420" max="7420" width="4.5" style="271" customWidth="1"/>
    <col min="7421" max="7421" width="8.5" style="271" customWidth="1"/>
    <col min="7422" max="7422" width="11.125" style="271" customWidth="1"/>
    <col min="7423" max="7423" width="4.5" style="271" customWidth="1"/>
    <col min="7424" max="7424" width="8.5" style="271" customWidth="1"/>
    <col min="7425" max="7425" width="11.125" style="271" customWidth="1"/>
    <col min="7426" max="7426" width="4.5" style="271" customWidth="1"/>
    <col min="7427" max="7427" width="8.5" style="271" customWidth="1"/>
    <col min="7428" max="7428" width="11.125" style="271" customWidth="1"/>
    <col min="7429" max="7429" width="4.5" style="271" customWidth="1"/>
    <col min="7430" max="7430" width="8.5" style="271" customWidth="1"/>
    <col min="7431" max="7431" width="11.125" style="271" customWidth="1"/>
    <col min="7432" max="7432" width="4.5" style="271" customWidth="1"/>
    <col min="7433" max="7433" width="8.5" style="271" customWidth="1"/>
    <col min="7434" max="7434" width="11.125" style="271" customWidth="1"/>
    <col min="7435" max="7435" width="4.5" style="271" customWidth="1"/>
    <col min="7436" max="7436" width="8.5" style="271" customWidth="1"/>
    <col min="7437" max="7437" width="11.125" style="271" customWidth="1"/>
    <col min="7438" max="7438" width="4.5" style="271" customWidth="1"/>
    <col min="7439" max="7439" width="8.5" style="271" customWidth="1"/>
    <col min="7440" max="7440" width="11.125" style="271" customWidth="1"/>
    <col min="7441" max="7441" width="4.5" style="271" customWidth="1"/>
    <col min="7442" max="7442" width="8.5" style="271" customWidth="1"/>
    <col min="7443" max="7443" width="11.125" style="271" customWidth="1"/>
    <col min="7444" max="7444" width="4.5" style="271" customWidth="1"/>
    <col min="7445" max="7445" width="8.5" style="271" customWidth="1"/>
    <col min="7446" max="7446" width="11.125" style="271" customWidth="1"/>
    <col min="7447" max="7447" width="4.5" style="271" customWidth="1"/>
    <col min="7448" max="7448" width="8.5" style="271" customWidth="1"/>
    <col min="7449" max="7449" width="11.125" style="271" customWidth="1"/>
    <col min="7450" max="7450" width="4.5" style="271" customWidth="1"/>
    <col min="7451" max="7451" width="8.5" style="271" customWidth="1"/>
    <col min="7452" max="7452" width="11.125" style="271" customWidth="1"/>
    <col min="7453" max="7453" width="33" style="271" customWidth="1"/>
    <col min="7454" max="7656" width="9" style="271"/>
    <col min="7657" max="7657" width="1.5" style="271" customWidth="1"/>
    <col min="7658" max="7658" width="3.125" style="271" customWidth="1"/>
    <col min="7659" max="7659" width="9.625" style="271" customWidth="1"/>
    <col min="7660" max="7660" width="18.125" style="271" customWidth="1"/>
    <col min="7661" max="7662" width="10.25" style="271" customWidth="1"/>
    <col min="7663" max="7663" width="8.5" style="271" customWidth="1"/>
    <col min="7664" max="7664" width="8.875" style="271" bestFit="1" customWidth="1"/>
    <col min="7665" max="7666" width="6.75" style="271" customWidth="1"/>
    <col min="7667" max="7667" width="3.5" style="271" customWidth="1"/>
    <col min="7668" max="7668" width="8.5" style="271" customWidth="1"/>
    <col min="7669" max="7669" width="13.25" style="271" customWidth="1"/>
    <col min="7670" max="7670" width="4.5" style="271" customWidth="1"/>
    <col min="7671" max="7671" width="8.5" style="271" customWidth="1"/>
    <col min="7672" max="7672" width="12" style="271" customWidth="1"/>
    <col min="7673" max="7673" width="4.5" style="271" customWidth="1"/>
    <col min="7674" max="7674" width="8.5" style="271" customWidth="1"/>
    <col min="7675" max="7675" width="11" style="271" customWidth="1"/>
    <col min="7676" max="7676" width="4.5" style="271" customWidth="1"/>
    <col min="7677" max="7677" width="8.5" style="271" customWidth="1"/>
    <col min="7678" max="7678" width="11.125" style="271" customWidth="1"/>
    <col min="7679" max="7679" width="4.5" style="271" customWidth="1"/>
    <col min="7680" max="7680" width="8.5" style="271" customWidth="1"/>
    <col min="7681" max="7681" width="11.125" style="271" customWidth="1"/>
    <col min="7682" max="7682" width="4.5" style="271" customWidth="1"/>
    <col min="7683" max="7683" width="8.5" style="271" customWidth="1"/>
    <col min="7684" max="7684" width="11.125" style="271" customWidth="1"/>
    <col min="7685" max="7685" width="4.5" style="271" customWidth="1"/>
    <col min="7686" max="7686" width="8.5" style="271" customWidth="1"/>
    <col min="7687" max="7687" width="11.125" style="271" customWidth="1"/>
    <col min="7688" max="7688" width="4.5" style="271" customWidth="1"/>
    <col min="7689" max="7689" width="8.5" style="271" customWidth="1"/>
    <col min="7690" max="7690" width="11.125" style="271" customWidth="1"/>
    <col min="7691" max="7691" width="4.5" style="271" customWidth="1"/>
    <col min="7692" max="7692" width="8.5" style="271" customWidth="1"/>
    <col min="7693" max="7693" width="11.125" style="271" customWidth="1"/>
    <col min="7694" max="7694" width="4.5" style="271" customWidth="1"/>
    <col min="7695" max="7695" width="8.5" style="271" customWidth="1"/>
    <col min="7696" max="7696" width="11.125" style="271" customWidth="1"/>
    <col min="7697" max="7697" width="4.5" style="271" customWidth="1"/>
    <col min="7698" max="7698" width="8.5" style="271" customWidth="1"/>
    <col min="7699" max="7699" width="11.125" style="271" customWidth="1"/>
    <col min="7700" max="7700" width="4.5" style="271" customWidth="1"/>
    <col min="7701" max="7701" width="8.5" style="271" customWidth="1"/>
    <col min="7702" max="7702" width="11.125" style="271" customWidth="1"/>
    <col min="7703" max="7703" width="4.5" style="271" customWidth="1"/>
    <col min="7704" max="7704" width="8.5" style="271" customWidth="1"/>
    <col min="7705" max="7705" width="11.125" style="271" customWidth="1"/>
    <col min="7706" max="7706" width="4.5" style="271" customWidth="1"/>
    <col min="7707" max="7707" width="8.5" style="271" customWidth="1"/>
    <col min="7708" max="7708" width="11.125" style="271" customWidth="1"/>
    <col min="7709" max="7709" width="33" style="271" customWidth="1"/>
    <col min="7710" max="7912" width="9" style="271"/>
    <col min="7913" max="7913" width="1.5" style="271" customWidth="1"/>
    <col min="7914" max="7914" width="3.125" style="271" customWidth="1"/>
    <col min="7915" max="7915" width="9.625" style="271" customWidth="1"/>
    <col min="7916" max="7916" width="18.125" style="271" customWidth="1"/>
    <col min="7917" max="7918" width="10.25" style="271" customWidth="1"/>
    <col min="7919" max="7919" width="8.5" style="271" customWidth="1"/>
    <col min="7920" max="7920" width="8.875" style="271" bestFit="1" customWidth="1"/>
    <col min="7921" max="7922" width="6.75" style="271" customWidth="1"/>
    <col min="7923" max="7923" width="3.5" style="271" customWidth="1"/>
    <col min="7924" max="7924" width="8.5" style="271" customWidth="1"/>
    <col min="7925" max="7925" width="13.25" style="271" customWidth="1"/>
    <col min="7926" max="7926" width="4.5" style="271" customWidth="1"/>
    <col min="7927" max="7927" width="8.5" style="271" customWidth="1"/>
    <col min="7928" max="7928" width="12" style="271" customWidth="1"/>
    <col min="7929" max="7929" width="4.5" style="271" customWidth="1"/>
    <col min="7930" max="7930" width="8.5" style="271" customWidth="1"/>
    <col min="7931" max="7931" width="11" style="271" customWidth="1"/>
    <col min="7932" max="7932" width="4.5" style="271" customWidth="1"/>
    <col min="7933" max="7933" width="8.5" style="271" customWidth="1"/>
    <col min="7934" max="7934" width="11.125" style="271" customWidth="1"/>
    <col min="7935" max="7935" width="4.5" style="271" customWidth="1"/>
    <col min="7936" max="7936" width="8.5" style="271" customWidth="1"/>
    <col min="7937" max="7937" width="11.125" style="271" customWidth="1"/>
    <col min="7938" max="7938" width="4.5" style="271" customWidth="1"/>
    <col min="7939" max="7939" width="8.5" style="271" customWidth="1"/>
    <col min="7940" max="7940" width="11.125" style="271" customWidth="1"/>
    <col min="7941" max="7941" width="4.5" style="271" customWidth="1"/>
    <col min="7942" max="7942" width="8.5" style="271" customWidth="1"/>
    <col min="7943" max="7943" width="11.125" style="271" customWidth="1"/>
    <col min="7944" max="7944" width="4.5" style="271" customWidth="1"/>
    <col min="7945" max="7945" width="8.5" style="271" customWidth="1"/>
    <col min="7946" max="7946" width="11.125" style="271" customWidth="1"/>
    <col min="7947" max="7947" width="4.5" style="271" customWidth="1"/>
    <col min="7948" max="7948" width="8.5" style="271" customWidth="1"/>
    <col min="7949" max="7949" width="11.125" style="271" customWidth="1"/>
    <col min="7950" max="7950" width="4.5" style="271" customWidth="1"/>
    <col min="7951" max="7951" width="8.5" style="271" customWidth="1"/>
    <col min="7952" max="7952" width="11.125" style="271" customWidth="1"/>
    <col min="7953" max="7953" width="4.5" style="271" customWidth="1"/>
    <col min="7954" max="7954" width="8.5" style="271" customWidth="1"/>
    <col min="7955" max="7955" width="11.125" style="271" customWidth="1"/>
    <col min="7956" max="7956" width="4.5" style="271" customWidth="1"/>
    <col min="7957" max="7957" width="8.5" style="271" customWidth="1"/>
    <col min="7958" max="7958" width="11.125" style="271" customWidth="1"/>
    <col min="7959" max="7959" width="4.5" style="271" customWidth="1"/>
    <col min="7960" max="7960" width="8.5" style="271" customWidth="1"/>
    <col min="7961" max="7961" width="11.125" style="271" customWidth="1"/>
    <col min="7962" max="7962" width="4.5" style="271" customWidth="1"/>
    <col min="7963" max="7963" width="8.5" style="271" customWidth="1"/>
    <col min="7964" max="7964" width="11.125" style="271" customWidth="1"/>
    <col min="7965" max="7965" width="33" style="271" customWidth="1"/>
    <col min="7966" max="8168" width="9" style="271"/>
    <col min="8169" max="8169" width="1.5" style="271" customWidth="1"/>
    <col min="8170" max="8170" width="3.125" style="271" customWidth="1"/>
    <col min="8171" max="8171" width="9.625" style="271" customWidth="1"/>
    <col min="8172" max="8172" width="18.125" style="271" customWidth="1"/>
    <col min="8173" max="8174" width="10.25" style="271" customWidth="1"/>
    <col min="8175" max="8175" width="8.5" style="271" customWidth="1"/>
    <col min="8176" max="8176" width="8.875" style="271" bestFit="1" customWidth="1"/>
    <col min="8177" max="8178" width="6.75" style="271" customWidth="1"/>
    <col min="8179" max="8179" width="3.5" style="271" customWidth="1"/>
    <col min="8180" max="8180" width="8.5" style="271" customWidth="1"/>
    <col min="8181" max="8181" width="13.25" style="271" customWidth="1"/>
    <col min="8182" max="8182" width="4.5" style="271" customWidth="1"/>
    <col min="8183" max="8183" width="8.5" style="271" customWidth="1"/>
    <col min="8184" max="8184" width="12" style="271" customWidth="1"/>
    <col min="8185" max="8185" width="4.5" style="271" customWidth="1"/>
    <col min="8186" max="8186" width="8.5" style="271" customWidth="1"/>
    <col min="8187" max="8187" width="11" style="271" customWidth="1"/>
    <col min="8188" max="8188" width="4.5" style="271" customWidth="1"/>
    <col min="8189" max="8189" width="8.5" style="271" customWidth="1"/>
    <col min="8190" max="8190" width="11.125" style="271" customWidth="1"/>
    <col min="8191" max="8191" width="4.5" style="271" customWidth="1"/>
    <col min="8192" max="8192" width="8.5" style="271" customWidth="1"/>
    <col min="8193" max="8193" width="11.125" style="271" customWidth="1"/>
    <col min="8194" max="8194" width="4.5" style="271" customWidth="1"/>
    <col min="8195" max="8195" width="8.5" style="271" customWidth="1"/>
    <col min="8196" max="8196" width="11.125" style="271" customWidth="1"/>
    <col min="8197" max="8197" width="4.5" style="271" customWidth="1"/>
    <col min="8198" max="8198" width="8.5" style="271" customWidth="1"/>
    <col min="8199" max="8199" width="11.125" style="271" customWidth="1"/>
    <col min="8200" max="8200" width="4.5" style="271" customWidth="1"/>
    <col min="8201" max="8201" width="8.5" style="271" customWidth="1"/>
    <col min="8202" max="8202" width="11.125" style="271" customWidth="1"/>
    <col min="8203" max="8203" width="4.5" style="271" customWidth="1"/>
    <col min="8204" max="8204" width="8.5" style="271" customWidth="1"/>
    <col min="8205" max="8205" width="11.125" style="271" customWidth="1"/>
    <col min="8206" max="8206" width="4.5" style="271" customWidth="1"/>
    <col min="8207" max="8207" width="8.5" style="271" customWidth="1"/>
    <col min="8208" max="8208" width="11.125" style="271" customWidth="1"/>
    <col min="8209" max="8209" width="4.5" style="271" customWidth="1"/>
    <col min="8210" max="8210" width="8.5" style="271" customWidth="1"/>
    <col min="8211" max="8211" width="11.125" style="271" customWidth="1"/>
    <col min="8212" max="8212" width="4.5" style="271" customWidth="1"/>
    <col min="8213" max="8213" width="8.5" style="271" customWidth="1"/>
    <col min="8214" max="8214" width="11.125" style="271" customWidth="1"/>
    <col min="8215" max="8215" width="4.5" style="271" customWidth="1"/>
    <col min="8216" max="8216" width="8.5" style="271" customWidth="1"/>
    <col min="8217" max="8217" width="11.125" style="271" customWidth="1"/>
    <col min="8218" max="8218" width="4.5" style="271" customWidth="1"/>
    <col min="8219" max="8219" width="8.5" style="271" customWidth="1"/>
    <col min="8220" max="8220" width="11.125" style="271" customWidth="1"/>
    <col min="8221" max="8221" width="33" style="271" customWidth="1"/>
    <col min="8222" max="8424" width="9" style="271"/>
    <col min="8425" max="8425" width="1.5" style="271" customWidth="1"/>
    <col min="8426" max="8426" width="3.125" style="271" customWidth="1"/>
    <col min="8427" max="8427" width="9.625" style="271" customWidth="1"/>
    <col min="8428" max="8428" width="18.125" style="271" customWidth="1"/>
    <col min="8429" max="8430" width="10.25" style="271" customWidth="1"/>
    <col min="8431" max="8431" width="8.5" style="271" customWidth="1"/>
    <col min="8432" max="8432" width="8.875" style="271" bestFit="1" customWidth="1"/>
    <col min="8433" max="8434" width="6.75" style="271" customWidth="1"/>
    <col min="8435" max="8435" width="3.5" style="271" customWidth="1"/>
    <col min="8436" max="8436" width="8.5" style="271" customWidth="1"/>
    <col min="8437" max="8437" width="13.25" style="271" customWidth="1"/>
    <col min="8438" max="8438" width="4.5" style="271" customWidth="1"/>
    <col min="8439" max="8439" width="8.5" style="271" customWidth="1"/>
    <col min="8440" max="8440" width="12" style="271" customWidth="1"/>
    <col min="8441" max="8441" width="4.5" style="271" customWidth="1"/>
    <col min="8442" max="8442" width="8.5" style="271" customWidth="1"/>
    <col min="8443" max="8443" width="11" style="271" customWidth="1"/>
    <col min="8444" max="8444" width="4.5" style="271" customWidth="1"/>
    <col min="8445" max="8445" width="8.5" style="271" customWidth="1"/>
    <col min="8446" max="8446" width="11.125" style="271" customWidth="1"/>
    <col min="8447" max="8447" width="4.5" style="271" customWidth="1"/>
    <col min="8448" max="8448" width="8.5" style="271" customWidth="1"/>
    <col min="8449" max="8449" width="11.125" style="271" customWidth="1"/>
    <col min="8450" max="8450" width="4.5" style="271" customWidth="1"/>
    <col min="8451" max="8451" width="8.5" style="271" customWidth="1"/>
    <col min="8452" max="8452" width="11.125" style="271" customWidth="1"/>
    <col min="8453" max="8453" width="4.5" style="271" customWidth="1"/>
    <col min="8454" max="8454" width="8.5" style="271" customWidth="1"/>
    <col min="8455" max="8455" width="11.125" style="271" customWidth="1"/>
    <col min="8456" max="8456" width="4.5" style="271" customWidth="1"/>
    <col min="8457" max="8457" width="8.5" style="271" customWidth="1"/>
    <col min="8458" max="8458" width="11.125" style="271" customWidth="1"/>
    <col min="8459" max="8459" width="4.5" style="271" customWidth="1"/>
    <col min="8460" max="8460" width="8.5" style="271" customWidth="1"/>
    <col min="8461" max="8461" width="11.125" style="271" customWidth="1"/>
    <col min="8462" max="8462" width="4.5" style="271" customWidth="1"/>
    <col min="8463" max="8463" width="8.5" style="271" customWidth="1"/>
    <col min="8464" max="8464" width="11.125" style="271" customWidth="1"/>
    <col min="8465" max="8465" width="4.5" style="271" customWidth="1"/>
    <col min="8466" max="8466" width="8.5" style="271" customWidth="1"/>
    <col min="8467" max="8467" width="11.125" style="271" customWidth="1"/>
    <col min="8468" max="8468" width="4.5" style="271" customWidth="1"/>
    <col min="8469" max="8469" width="8.5" style="271" customWidth="1"/>
    <col min="8470" max="8470" width="11.125" style="271" customWidth="1"/>
    <col min="8471" max="8471" width="4.5" style="271" customWidth="1"/>
    <col min="8472" max="8472" width="8.5" style="271" customWidth="1"/>
    <col min="8473" max="8473" width="11.125" style="271" customWidth="1"/>
    <col min="8474" max="8474" width="4.5" style="271" customWidth="1"/>
    <col min="8475" max="8475" width="8.5" style="271" customWidth="1"/>
    <col min="8476" max="8476" width="11.125" style="271" customWidth="1"/>
    <col min="8477" max="8477" width="33" style="271" customWidth="1"/>
    <col min="8478" max="8680" width="9" style="271"/>
    <col min="8681" max="8681" width="1.5" style="271" customWidth="1"/>
    <col min="8682" max="8682" width="3.125" style="271" customWidth="1"/>
    <col min="8683" max="8683" width="9.625" style="271" customWidth="1"/>
    <col min="8684" max="8684" width="18.125" style="271" customWidth="1"/>
    <col min="8685" max="8686" width="10.25" style="271" customWidth="1"/>
    <col min="8687" max="8687" width="8.5" style="271" customWidth="1"/>
    <col min="8688" max="8688" width="8.875" style="271" bestFit="1" customWidth="1"/>
    <col min="8689" max="8690" width="6.75" style="271" customWidth="1"/>
    <col min="8691" max="8691" width="3.5" style="271" customWidth="1"/>
    <col min="8692" max="8692" width="8.5" style="271" customWidth="1"/>
    <col min="8693" max="8693" width="13.25" style="271" customWidth="1"/>
    <col min="8694" max="8694" width="4.5" style="271" customWidth="1"/>
    <col min="8695" max="8695" width="8.5" style="271" customWidth="1"/>
    <col min="8696" max="8696" width="12" style="271" customWidth="1"/>
    <col min="8697" max="8697" width="4.5" style="271" customWidth="1"/>
    <col min="8698" max="8698" width="8.5" style="271" customWidth="1"/>
    <col min="8699" max="8699" width="11" style="271" customWidth="1"/>
    <col min="8700" max="8700" width="4.5" style="271" customWidth="1"/>
    <col min="8701" max="8701" width="8.5" style="271" customWidth="1"/>
    <col min="8702" max="8702" width="11.125" style="271" customWidth="1"/>
    <col min="8703" max="8703" width="4.5" style="271" customWidth="1"/>
    <col min="8704" max="8704" width="8.5" style="271" customWidth="1"/>
    <col min="8705" max="8705" width="11.125" style="271" customWidth="1"/>
    <col min="8706" max="8706" width="4.5" style="271" customWidth="1"/>
    <col min="8707" max="8707" width="8.5" style="271" customWidth="1"/>
    <col min="8708" max="8708" width="11.125" style="271" customWidth="1"/>
    <col min="8709" max="8709" width="4.5" style="271" customWidth="1"/>
    <col min="8710" max="8710" width="8.5" style="271" customWidth="1"/>
    <col min="8711" max="8711" width="11.125" style="271" customWidth="1"/>
    <col min="8712" max="8712" width="4.5" style="271" customWidth="1"/>
    <col min="8713" max="8713" width="8.5" style="271" customWidth="1"/>
    <col min="8714" max="8714" width="11.125" style="271" customWidth="1"/>
    <col min="8715" max="8715" width="4.5" style="271" customWidth="1"/>
    <col min="8716" max="8716" width="8.5" style="271" customWidth="1"/>
    <col min="8717" max="8717" width="11.125" style="271" customWidth="1"/>
    <col min="8718" max="8718" width="4.5" style="271" customWidth="1"/>
    <col min="8719" max="8719" width="8.5" style="271" customWidth="1"/>
    <col min="8720" max="8720" width="11.125" style="271" customWidth="1"/>
    <col min="8721" max="8721" width="4.5" style="271" customWidth="1"/>
    <col min="8722" max="8722" width="8.5" style="271" customWidth="1"/>
    <col min="8723" max="8723" width="11.125" style="271" customWidth="1"/>
    <col min="8724" max="8724" width="4.5" style="271" customWidth="1"/>
    <col min="8725" max="8725" width="8.5" style="271" customWidth="1"/>
    <col min="8726" max="8726" width="11.125" style="271" customWidth="1"/>
    <col min="8727" max="8727" width="4.5" style="271" customWidth="1"/>
    <col min="8728" max="8728" width="8.5" style="271" customWidth="1"/>
    <col min="8729" max="8729" width="11.125" style="271" customWidth="1"/>
    <col min="8730" max="8730" width="4.5" style="271" customWidth="1"/>
    <col min="8731" max="8731" width="8.5" style="271" customWidth="1"/>
    <col min="8732" max="8732" width="11.125" style="271" customWidth="1"/>
    <col min="8733" max="8733" width="33" style="271" customWidth="1"/>
    <col min="8734" max="8936" width="9" style="271"/>
    <col min="8937" max="8937" width="1.5" style="271" customWidth="1"/>
    <col min="8938" max="8938" width="3.125" style="271" customWidth="1"/>
    <col min="8939" max="8939" width="9.625" style="271" customWidth="1"/>
    <col min="8940" max="8940" width="18.125" style="271" customWidth="1"/>
    <col min="8941" max="8942" width="10.25" style="271" customWidth="1"/>
    <col min="8943" max="8943" width="8.5" style="271" customWidth="1"/>
    <col min="8944" max="8944" width="8.875" style="271" bestFit="1" customWidth="1"/>
    <col min="8945" max="8946" width="6.75" style="271" customWidth="1"/>
    <col min="8947" max="8947" width="3.5" style="271" customWidth="1"/>
    <col min="8948" max="8948" width="8.5" style="271" customWidth="1"/>
    <col min="8949" max="8949" width="13.25" style="271" customWidth="1"/>
    <col min="8950" max="8950" width="4.5" style="271" customWidth="1"/>
    <col min="8951" max="8951" width="8.5" style="271" customWidth="1"/>
    <col min="8952" max="8952" width="12" style="271" customWidth="1"/>
    <col min="8953" max="8953" width="4.5" style="271" customWidth="1"/>
    <col min="8954" max="8954" width="8.5" style="271" customWidth="1"/>
    <col min="8955" max="8955" width="11" style="271" customWidth="1"/>
    <col min="8956" max="8956" width="4.5" style="271" customWidth="1"/>
    <col min="8957" max="8957" width="8.5" style="271" customWidth="1"/>
    <col min="8958" max="8958" width="11.125" style="271" customWidth="1"/>
    <col min="8959" max="8959" width="4.5" style="271" customWidth="1"/>
    <col min="8960" max="8960" width="8.5" style="271" customWidth="1"/>
    <col min="8961" max="8961" width="11.125" style="271" customWidth="1"/>
    <col min="8962" max="8962" width="4.5" style="271" customWidth="1"/>
    <col min="8963" max="8963" width="8.5" style="271" customWidth="1"/>
    <col min="8964" max="8964" width="11.125" style="271" customWidth="1"/>
    <col min="8965" max="8965" width="4.5" style="271" customWidth="1"/>
    <col min="8966" max="8966" width="8.5" style="271" customWidth="1"/>
    <col min="8967" max="8967" width="11.125" style="271" customWidth="1"/>
    <col min="8968" max="8968" width="4.5" style="271" customWidth="1"/>
    <col min="8969" max="8969" width="8.5" style="271" customWidth="1"/>
    <col min="8970" max="8970" width="11.125" style="271" customWidth="1"/>
    <col min="8971" max="8971" width="4.5" style="271" customWidth="1"/>
    <col min="8972" max="8972" width="8.5" style="271" customWidth="1"/>
    <col min="8973" max="8973" width="11.125" style="271" customWidth="1"/>
    <col min="8974" max="8974" width="4.5" style="271" customWidth="1"/>
    <col min="8975" max="8975" width="8.5" style="271" customWidth="1"/>
    <col min="8976" max="8976" width="11.125" style="271" customWidth="1"/>
    <col min="8977" max="8977" width="4.5" style="271" customWidth="1"/>
    <col min="8978" max="8978" width="8.5" style="271" customWidth="1"/>
    <col min="8979" max="8979" width="11.125" style="271" customWidth="1"/>
    <col min="8980" max="8980" width="4.5" style="271" customWidth="1"/>
    <col min="8981" max="8981" width="8.5" style="271" customWidth="1"/>
    <col min="8982" max="8982" width="11.125" style="271" customWidth="1"/>
    <col min="8983" max="8983" width="4.5" style="271" customWidth="1"/>
    <col min="8984" max="8984" width="8.5" style="271" customWidth="1"/>
    <col min="8985" max="8985" width="11.125" style="271" customWidth="1"/>
    <col min="8986" max="8986" width="4.5" style="271" customWidth="1"/>
    <col min="8987" max="8987" width="8.5" style="271" customWidth="1"/>
    <col min="8988" max="8988" width="11.125" style="271" customWidth="1"/>
    <col min="8989" max="8989" width="33" style="271" customWidth="1"/>
    <col min="8990" max="9192" width="9" style="271"/>
    <col min="9193" max="9193" width="1.5" style="271" customWidth="1"/>
    <col min="9194" max="9194" width="3.125" style="271" customWidth="1"/>
    <col min="9195" max="9195" width="9.625" style="271" customWidth="1"/>
    <col min="9196" max="9196" width="18.125" style="271" customWidth="1"/>
    <col min="9197" max="9198" width="10.25" style="271" customWidth="1"/>
    <col min="9199" max="9199" width="8.5" style="271" customWidth="1"/>
    <col min="9200" max="9200" width="8.875" style="271" bestFit="1" customWidth="1"/>
    <col min="9201" max="9202" width="6.75" style="271" customWidth="1"/>
    <col min="9203" max="9203" width="3.5" style="271" customWidth="1"/>
    <col min="9204" max="9204" width="8.5" style="271" customWidth="1"/>
    <col min="9205" max="9205" width="13.25" style="271" customWidth="1"/>
    <col min="9206" max="9206" width="4.5" style="271" customWidth="1"/>
    <col min="9207" max="9207" width="8.5" style="271" customWidth="1"/>
    <col min="9208" max="9208" width="12" style="271" customWidth="1"/>
    <col min="9209" max="9209" width="4.5" style="271" customWidth="1"/>
    <col min="9210" max="9210" width="8.5" style="271" customWidth="1"/>
    <col min="9211" max="9211" width="11" style="271" customWidth="1"/>
    <col min="9212" max="9212" width="4.5" style="271" customWidth="1"/>
    <col min="9213" max="9213" width="8.5" style="271" customWidth="1"/>
    <col min="9214" max="9214" width="11.125" style="271" customWidth="1"/>
    <col min="9215" max="9215" width="4.5" style="271" customWidth="1"/>
    <col min="9216" max="9216" width="8.5" style="271" customWidth="1"/>
    <col min="9217" max="9217" width="11.125" style="271" customWidth="1"/>
    <col min="9218" max="9218" width="4.5" style="271" customWidth="1"/>
    <col min="9219" max="9219" width="8.5" style="271" customWidth="1"/>
    <col min="9220" max="9220" width="11.125" style="271" customWidth="1"/>
    <col min="9221" max="9221" width="4.5" style="271" customWidth="1"/>
    <col min="9222" max="9222" width="8.5" style="271" customWidth="1"/>
    <col min="9223" max="9223" width="11.125" style="271" customWidth="1"/>
    <col min="9224" max="9224" width="4.5" style="271" customWidth="1"/>
    <col min="9225" max="9225" width="8.5" style="271" customWidth="1"/>
    <col min="9226" max="9226" width="11.125" style="271" customWidth="1"/>
    <col min="9227" max="9227" width="4.5" style="271" customWidth="1"/>
    <col min="9228" max="9228" width="8.5" style="271" customWidth="1"/>
    <col min="9229" max="9229" width="11.125" style="271" customWidth="1"/>
    <col min="9230" max="9230" width="4.5" style="271" customWidth="1"/>
    <col min="9231" max="9231" width="8.5" style="271" customWidth="1"/>
    <col min="9232" max="9232" width="11.125" style="271" customWidth="1"/>
    <col min="9233" max="9233" width="4.5" style="271" customWidth="1"/>
    <col min="9234" max="9234" width="8.5" style="271" customWidth="1"/>
    <col min="9235" max="9235" width="11.125" style="271" customWidth="1"/>
    <col min="9236" max="9236" width="4.5" style="271" customWidth="1"/>
    <col min="9237" max="9237" width="8.5" style="271" customWidth="1"/>
    <col min="9238" max="9238" width="11.125" style="271" customWidth="1"/>
    <col min="9239" max="9239" width="4.5" style="271" customWidth="1"/>
    <col min="9240" max="9240" width="8.5" style="271" customWidth="1"/>
    <col min="9241" max="9241" width="11.125" style="271" customWidth="1"/>
    <col min="9242" max="9242" width="4.5" style="271" customWidth="1"/>
    <col min="9243" max="9243" width="8.5" style="271" customWidth="1"/>
    <col min="9244" max="9244" width="11.125" style="271" customWidth="1"/>
    <col min="9245" max="9245" width="33" style="271" customWidth="1"/>
    <col min="9246" max="9448" width="9" style="271"/>
    <col min="9449" max="9449" width="1.5" style="271" customWidth="1"/>
    <col min="9450" max="9450" width="3.125" style="271" customWidth="1"/>
    <col min="9451" max="9451" width="9.625" style="271" customWidth="1"/>
    <col min="9452" max="9452" width="18.125" style="271" customWidth="1"/>
    <col min="9453" max="9454" width="10.25" style="271" customWidth="1"/>
    <col min="9455" max="9455" width="8.5" style="271" customWidth="1"/>
    <col min="9456" max="9456" width="8.875" style="271" bestFit="1" customWidth="1"/>
    <col min="9457" max="9458" width="6.75" style="271" customWidth="1"/>
    <col min="9459" max="9459" width="3.5" style="271" customWidth="1"/>
    <col min="9460" max="9460" width="8.5" style="271" customWidth="1"/>
    <col min="9461" max="9461" width="13.25" style="271" customWidth="1"/>
    <col min="9462" max="9462" width="4.5" style="271" customWidth="1"/>
    <col min="9463" max="9463" width="8.5" style="271" customWidth="1"/>
    <col min="9464" max="9464" width="12" style="271" customWidth="1"/>
    <col min="9465" max="9465" width="4.5" style="271" customWidth="1"/>
    <col min="9466" max="9466" width="8.5" style="271" customWidth="1"/>
    <col min="9467" max="9467" width="11" style="271" customWidth="1"/>
    <col min="9468" max="9468" width="4.5" style="271" customWidth="1"/>
    <col min="9469" max="9469" width="8.5" style="271" customWidth="1"/>
    <col min="9470" max="9470" width="11.125" style="271" customWidth="1"/>
    <col min="9471" max="9471" width="4.5" style="271" customWidth="1"/>
    <col min="9472" max="9472" width="8.5" style="271" customWidth="1"/>
    <col min="9473" max="9473" width="11.125" style="271" customWidth="1"/>
    <col min="9474" max="9474" width="4.5" style="271" customWidth="1"/>
    <col min="9475" max="9475" width="8.5" style="271" customWidth="1"/>
    <col min="9476" max="9476" width="11.125" style="271" customWidth="1"/>
    <col min="9477" max="9477" width="4.5" style="271" customWidth="1"/>
    <col min="9478" max="9478" width="8.5" style="271" customWidth="1"/>
    <col min="9479" max="9479" width="11.125" style="271" customWidth="1"/>
    <col min="9480" max="9480" width="4.5" style="271" customWidth="1"/>
    <col min="9481" max="9481" width="8.5" style="271" customWidth="1"/>
    <col min="9482" max="9482" width="11.125" style="271" customWidth="1"/>
    <col min="9483" max="9483" width="4.5" style="271" customWidth="1"/>
    <col min="9484" max="9484" width="8.5" style="271" customWidth="1"/>
    <col min="9485" max="9485" width="11.125" style="271" customWidth="1"/>
    <col min="9486" max="9486" width="4.5" style="271" customWidth="1"/>
    <col min="9487" max="9487" width="8.5" style="271" customWidth="1"/>
    <col min="9488" max="9488" width="11.125" style="271" customWidth="1"/>
    <col min="9489" max="9489" width="4.5" style="271" customWidth="1"/>
    <col min="9490" max="9490" width="8.5" style="271" customWidth="1"/>
    <col min="9491" max="9491" width="11.125" style="271" customWidth="1"/>
    <col min="9492" max="9492" width="4.5" style="271" customWidth="1"/>
    <col min="9493" max="9493" width="8.5" style="271" customWidth="1"/>
    <col min="9494" max="9494" width="11.125" style="271" customWidth="1"/>
    <col min="9495" max="9495" width="4.5" style="271" customWidth="1"/>
    <col min="9496" max="9496" width="8.5" style="271" customWidth="1"/>
    <col min="9497" max="9497" width="11.125" style="271" customWidth="1"/>
    <col min="9498" max="9498" width="4.5" style="271" customWidth="1"/>
    <col min="9499" max="9499" width="8.5" style="271" customWidth="1"/>
    <col min="9500" max="9500" width="11.125" style="271" customWidth="1"/>
    <col min="9501" max="9501" width="33" style="271" customWidth="1"/>
    <col min="9502" max="9704" width="9" style="271"/>
    <col min="9705" max="9705" width="1.5" style="271" customWidth="1"/>
    <col min="9706" max="9706" width="3.125" style="271" customWidth="1"/>
    <col min="9707" max="9707" width="9.625" style="271" customWidth="1"/>
    <col min="9708" max="9708" width="18.125" style="271" customWidth="1"/>
    <col min="9709" max="9710" width="10.25" style="271" customWidth="1"/>
    <col min="9711" max="9711" width="8.5" style="271" customWidth="1"/>
    <col min="9712" max="9712" width="8.875" style="271" bestFit="1" customWidth="1"/>
    <col min="9713" max="9714" width="6.75" style="271" customWidth="1"/>
    <col min="9715" max="9715" width="3.5" style="271" customWidth="1"/>
    <col min="9716" max="9716" width="8.5" style="271" customWidth="1"/>
    <col min="9717" max="9717" width="13.25" style="271" customWidth="1"/>
    <col min="9718" max="9718" width="4.5" style="271" customWidth="1"/>
    <col min="9719" max="9719" width="8.5" style="271" customWidth="1"/>
    <col min="9720" max="9720" width="12" style="271" customWidth="1"/>
    <col min="9721" max="9721" width="4.5" style="271" customWidth="1"/>
    <col min="9722" max="9722" width="8.5" style="271" customWidth="1"/>
    <col min="9723" max="9723" width="11" style="271" customWidth="1"/>
    <col min="9724" max="9724" width="4.5" style="271" customWidth="1"/>
    <col min="9725" max="9725" width="8.5" style="271" customWidth="1"/>
    <col min="9726" max="9726" width="11.125" style="271" customWidth="1"/>
    <col min="9727" max="9727" width="4.5" style="271" customWidth="1"/>
    <col min="9728" max="9728" width="8.5" style="271" customWidth="1"/>
    <col min="9729" max="9729" width="11.125" style="271" customWidth="1"/>
    <col min="9730" max="9730" width="4.5" style="271" customWidth="1"/>
    <col min="9731" max="9731" width="8.5" style="271" customWidth="1"/>
    <col min="9732" max="9732" width="11.125" style="271" customWidth="1"/>
    <col min="9733" max="9733" width="4.5" style="271" customWidth="1"/>
    <col min="9734" max="9734" width="8.5" style="271" customWidth="1"/>
    <col min="9735" max="9735" width="11.125" style="271" customWidth="1"/>
    <col min="9736" max="9736" width="4.5" style="271" customWidth="1"/>
    <col min="9737" max="9737" width="8.5" style="271" customWidth="1"/>
    <col min="9738" max="9738" width="11.125" style="271" customWidth="1"/>
    <col min="9739" max="9739" width="4.5" style="271" customWidth="1"/>
    <col min="9740" max="9740" width="8.5" style="271" customWidth="1"/>
    <col min="9741" max="9741" width="11.125" style="271" customWidth="1"/>
    <col min="9742" max="9742" width="4.5" style="271" customWidth="1"/>
    <col min="9743" max="9743" width="8.5" style="271" customWidth="1"/>
    <col min="9744" max="9744" width="11.125" style="271" customWidth="1"/>
    <col min="9745" max="9745" width="4.5" style="271" customWidth="1"/>
    <col min="9746" max="9746" width="8.5" style="271" customWidth="1"/>
    <col min="9747" max="9747" width="11.125" style="271" customWidth="1"/>
    <col min="9748" max="9748" width="4.5" style="271" customWidth="1"/>
    <col min="9749" max="9749" width="8.5" style="271" customWidth="1"/>
    <col min="9750" max="9750" width="11.125" style="271" customWidth="1"/>
    <col min="9751" max="9751" width="4.5" style="271" customWidth="1"/>
    <col min="9752" max="9752" width="8.5" style="271" customWidth="1"/>
    <col min="9753" max="9753" width="11.125" style="271" customWidth="1"/>
    <col min="9754" max="9754" width="4.5" style="271" customWidth="1"/>
    <col min="9755" max="9755" width="8.5" style="271" customWidth="1"/>
    <col min="9756" max="9756" width="11.125" style="271" customWidth="1"/>
    <col min="9757" max="9757" width="33" style="271" customWidth="1"/>
    <col min="9758" max="9960" width="9" style="271"/>
    <col min="9961" max="9961" width="1.5" style="271" customWidth="1"/>
    <col min="9962" max="9962" width="3.125" style="271" customWidth="1"/>
    <col min="9963" max="9963" width="9.625" style="271" customWidth="1"/>
    <col min="9964" max="9964" width="18.125" style="271" customWidth="1"/>
    <col min="9965" max="9966" width="10.25" style="271" customWidth="1"/>
    <col min="9967" max="9967" width="8.5" style="271" customWidth="1"/>
    <col min="9968" max="9968" width="8.875" style="271" bestFit="1" customWidth="1"/>
    <col min="9969" max="9970" width="6.75" style="271" customWidth="1"/>
    <col min="9971" max="9971" width="3.5" style="271" customWidth="1"/>
    <col min="9972" max="9972" width="8.5" style="271" customWidth="1"/>
    <col min="9973" max="9973" width="13.25" style="271" customWidth="1"/>
    <col min="9974" max="9974" width="4.5" style="271" customWidth="1"/>
    <col min="9975" max="9975" width="8.5" style="271" customWidth="1"/>
    <col min="9976" max="9976" width="12" style="271" customWidth="1"/>
    <col min="9977" max="9977" width="4.5" style="271" customWidth="1"/>
    <col min="9978" max="9978" width="8.5" style="271" customWidth="1"/>
    <col min="9979" max="9979" width="11" style="271" customWidth="1"/>
    <col min="9980" max="9980" width="4.5" style="271" customWidth="1"/>
    <col min="9981" max="9981" width="8.5" style="271" customWidth="1"/>
    <col min="9982" max="9982" width="11.125" style="271" customWidth="1"/>
    <col min="9983" max="9983" width="4.5" style="271" customWidth="1"/>
    <col min="9984" max="9984" width="8.5" style="271" customWidth="1"/>
    <col min="9985" max="9985" width="11.125" style="271" customWidth="1"/>
    <col min="9986" max="9986" width="4.5" style="271" customWidth="1"/>
    <col min="9987" max="9987" width="8.5" style="271" customWidth="1"/>
    <col min="9988" max="9988" width="11.125" style="271" customWidth="1"/>
    <col min="9989" max="9989" width="4.5" style="271" customWidth="1"/>
    <col min="9990" max="9990" width="8.5" style="271" customWidth="1"/>
    <col min="9991" max="9991" width="11.125" style="271" customWidth="1"/>
    <col min="9992" max="9992" width="4.5" style="271" customWidth="1"/>
    <col min="9993" max="9993" width="8.5" style="271" customWidth="1"/>
    <col min="9994" max="9994" width="11.125" style="271" customWidth="1"/>
    <col min="9995" max="9995" width="4.5" style="271" customWidth="1"/>
    <col min="9996" max="9996" width="8.5" style="271" customWidth="1"/>
    <col min="9997" max="9997" width="11.125" style="271" customWidth="1"/>
    <col min="9998" max="9998" width="4.5" style="271" customWidth="1"/>
    <col min="9999" max="9999" width="8.5" style="271" customWidth="1"/>
    <col min="10000" max="10000" width="11.125" style="271" customWidth="1"/>
    <col min="10001" max="10001" width="4.5" style="271" customWidth="1"/>
    <col min="10002" max="10002" width="8.5" style="271" customWidth="1"/>
    <col min="10003" max="10003" width="11.125" style="271" customWidth="1"/>
    <col min="10004" max="10004" width="4.5" style="271" customWidth="1"/>
    <col min="10005" max="10005" width="8.5" style="271" customWidth="1"/>
    <col min="10006" max="10006" width="11.125" style="271" customWidth="1"/>
    <col min="10007" max="10007" width="4.5" style="271" customWidth="1"/>
    <col min="10008" max="10008" width="8.5" style="271" customWidth="1"/>
    <col min="10009" max="10009" width="11.125" style="271" customWidth="1"/>
    <col min="10010" max="10010" width="4.5" style="271" customWidth="1"/>
    <col min="10011" max="10011" width="8.5" style="271" customWidth="1"/>
    <col min="10012" max="10012" width="11.125" style="271" customWidth="1"/>
    <col min="10013" max="10013" width="33" style="271" customWidth="1"/>
    <col min="10014" max="10216" width="9" style="271"/>
    <col min="10217" max="10217" width="1.5" style="271" customWidth="1"/>
    <col min="10218" max="10218" width="3.125" style="271" customWidth="1"/>
    <col min="10219" max="10219" width="9.625" style="271" customWidth="1"/>
    <col min="10220" max="10220" width="18.125" style="271" customWidth="1"/>
    <col min="10221" max="10222" width="10.25" style="271" customWidth="1"/>
    <col min="10223" max="10223" width="8.5" style="271" customWidth="1"/>
    <col min="10224" max="10224" width="8.875" style="271" bestFit="1" customWidth="1"/>
    <col min="10225" max="10226" width="6.75" style="271" customWidth="1"/>
    <col min="10227" max="10227" width="3.5" style="271" customWidth="1"/>
    <col min="10228" max="10228" width="8.5" style="271" customWidth="1"/>
    <col min="10229" max="10229" width="13.25" style="271" customWidth="1"/>
    <col min="10230" max="10230" width="4.5" style="271" customWidth="1"/>
    <col min="10231" max="10231" width="8.5" style="271" customWidth="1"/>
    <col min="10232" max="10232" width="12" style="271" customWidth="1"/>
    <col min="10233" max="10233" width="4.5" style="271" customWidth="1"/>
    <col min="10234" max="10234" width="8.5" style="271" customWidth="1"/>
    <col min="10235" max="10235" width="11" style="271" customWidth="1"/>
    <col min="10236" max="10236" width="4.5" style="271" customWidth="1"/>
    <col min="10237" max="10237" width="8.5" style="271" customWidth="1"/>
    <col min="10238" max="10238" width="11.125" style="271" customWidth="1"/>
    <col min="10239" max="10239" width="4.5" style="271" customWidth="1"/>
    <col min="10240" max="10240" width="8.5" style="271" customWidth="1"/>
    <col min="10241" max="10241" width="11.125" style="271" customWidth="1"/>
    <col min="10242" max="10242" width="4.5" style="271" customWidth="1"/>
    <col min="10243" max="10243" width="8.5" style="271" customWidth="1"/>
    <col min="10244" max="10244" width="11.125" style="271" customWidth="1"/>
    <col min="10245" max="10245" width="4.5" style="271" customWidth="1"/>
    <col min="10246" max="10246" width="8.5" style="271" customWidth="1"/>
    <col min="10247" max="10247" width="11.125" style="271" customWidth="1"/>
    <col min="10248" max="10248" width="4.5" style="271" customWidth="1"/>
    <col min="10249" max="10249" width="8.5" style="271" customWidth="1"/>
    <col min="10250" max="10250" width="11.125" style="271" customWidth="1"/>
    <col min="10251" max="10251" width="4.5" style="271" customWidth="1"/>
    <col min="10252" max="10252" width="8.5" style="271" customWidth="1"/>
    <col min="10253" max="10253" width="11.125" style="271" customWidth="1"/>
    <col min="10254" max="10254" width="4.5" style="271" customWidth="1"/>
    <col min="10255" max="10255" width="8.5" style="271" customWidth="1"/>
    <col min="10256" max="10256" width="11.125" style="271" customWidth="1"/>
    <col min="10257" max="10257" width="4.5" style="271" customWidth="1"/>
    <col min="10258" max="10258" width="8.5" style="271" customWidth="1"/>
    <col min="10259" max="10259" width="11.125" style="271" customWidth="1"/>
    <col min="10260" max="10260" width="4.5" style="271" customWidth="1"/>
    <col min="10261" max="10261" width="8.5" style="271" customWidth="1"/>
    <col min="10262" max="10262" width="11.125" style="271" customWidth="1"/>
    <col min="10263" max="10263" width="4.5" style="271" customWidth="1"/>
    <col min="10264" max="10264" width="8.5" style="271" customWidth="1"/>
    <col min="10265" max="10265" width="11.125" style="271" customWidth="1"/>
    <col min="10266" max="10266" width="4.5" style="271" customWidth="1"/>
    <col min="10267" max="10267" width="8.5" style="271" customWidth="1"/>
    <col min="10268" max="10268" width="11.125" style="271" customWidth="1"/>
    <col min="10269" max="10269" width="33" style="271" customWidth="1"/>
    <col min="10270" max="10472" width="9" style="271"/>
    <col min="10473" max="10473" width="1.5" style="271" customWidth="1"/>
    <col min="10474" max="10474" width="3.125" style="271" customWidth="1"/>
    <col min="10475" max="10475" width="9.625" style="271" customWidth="1"/>
    <col min="10476" max="10476" width="18.125" style="271" customWidth="1"/>
    <col min="10477" max="10478" width="10.25" style="271" customWidth="1"/>
    <col min="10479" max="10479" width="8.5" style="271" customWidth="1"/>
    <col min="10480" max="10480" width="8.875" style="271" bestFit="1" customWidth="1"/>
    <col min="10481" max="10482" width="6.75" style="271" customWidth="1"/>
    <col min="10483" max="10483" width="3.5" style="271" customWidth="1"/>
    <col min="10484" max="10484" width="8.5" style="271" customWidth="1"/>
    <col min="10485" max="10485" width="13.25" style="271" customWidth="1"/>
    <col min="10486" max="10486" width="4.5" style="271" customWidth="1"/>
    <col min="10487" max="10487" width="8.5" style="271" customWidth="1"/>
    <col min="10488" max="10488" width="12" style="271" customWidth="1"/>
    <col min="10489" max="10489" width="4.5" style="271" customWidth="1"/>
    <col min="10490" max="10490" width="8.5" style="271" customWidth="1"/>
    <col min="10491" max="10491" width="11" style="271" customWidth="1"/>
    <col min="10492" max="10492" width="4.5" style="271" customWidth="1"/>
    <col min="10493" max="10493" width="8.5" style="271" customWidth="1"/>
    <col min="10494" max="10494" width="11.125" style="271" customWidth="1"/>
    <col min="10495" max="10495" width="4.5" style="271" customWidth="1"/>
    <col min="10496" max="10496" width="8.5" style="271" customWidth="1"/>
    <col min="10497" max="10497" width="11.125" style="271" customWidth="1"/>
    <col min="10498" max="10498" width="4.5" style="271" customWidth="1"/>
    <col min="10499" max="10499" width="8.5" style="271" customWidth="1"/>
    <col min="10500" max="10500" width="11.125" style="271" customWidth="1"/>
    <col min="10501" max="10501" width="4.5" style="271" customWidth="1"/>
    <col min="10502" max="10502" width="8.5" style="271" customWidth="1"/>
    <col min="10503" max="10503" width="11.125" style="271" customWidth="1"/>
    <col min="10504" max="10504" width="4.5" style="271" customWidth="1"/>
    <col min="10505" max="10505" width="8.5" style="271" customWidth="1"/>
    <col min="10506" max="10506" width="11.125" style="271" customWidth="1"/>
    <col min="10507" max="10507" width="4.5" style="271" customWidth="1"/>
    <col min="10508" max="10508" width="8.5" style="271" customWidth="1"/>
    <col min="10509" max="10509" width="11.125" style="271" customWidth="1"/>
    <col min="10510" max="10510" width="4.5" style="271" customWidth="1"/>
    <col min="10511" max="10511" width="8.5" style="271" customWidth="1"/>
    <col min="10512" max="10512" width="11.125" style="271" customWidth="1"/>
    <col min="10513" max="10513" width="4.5" style="271" customWidth="1"/>
    <col min="10514" max="10514" width="8.5" style="271" customWidth="1"/>
    <col min="10515" max="10515" width="11.125" style="271" customWidth="1"/>
    <col min="10516" max="10516" width="4.5" style="271" customWidth="1"/>
    <col min="10517" max="10517" width="8.5" style="271" customWidth="1"/>
    <col min="10518" max="10518" width="11.125" style="271" customWidth="1"/>
    <col min="10519" max="10519" width="4.5" style="271" customWidth="1"/>
    <col min="10520" max="10520" width="8.5" style="271" customWidth="1"/>
    <col min="10521" max="10521" width="11.125" style="271" customWidth="1"/>
    <col min="10522" max="10522" width="4.5" style="271" customWidth="1"/>
    <col min="10523" max="10523" width="8.5" style="271" customWidth="1"/>
    <col min="10524" max="10524" width="11.125" style="271" customWidth="1"/>
    <col min="10525" max="10525" width="33" style="271" customWidth="1"/>
    <col min="10526" max="10728" width="9" style="271"/>
    <col min="10729" max="10729" width="1.5" style="271" customWidth="1"/>
    <col min="10730" max="10730" width="3.125" style="271" customWidth="1"/>
    <col min="10731" max="10731" width="9.625" style="271" customWidth="1"/>
    <col min="10732" max="10732" width="18.125" style="271" customWidth="1"/>
    <col min="10733" max="10734" width="10.25" style="271" customWidth="1"/>
    <col min="10735" max="10735" width="8.5" style="271" customWidth="1"/>
    <col min="10736" max="10736" width="8.875" style="271" bestFit="1" customWidth="1"/>
    <col min="10737" max="10738" width="6.75" style="271" customWidth="1"/>
    <col min="10739" max="10739" width="3.5" style="271" customWidth="1"/>
    <col min="10740" max="10740" width="8.5" style="271" customWidth="1"/>
    <col min="10741" max="10741" width="13.25" style="271" customWidth="1"/>
    <col min="10742" max="10742" width="4.5" style="271" customWidth="1"/>
    <col min="10743" max="10743" width="8.5" style="271" customWidth="1"/>
    <col min="10744" max="10744" width="12" style="271" customWidth="1"/>
    <col min="10745" max="10745" width="4.5" style="271" customWidth="1"/>
    <col min="10746" max="10746" width="8.5" style="271" customWidth="1"/>
    <col min="10747" max="10747" width="11" style="271" customWidth="1"/>
    <col min="10748" max="10748" width="4.5" style="271" customWidth="1"/>
    <col min="10749" max="10749" width="8.5" style="271" customWidth="1"/>
    <col min="10750" max="10750" width="11.125" style="271" customWidth="1"/>
    <col min="10751" max="10751" width="4.5" style="271" customWidth="1"/>
    <col min="10752" max="10752" width="8.5" style="271" customWidth="1"/>
    <col min="10753" max="10753" width="11.125" style="271" customWidth="1"/>
    <col min="10754" max="10754" width="4.5" style="271" customWidth="1"/>
    <col min="10755" max="10755" width="8.5" style="271" customWidth="1"/>
    <col min="10756" max="10756" width="11.125" style="271" customWidth="1"/>
    <col min="10757" max="10757" width="4.5" style="271" customWidth="1"/>
    <col min="10758" max="10758" width="8.5" style="271" customWidth="1"/>
    <col min="10759" max="10759" width="11.125" style="271" customWidth="1"/>
    <col min="10760" max="10760" width="4.5" style="271" customWidth="1"/>
    <col min="10761" max="10761" width="8.5" style="271" customWidth="1"/>
    <col min="10762" max="10762" width="11.125" style="271" customWidth="1"/>
    <col min="10763" max="10763" width="4.5" style="271" customWidth="1"/>
    <col min="10764" max="10764" width="8.5" style="271" customWidth="1"/>
    <col min="10765" max="10765" width="11.125" style="271" customWidth="1"/>
    <col min="10766" max="10766" width="4.5" style="271" customWidth="1"/>
    <col min="10767" max="10767" width="8.5" style="271" customWidth="1"/>
    <col min="10768" max="10768" width="11.125" style="271" customWidth="1"/>
    <col min="10769" max="10769" width="4.5" style="271" customWidth="1"/>
    <col min="10770" max="10770" width="8.5" style="271" customWidth="1"/>
    <col min="10771" max="10771" width="11.125" style="271" customWidth="1"/>
    <col min="10772" max="10772" width="4.5" style="271" customWidth="1"/>
    <col min="10773" max="10773" width="8.5" style="271" customWidth="1"/>
    <col min="10774" max="10774" width="11.125" style="271" customWidth="1"/>
    <col min="10775" max="10775" width="4.5" style="271" customWidth="1"/>
    <col min="10776" max="10776" width="8.5" style="271" customWidth="1"/>
    <col min="10777" max="10777" width="11.125" style="271" customWidth="1"/>
    <col min="10778" max="10778" width="4.5" style="271" customWidth="1"/>
    <col min="10779" max="10779" width="8.5" style="271" customWidth="1"/>
    <col min="10780" max="10780" width="11.125" style="271" customWidth="1"/>
    <col min="10781" max="10781" width="33" style="271" customWidth="1"/>
    <col min="10782" max="10984" width="9" style="271"/>
    <col min="10985" max="10985" width="1.5" style="271" customWidth="1"/>
    <col min="10986" max="10986" width="3.125" style="271" customWidth="1"/>
    <col min="10987" max="10987" width="9.625" style="271" customWidth="1"/>
    <col min="10988" max="10988" width="18.125" style="271" customWidth="1"/>
    <col min="10989" max="10990" width="10.25" style="271" customWidth="1"/>
    <col min="10991" max="10991" width="8.5" style="271" customWidth="1"/>
    <col min="10992" max="10992" width="8.875" style="271" bestFit="1" customWidth="1"/>
    <col min="10993" max="10994" width="6.75" style="271" customWidth="1"/>
    <col min="10995" max="10995" width="3.5" style="271" customWidth="1"/>
    <col min="10996" max="10996" width="8.5" style="271" customWidth="1"/>
    <col min="10997" max="10997" width="13.25" style="271" customWidth="1"/>
    <col min="10998" max="10998" width="4.5" style="271" customWidth="1"/>
    <col min="10999" max="10999" width="8.5" style="271" customWidth="1"/>
    <col min="11000" max="11000" width="12" style="271" customWidth="1"/>
    <col min="11001" max="11001" width="4.5" style="271" customWidth="1"/>
    <col min="11002" max="11002" width="8.5" style="271" customWidth="1"/>
    <col min="11003" max="11003" width="11" style="271" customWidth="1"/>
    <col min="11004" max="11004" width="4.5" style="271" customWidth="1"/>
    <col min="11005" max="11005" width="8.5" style="271" customWidth="1"/>
    <col min="11006" max="11006" width="11.125" style="271" customWidth="1"/>
    <col min="11007" max="11007" width="4.5" style="271" customWidth="1"/>
    <col min="11008" max="11008" width="8.5" style="271" customWidth="1"/>
    <col min="11009" max="11009" width="11.125" style="271" customWidth="1"/>
    <col min="11010" max="11010" width="4.5" style="271" customWidth="1"/>
    <col min="11011" max="11011" width="8.5" style="271" customWidth="1"/>
    <col min="11012" max="11012" width="11.125" style="271" customWidth="1"/>
    <col min="11013" max="11013" width="4.5" style="271" customWidth="1"/>
    <col min="11014" max="11014" width="8.5" style="271" customWidth="1"/>
    <col min="11015" max="11015" width="11.125" style="271" customWidth="1"/>
    <col min="11016" max="11016" width="4.5" style="271" customWidth="1"/>
    <col min="11017" max="11017" width="8.5" style="271" customWidth="1"/>
    <col min="11018" max="11018" width="11.125" style="271" customWidth="1"/>
    <col min="11019" max="11019" width="4.5" style="271" customWidth="1"/>
    <col min="11020" max="11020" width="8.5" style="271" customWidth="1"/>
    <col min="11021" max="11021" width="11.125" style="271" customWidth="1"/>
    <col min="11022" max="11022" width="4.5" style="271" customWidth="1"/>
    <col min="11023" max="11023" width="8.5" style="271" customWidth="1"/>
    <col min="11024" max="11024" width="11.125" style="271" customWidth="1"/>
    <col min="11025" max="11025" width="4.5" style="271" customWidth="1"/>
    <col min="11026" max="11026" width="8.5" style="271" customWidth="1"/>
    <col min="11027" max="11027" width="11.125" style="271" customWidth="1"/>
    <col min="11028" max="11028" width="4.5" style="271" customWidth="1"/>
    <col min="11029" max="11029" width="8.5" style="271" customWidth="1"/>
    <col min="11030" max="11030" width="11.125" style="271" customWidth="1"/>
    <col min="11031" max="11031" width="4.5" style="271" customWidth="1"/>
    <col min="11032" max="11032" width="8.5" style="271" customWidth="1"/>
    <col min="11033" max="11033" width="11.125" style="271" customWidth="1"/>
    <col min="11034" max="11034" width="4.5" style="271" customWidth="1"/>
    <col min="11035" max="11035" width="8.5" style="271" customWidth="1"/>
    <col min="11036" max="11036" width="11.125" style="271" customWidth="1"/>
    <col min="11037" max="11037" width="33" style="271" customWidth="1"/>
    <col min="11038" max="11240" width="9" style="271"/>
    <col min="11241" max="11241" width="1.5" style="271" customWidth="1"/>
    <col min="11242" max="11242" width="3.125" style="271" customWidth="1"/>
    <col min="11243" max="11243" width="9.625" style="271" customWidth="1"/>
    <col min="11244" max="11244" width="18.125" style="271" customWidth="1"/>
    <col min="11245" max="11246" width="10.25" style="271" customWidth="1"/>
    <col min="11247" max="11247" width="8.5" style="271" customWidth="1"/>
    <col min="11248" max="11248" width="8.875" style="271" bestFit="1" customWidth="1"/>
    <col min="11249" max="11250" width="6.75" style="271" customWidth="1"/>
    <col min="11251" max="11251" width="3.5" style="271" customWidth="1"/>
    <col min="11252" max="11252" width="8.5" style="271" customWidth="1"/>
    <col min="11253" max="11253" width="13.25" style="271" customWidth="1"/>
    <col min="11254" max="11254" width="4.5" style="271" customWidth="1"/>
    <col min="11255" max="11255" width="8.5" style="271" customWidth="1"/>
    <col min="11256" max="11256" width="12" style="271" customWidth="1"/>
    <col min="11257" max="11257" width="4.5" style="271" customWidth="1"/>
    <col min="11258" max="11258" width="8.5" style="271" customWidth="1"/>
    <col min="11259" max="11259" width="11" style="271" customWidth="1"/>
    <col min="11260" max="11260" width="4.5" style="271" customWidth="1"/>
    <col min="11261" max="11261" width="8.5" style="271" customWidth="1"/>
    <col min="11262" max="11262" width="11.125" style="271" customWidth="1"/>
    <col min="11263" max="11263" width="4.5" style="271" customWidth="1"/>
    <col min="11264" max="11264" width="8.5" style="271" customWidth="1"/>
    <col min="11265" max="11265" width="11.125" style="271" customWidth="1"/>
    <col min="11266" max="11266" width="4.5" style="271" customWidth="1"/>
    <col min="11267" max="11267" width="8.5" style="271" customWidth="1"/>
    <col min="11268" max="11268" width="11.125" style="271" customWidth="1"/>
    <col min="11269" max="11269" width="4.5" style="271" customWidth="1"/>
    <col min="11270" max="11270" width="8.5" style="271" customWidth="1"/>
    <col min="11271" max="11271" width="11.125" style="271" customWidth="1"/>
    <col min="11272" max="11272" width="4.5" style="271" customWidth="1"/>
    <col min="11273" max="11273" width="8.5" style="271" customWidth="1"/>
    <col min="11274" max="11274" width="11.125" style="271" customWidth="1"/>
    <col min="11275" max="11275" width="4.5" style="271" customWidth="1"/>
    <col min="11276" max="11276" width="8.5" style="271" customWidth="1"/>
    <col min="11277" max="11277" width="11.125" style="271" customWidth="1"/>
    <col min="11278" max="11278" width="4.5" style="271" customWidth="1"/>
    <col min="11279" max="11279" width="8.5" style="271" customWidth="1"/>
    <col min="11280" max="11280" width="11.125" style="271" customWidth="1"/>
    <col min="11281" max="11281" width="4.5" style="271" customWidth="1"/>
    <col min="11282" max="11282" width="8.5" style="271" customWidth="1"/>
    <col min="11283" max="11283" width="11.125" style="271" customWidth="1"/>
    <col min="11284" max="11284" width="4.5" style="271" customWidth="1"/>
    <col min="11285" max="11285" width="8.5" style="271" customWidth="1"/>
    <col min="11286" max="11286" width="11.125" style="271" customWidth="1"/>
    <col min="11287" max="11287" width="4.5" style="271" customWidth="1"/>
    <col min="11288" max="11288" width="8.5" style="271" customWidth="1"/>
    <col min="11289" max="11289" width="11.125" style="271" customWidth="1"/>
    <col min="11290" max="11290" width="4.5" style="271" customWidth="1"/>
    <col min="11291" max="11291" width="8.5" style="271" customWidth="1"/>
    <col min="11292" max="11292" width="11.125" style="271" customWidth="1"/>
    <col min="11293" max="11293" width="33" style="271" customWidth="1"/>
    <col min="11294" max="11496" width="9" style="271"/>
    <col min="11497" max="11497" width="1.5" style="271" customWidth="1"/>
    <col min="11498" max="11498" width="3.125" style="271" customWidth="1"/>
    <col min="11499" max="11499" width="9.625" style="271" customWidth="1"/>
    <col min="11500" max="11500" width="18.125" style="271" customWidth="1"/>
    <col min="11501" max="11502" width="10.25" style="271" customWidth="1"/>
    <col min="11503" max="11503" width="8.5" style="271" customWidth="1"/>
    <col min="11504" max="11504" width="8.875" style="271" bestFit="1" customWidth="1"/>
    <col min="11505" max="11506" width="6.75" style="271" customWidth="1"/>
    <col min="11507" max="11507" width="3.5" style="271" customWidth="1"/>
    <col min="11508" max="11508" width="8.5" style="271" customWidth="1"/>
    <col min="11509" max="11509" width="13.25" style="271" customWidth="1"/>
    <col min="11510" max="11510" width="4.5" style="271" customWidth="1"/>
    <col min="11511" max="11511" width="8.5" style="271" customWidth="1"/>
    <col min="11512" max="11512" width="12" style="271" customWidth="1"/>
    <col min="11513" max="11513" width="4.5" style="271" customWidth="1"/>
    <col min="11514" max="11514" width="8.5" style="271" customWidth="1"/>
    <col min="11515" max="11515" width="11" style="271" customWidth="1"/>
    <col min="11516" max="11516" width="4.5" style="271" customWidth="1"/>
    <col min="11517" max="11517" width="8.5" style="271" customWidth="1"/>
    <col min="11518" max="11518" width="11.125" style="271" customWidth="1"/>
    <col min="11519" max="11519" width="4.5" style="271" customWidth="1"/>
    <col min="11520" max="11520" width="8.5" style="271" customWidth="1"/>
    <col min="11521" max="11521" width="11.125" style="271" customWidth="1"/>
    <col min="11522" max="11522" width="4.5" style="271" customWidth="1"/>
    <col min="11523" max="11523" width="8.5" style="271" customWidth="1"/>
    <col min="11524" max="11524" width="11.125" style="271" customWidth="1"/>
    <col min="11525" max="11525" width="4.5" style="271" customWidth="1"/>
    <col min="11526" max="11526" width="8.5" style="271" customWidth="1"/>
    <col min="11527" max="11527" width="11.125" style="271" customWidth="1"/>
    <col min="11528" max="11528" width="4.5" style="271" customWidth="1"/>
    <col min="11529" max="11529" width="8.5" style="271" customWidth="1"/>
    <col min="11530" max="11530" width="11.125" style="271" customWidth="1"/>
    <col min="11531" max="11531" width="4.5" style="271" customWidth="1"/>
    <col min="11532" max="11532" width="8.5" style="271" customWidth="1"/>
    <col min="11533" max="11533" width="11.125" style="271" customWidth="1"/>
    <col min="11534" max="11534" width="4.5" style="271" customWidth="1"/>
    <col min="11535" max="11535" width="8.5" style="271" customWidth="1"/>
    <col min="11536" max="11536" width="11.125" style="271" customWidth="1"/>
    <col min="11537" max="11537" width="4.5" style="271" customWidth="1"/>
    <col min="11538" max="11538" width="8.5" style="271" customWidth="1"/>
    <col min="11539" max="11539" width="11.125" style="271" customWidth="1"/>
    <col min="11540" max="11540" width="4.5" style="271" customWidth="1"/>
    <col min="11541" max="11541" width="8.5" style="271" customWidth="1"/>
    <col min="11542" max="11542" width="11.125" style="271" customWidth="1"/>
    <col min="11543" max="11543" width="4.5" style="271" customWidth="1"/>
    <col min="11544" max="11544" width="8.5" style="271" customWidth="1"/>
    <col min="11545" max="11545" width="11.125" style="271" customWidth="1"/>
    <col min="11546" max="11546" width="4.5" style="271" customWidth="1"/>
    <col min="11547" max="11547" width="8.5" style="271" customWidth="1"/>
    <col min="11548" max="11548" width="11.125" style="271" customWidth="1"/>
    <col min="11549" max="11549" width="33" style="271" customWidth="1"/>
    <col min="11550" max="11752" width="9" style="271"/>
    <col min="11753" max="11753" width="1.5" style="271" customWidth="1"/>
    <col min="11754" max="11754" width="3.125" style="271" customWidth="1"/>
    <col min="11755" max="11755" width="9.625" style="271" customWidth="1"/>
    <col min="11756" max="11756" width="18.125" style="271" customWidth="1"/>
    <col min="11757" max="11758" width="10.25" style="271" customWidth="1"/>
    <col min="11759" max="11759" width="8.5" style="271" customWidth="1"/>
    <col min="11760" max="11760" width="8.875" style="271" bestFit="1" customWidth="1"/>
    <col min="11761" max="11762" width="6.75" style="271" customWidth="1"/>
    <col min="11763" max="11763" width="3.5" style="271" customWidth="1"/>
    <col min="11764" max="11764" width="8.5" style="271" customWidth="1"/>
    <col min="11765" max="11765" width="13.25" style="271" customWidth="1"/>
    <col min="11766" max="11766" width="4.5" style="271" customWidth="1"/>
    <col min="11767" max="11767" width="8.5" style="271" customWidth="1"/>
    <col min="11768" max="11768" width="12" style="271" customWidth="1"/>
    <col min="11769" max="11769" width="4.5" style="271" customWidth="1"/>
    <col min="11770" max="11770" width="8.5" style="271" customWidth="1"/>
    <col min="11771" max="11771" width="11" style="271" customWidth="1"/>
    <col min="11772" max="11772" width="4.5" style="271" customWidth="1"/>
    <col min="11773" max="11773" width="8.5" style="271" customWidth="1"/>
    <col min="11774" max="11774" width="11.125" style="271" customWidth="1"/>
    <col min="11775" max="11775" width="4.5" style="271" customWidth="1"/>
    <col min="11776" max="11776" width="8.5" style="271" customWidth="1"/>
    <col min="11777" max="11777" width="11.125" style="271" customWidth="1"/>
    <col min="11778" max="11778" width="4.5" style="271" customWidth="1"/>
    <col min="11779" max="11779" width="8.5" style="271" customWidth="1"/>
    <col min="11780" max="11780" width="11.125" style="271" customWidth="1"/>
    <col min="11781" max="11781" width="4.5" style="271" customWidth="1"/>
    <col min="11782" max="11782" width="8.5" style="271" customWidth="1"/>
    <col min="11783" max="11783" width="11.125" style="271" customWidth="1"/>
    <col min="11784" max="11784" width="4.5" style="271" customWidth="1"/>
    <col min="11785" max="11785" width="8.5" style="271" customWidth="1"/>
    <col min="11786" max="11786" width="11.125" style="271" customWidth="1"/>
    <col min="11787" max="11787" width="4.5" style="271" customWidth="1"/>
    <col min="11788" max="11788" width="8.5" style="271" customWidth="1"/>
    <col min="11789" max="11789" width="11.125" style="271" customWidth="1"/>
    <col min="11790" max="11790" width="4.5" style="271" customWidth="1"/>
    <col min="11791" max="11791" width="8.5" style="271" customWidth="1"/>
    <col min="11792" max="11792" width="11.125" style="271" customWidth="1"/>
    <col min="11793" max="11793" width="4.5" style="271" customWidth="1"/>
    <col min="11794" max="11794" width="8.5" style="271" customWidth="1"/>
    <col min="11795" max="11795" width="11.125" style="271" customWidth="1"/>
    <col min="11796" max="11796" width="4.5" style="271" customWidth="1"/>
    <col min="11797" max="11797" width="8.5" style="271" customWidth="1"/>
    <col min="11798" max="11798" width="11.125" style="271" customWidth="1"/>
    <col min="11799" max="11799" width="4.5" style="271" customWidth="1"/>
    <col min="11800" max="11800" width="8.5" style="271" customWidth="1"/>
    <col min="11801" max="11801" width="11.125" style="271" customWidth="1"/>
    <col min="11802" max="11802" width="4.5" style="271" customWidth="1"/>
    <col min="11803" max="11803" width="8.5" style="271" customWidth="1"/>
    <col min="11804" max="11804" width="11.125" style="271" customWidth="1"/>
    <col min="11805" max="11805" width="33" style="271" customWidth="1"/>
    <col min="11806" max="12008" width="9" style="271"/>
    <col min="12009" max="12009" width="1.5" style="271" customWidth="1"/>
    <col min="12010" max="12010" width="3.125" style="271" customWidth="1"/>
    <col min="12011" max="12011" width="9.625" style="271" customWidth="1"/>
    <col min="12012" max="12012" width="18.125" style="271" customWidth="1"/>
    <col min="12013" max="12014" width="10.25" style="271" customWidth="1"/>
    <col min="12015" max="12015" width="8.5" style="271" customWidth="1"/>
    <col min="12016" max="12016" width="8.875" style="271" bestFit="1" customWidth="1"/>
    <col min="12017" max="12018" width="6.75" style="271" customWidth="1"/>
    <col min="12019" max="12019" width="3.5" style="271" customWidth="1"/>
    <col min="12020" max="12020" width="8.5" style="271" customWidth="1"/>
    <col min="12021" max="12021" width="13.25" style="271" customWidth="1"/>
    <col min="12022" max="12022" width="4.5" style="271" customWidth="1"/>
    <col min="12023" max="12023" width="8.5" style="271" customWidth="1"/>
    <col min="12024" max="12024" width="12" style="271" customWidth="1"/>
    <col min="12025" max="12025" width="4.5" style="271" customWidth="1"/>
    <col min="12026" max="12026" width="8.5" style="271" customWidth="1"/>
    <col min="12027" max="12027" width="11" style="271" customWidth="1"/>
    <col min="12028" max="12028" width="4.5" style="271" customWidth="1"/>
    <col min="12029" max="12029" width="8.5" style="271" customWidth="1"/>
    <col min="12030" max="12030" width="11.125" style="271" customWidth="1"/>
    <col min="12031" max="12031" width="4.5" style="271" customWidth="1"/>
    <col min="12032" max="12032" width="8.5" style="271" customWidth="1"/>
    <col min="12033" max="12033" width="11.125" style="271" customWidth="1"/>
    <col min="12034" max="12034" width="4.5" style="271" customWidth="1"/>
    <col min="12035" max="12035" width="8.5" style="271" customWidth="1"/>
    <col min="12036" max="12036" width="11.125" style="271" customWidth="1"/>
    <col min="12037" max="12037" width="4.5" style="271" customWidth="1"/>
    <col min="12038" max="12038" width="8.5" style="271" customWidth="1"/>
    <col min="12039" max="12039" width="11.125" style="271" customWidth="1"/>
    <col min="12040" max="12040" width="4.5" style="271" customWidth="1"/>
    <col min="12041" max="12041" width="8.5" style="271" customWidth="1"/>
    <col min="12042" max="12042" width="11.125" style="271" customWidth="1"/>
    <col min="12043" max="12043" width="4.5" style="271" customWidth="1"/>
    <col min="12044" max="12044" width="8.5" style="271" customWidth="1"/>
    <col min="12045" max="12045" width="11.125" style="271" customWidth="1"/>
    <col min="12046" max="12046" width="4.5" style="271" customWidth="1"/>
    <col min="12047" max="12047" width="8.5" style="271" customWidth="1"/>
    <col min="12048" max="12048" width="11.125" style="271" customWidth="1"/>
    <col min="12049" max="12049" width="4.5" style="271" customWidth="1"/>
    <col min="12050" max="12050" width="8.5" style="271" customWidth="1"/>
    <col min="12051" max="12051" width="11.125" style="271" customWidth="1"/>
    <col min="12052" max="12052" width="4.5" style="271" customWidth="1"/>
    <col min="12053" max="12053" width="8.5" style="271" customWidth="1"/>
    <col min="12054" max="12054" width="11.125" style="271" customWidth="1"/>
    <col min="12055" max="12055" width="4.5" style="271" customWidth="1"/>
    <col min="12056" max="12056" width="8.5" style="271" customWidth="1"/>
    <col min="12057" max="12057" width="11.125" style="271" customWidth="1"/>
    <col min="12058" max="12058" width="4.5" style="271" customWidth="1"/>
    <col min="12059" max="12059" width="8.5" style="271" customWidth="1"/>
    <col min="12060" max="12060" width="11.125" style="271" customWidth="1"/>
    <col min="12061" max="12061" width="33" style="271" customWidth="1"/>
    <col min="12062" max="12264" width="9" style="271"/>
    <col min="12265" max="12265" width="1.5" style="271" customWidth="1"/>
    <col min="12266" max="12266" width="3.125" style="271" customWidth="1"/>
    <col min="12267" max="12267" width="9.625" style="271" customWidth="1"/>
    <col min="12268" max="12268" width="18.125" style="271" customWidth="1"/>
    <col min="12269" max="12270" width="10.25" style="271" customWidth="1"/>
    <col min="12271" max="12271" width="8.5" style="271" customWidth="1"/>
    <col min="12272" max="12272" width="8.875" style="271" bestFit="1" customWidth="1"/>
    <col min="12273" max="12274" width="6.75" style="271" customWidth="1"/>
    <col min="12275" max="12275" width="3.5" style="271" customWidth="1"/>
    <col min="12276" max="12276" width="8.5" style="271" customWidth="1"/>
    <col min="12277" max="12277" width="13.25" style="271" customWidth="1"/>
    <col min="12278" max="12278" width="4.5" style="271" customWidth="1"/>
    <col min="12279" max="12279" width="8.5" style="271" customWidth="1"/>
    <col min="12280" max="12280" width="12" style="271" customWidth="1"/>
    <col min="12281" max="12281" width="4.5" style="271" customWidth="1"/>
    <col min="12282" max="12282" width="8.5" style="271" customWidth="1"/>
    <col min="12283" max="12283" width="11" style="271" customWidth="1"/>
    <col min="12284" max="12284" width="4.5" style="271" customWidth="1"/>
    <col min="12285" max="12285" width="8.5" style="271" customWidth="1"/>
    <col min="12286" max="12286" width="11.125" style="271" customWidth="1"/>
    <col min="12287" max="12287" width="4.5" style="271" customWidth="1"/>
    <col min="12288" max="12288" width="8.5" style="271" customWidth="1"/>
    <col min="12289" max="12289" width="11.125" style="271" customWidth="1"/>
    <col min="12290" max="12290" width="4.5" style="271" customWidth="1"/>
    <col min="12291" max="12291" width="8.5" style="271" customWidth="1"/>
    <col min="12292" max="12292" width="11.125" style="271" customWidth="1"/>
    <col min="12293" max="12293" width="4.5" style="271" customWidth="1"/>
    <col min="12294" max="12294" width="8.5" style="271" customWidth="1"/>
    <col min="12295" max="12295" width="11.125" style="271" customWidth="1"/>
    <col min="12296" max="12296" width="4.5" style="271" customWidth="1"/>
    <col min="12297" max="12297" width="8.5" style="271" customWidth="1"/>
    <col min="12298" max="12298" width="11.125" style="271" customWidth="1"/>
    <col min="12299" max="12299" width="4.5" style="271" customWidth="1"/>
    <col min="12300" max="12300" width="8.5" style="271" customWidth="1"/>
    <col min="12301" max="12301" width="11.125" style="271" customWidth="1"/>
    <col min="12302" max="12302" width="4.5" style="271" customWidth="1"/>
    <col min="12303" max="12303" width="8.5" style="271" customWidth="1"/>
    <col min="12304" max="12304" width="11.125" style="271" customWidth="1"/>
    <col min="12305" max="12305" width="4.5" style="271" customWidth="1"/>
    <col min="12306" max="12306" width="8.5" style="271" customWidth="1"/>
    <col min="12307" max="12307" width="11.125" style="271" customWidth="1"/>
    <col min="12308" max="12308" width="4.5" style="271" customWidth="1"/>
    <col min="12309" max="12309" width="8.5" style="271" customWidth="1"/>
    <col min="12310" max="12310" width="11.125" style="271" customWidth="1"/>
    <col min="12311" max="12311" width="4.5" style="271" customWidth="1"/>
    <col min="12312" max="12312" width="8.5" style="271" customWidth="1"/>
    <col min="12313" max="12313" width="11.125" style="271" customWidth="1"/>
    <col min="12314" max="12314" width="4.5" style="271" customWidth="1"/>
    <col min="12315" max="12315" width="8.5" style="271" customWidth="1"/>
    <col min="12316" max="12316" width="11.125" style="271" customWidth="1"/>
    <col min="12317" max="12317" width="33" style="271" customWidth="1"/>
    <col min="12318" max="12520" width="9" style="271"/>
    <col min="12521" max="12521" width="1.5" style="271" customWidth="1"/>
    <col min="12522" max="12522" width="3.125" style="271" customWidth="1"/>
    <col min="12523" max="12523" width="9.625" style="271" customWidth="1"/>
    <col min="12524" max="12524" width="18.125" style="271" customWidth="1"/>
    <col min="12525" max="12526" width="10.25" style="271" customWidth="1"/>
    <col min="12527" max="12527" width="8.5" style="271" customWidth="1"/>
    <col min="12528" max="12528" width="8.875" style="271" bestFit="1" customWidth="1"/>
    <col min="12529" max="12530" width="6.75" style="271" customWidth="1"/>
    <col min="12531" max="12531" width="3.5" style="271" customWidth="1"/>
    <col min="12532" max="12532" width="8.5" style="271" customWidth="1"/>
    <col min="12533" max="12533" width="13.25" style="271" customWidth="1"/>
    <col min="12534" max="12534" width="4.5" style="271" customWidth="1"/>
    <col min="12535" max="12535" width="8.5" style="271" customWidth="1"/>
    <col min="12536" max="12536" width="12" style="271" customWidth="1"/>
    <col min="12537" max="12537" width="4.5" style="271" customWidth="1"/>
    <col min="12538" max="12538" width="8.5" style="271" customWidth="1"/>
    <col min="12539" max="12539" width="11" style="271" customWidth="1"/>
    <col min="12540" max="12540" width="4.5" style="271" customWidth="1"/>
    <col min="12541" max="12541" width="8.5" style="271" customWidth="1"/>
    <col min="12542" max="12542" width="11.125" style="271" customWidth="1"/>
    <col min="12543" max="12543" width="4.5" style="271" customWidth="1"/>
    <col min="12544" max="12544" width="8.5" style="271" customWidth="1"/>
    <col min="12545" max="12545" width="11.125" style="271" customWidth="1"/>
    <col min="12546" max="12546" width="4.5" style="271" customWidth="1"/>
    <col min="12547" max="12547" width="8.5" style="271" customWidth="1"/>
    <col min="12548" max="12548" width="11.125" style="271" customWidth="1"/>
    <col min="12549" max="12549" width="4.5" style="271" customWidth="1"/>
    <col min="12550" max="12550" width="8.5" style="271" customWidth="1"/>
    <col min="12551" max="12551" width="11.125" style="271" customWidth="1"/>
    <col min="12552" max="12552" width="4.5" style="271" customWidth="1"/>
    <col min="12553" max="12553" width="8.5" style="271" customWidth="1"/>
    <col min="12554" max="12554" width="11.125" style="271" customWidth="1"/>
    <col min="12555" max="12555" width="4.5" style="271" customWidth="1"/>
    <col min="12556" max="12556" width="8.5" style="271" customWidth="1"/>
    <col min="12557" max="12557" width="11.125" style="271" customWidth="1"/>
    <col min="12558" max="12558" width="4.5" style="271" customWidth="1"/>
    <col min="12559" max="12559" width="8.5" style="271" customWidth="1"/>
    <col min="12560" max="12560" width="11.125" style="271" customWidth="1"/>
    <col min="12561" max="12561" width="4.5" style="271" customWidth="1"/>
    <col min="12562" max="12562" width="8.5" style="271" customWidth="1"/>
    <col min="12563" max="12563" width="11.125" style="271" customWidth="1"/>
    <col min="12564" max="12564" width="4.5" style="271" customWidth="1"/>
    <col min="12565" max="12565" width="8.5" style="271" customWidth="1"/>
    <col min="12566" max="12566" width="11.125" style="271" customWidth="1"/>
    <col min="12567" max="12567" width="4.5" style="271" customWidth="1"/>
    <col min="12568" max="12568" width="8.5" style="271" customWidth="1"/>
    <col min="12569" max="12569" width="11.125" style="271" customWidth="1"/>
    <col min="12570" max="12570" width="4.5" style="271" customWidth="1"/>
    <col min="12571" max="12571" width="8.5" style="271" customWidth="1"/>
    <col min="12572" max="12572" width="11.125" style="271" customWidth="1"/>
    <col min="12573" max="12573" width="33" style="271" customWidth="1"/>
    <col min="12574" max="12776" width="9" style="271"/>
    <col min="12777" max="12777" width="1.5" style="271" customWidth="1"/>
    <col min="12778" max="12778" width="3.125" style="271" customWidth="1"/>
    <col min="12779" max="12779" width="9.625" style="271" customWidth="1"/>
    <col min="12780" max="12780" width="18.125" style="271" customWidth="1"/>
    <col min="12781" max="12782" width="10.25" style="271" customWidth="1"/>
    <col min="12783" max="12783" width="8.5" style="271" customWidth="1"/>
    <col min="12784" max="12784" width="8.875" style="271" bestFit="1" customWidth="1"/>
    <col min="12785" max="12786" width="6.75" style="271" customWidth="1"/>
    <col min="12787" max="12787" width="3.5" style="271" customWidth="1"/>
    <col min="12788" max="12788" width="8.5" style="271" customWidth="1"/>
    <col min="12789" max="12789" width="13.25" style="271" customWidth="1"/>
    <col min="12790" max="12790" width="4.5" style="271" customWidth="1"/>
    <col min="12791" max="12791" width="8.5" style="271" customWidth="1"/>
    <col min="12792" max="12792" width="12" style="271" customWidth="1"/>
    <col min="12793" max="12793" width="4.5" style="271" customWidth="1"/>
    <col min="12794" max="12794" width="8.5" style="271" customWidth="1"/>
    <col min="12795" max="12795" width="11" style="271" customWidth="1"/>
    <col min="12796" max="12796" width="4.5" style="271" customWidth="1"/>
    <col min="12797" max="12797" width="8.5" style="271" customWidth="1"/>
    <col min="12798" max="12798" width="11.125" style="271" customWidth="1"/>
    <col min="12799" max="12799" width="4.5" style="271" customWidth="1"/>
    <col min="12800" max="12800" width="8.5" style="271" customWidth="1"/>
    <col min="12801" max="12801" width="11.125" style="271" customWidth="1"/>
    <col min="12802" max="12802" width="4.5" style="271" customWidth="1"/>
    <col min="12803" max="12803" width="8.5" style="271" customWidth="1"/>
    <col min="12804" max="12804" width="11.125" style="271" customWidth="1"/>
    <col min="12805" max="12805" width="4.5" style="271" customWidth="1"/>
    <col min="12806" max="12806" width="8.5" style="271" customWidth="1"/>
    <col min="12807" max="12807" width="11.125" style="271" customWidth="1"/>
    <col min="12808" max="12808" width="4.5" style="271" customWidth="1"/>
    <col min="12809" max="12809" width="8.5" style="271" customWidth="1"/>
    <col min="12810" max="12810" width="11.125" style="271" customWidth="1"/>
    <col min="12811" max="12811" width="4.5" style="271" customWidth="1"/>
    <col min="12812" max="12812" width="8.5" style="271" customWidth="1"/>
    <col min="12813" max="12813" width="11.125" style="271" customWidth="1"/>
    <col min="12814" max="12814" width="4.5" style="271" customWidth="1"/>
    <col min="12815" max="12815" width="8.5" style="271" customWidth="1"/>
    <col min="12816" max="12816" width="11.125" style="271" customWidth="1"/>
    <col min="12817" max="12817" width="4.5" style="271" customWidth="1"/>
    <col min="12818" max="12818" width="8.5" style="271" customWidth="1"/>
    <col min="12819" max="12819" width="11.125" style="271" customWidth="1"/>
    <col min="12820" max="12820" width="4.5" style="271" customWidth="1"/>
    <col min="12821" max="12821" width="8.5" style="271" customWidth="1"/>
    <col min="12822" max="12822" width="11.125" style="271" customWidth="1"/>
    <col min="12823" max="12823" width="4.5" style="271" customWidth="1"/>
    <col min="12824" max="12824" width="8.5" style="271" customWidth="1"/>
    <col min="12825" max="12825" width="11.125" style="271" customWidth="1"/>
    <col min="12826" max="12826" width="4.5" style="271" customWidth="1"/>
    <col min="12827" max="12827" width="8.5" style="271" customWidth="1"/>
    <col min="12828" max="12828" width="11.125" style="271" customWidth="1"/>
    <col min="12829" max="12829" width="33" style="271" customWidth="1"/>
    <col min="12830" max="13032" width="9" style="271"/>
    <col min="13033" max="13033" width="1.5" style="271" customWidth="1"/>
    <col min="13034" max="13034" width="3.125" style="271" customWidth="1"/>
    <col min="13035" max="13035" width="9.625" style="271" customWidth="1"/>
    <col min="13036" max="13036" width="18.125" style="271" customWidth="1"/>
    <col min="13037" max="13038" width="10.25" style="271" customWidth="1"/>
    <col min="13039" max="13039" width="8.5" style="271" customWidth="1"/>
    <col min="13040" max="13040" width="8.875" style="271" bestFit="1" customWidth="1"/>
    <col min="13041" max="13042" width="6.75" style="271" customWidth="1"/>
    <col min="13043" max="13043" width="3.5" style="271" customWidth="1"/>
    <col min="13044" max="13044" width="8.5" style="271" customWidth="1"/>
    <col min="13045" max="13045" width="13.25" style="271" customWidth="1"/>
    <col min="13046" max="13046" width="4.5" style="271" customWidth="1"/>
    <col min="13047" max="13047" width="8.5" style="271" customWidth="1"/>
    <col min="13048" max="13048" width="12" style="271" customWidth="1"/>
    <col min="13049" max="13049" width="4.5" style="271" customWidth="1"/>
    <col min="13050" max="13050" width="8.5" style="271" customWidth="1"/>
    <col min="13051" max="13051" width="11" style="271" customWidth="1"/>
    <col min="13052" max="13052" width="4.5" style="271" customWidth="1"/>
    <col min="13053" max="13053" width="8.5" style="271" customWidth="1"/>
    <col min="13054" max="13054" width="11.125" style="271" customWidth="1"/>
    <col min="13055" max="13055" width="4.5" style="271" customWidth="1"/>
    <col min="13056" max="13056" width="8.5" style="271" customWidth="1"/>
    <col min="13057" max="13057" width="11.125" style="271" customWidth="1"/>
    <col min="13058" max="13058" width="4.5" style="271" customWidth="1"/>
    <col min="13059" max="13059" width="8.5" style="271" customWidth="1"/>
    <col min="13060" max="13060" width="11.125" style="271" customWidth="1"/>
    <col min="13061" max="13061" width="4.5" style="271" customWidth="1"/>
    <col min="13062" max="13062" width="8.5" style="271" customWidth="1"/>
    <col min="13063" max="13063" width="11.125" style="271" customWidth="1"/>
    <col min="13064" max="13064" width="4.5" style="271" customWidth="1"/>
    <col min="13065" max="13065" width="8.5" style="271" customWidth="1"/>
    <col min="13066" max="13066" width="11.125" style="271" customWidth="1"/>
    <col min="13067" max="13067" width="4.5" style="271" customWidth="1"/>
    <col min="13068" max="13068" width="8.5" style="271" customWidth="1"/>
    <col min="13069" max="13069" width="11.125" style="271" customWidth="1"/>
    <col min="13070" max="13070" width="4.5" style="271" customWidth="1"/>
    <col min="13071" max="13071" width="8.5" style="271" customWidth="1"/>
    <col min="13072" max="13072" width="11.125" style="271" customWidth="1"/>
    <col min="13073" max="13073" width="4.5" style="271" customWidth="1"/>
    <col min="13074" max="13074" width="8.5" style="271" customWidth="1"/>
    <col min="13075" max="13075" width="11.125" style="271" customWidth="1"/>
    <col min="13076" max="13076" width="4.5" style="271" customWidth="1"/>
    <col min="13077" max="13077" width="8.5" style="271" customWidth="1"/>
    <col min="13078" max="13078" width="11.125" style="271" customWidth="1"/>
    <col min="13079" max="13079" width="4.5" style="271" customWidth="1"/>
    <col min="13080" max="13080" width="8.5" style="271" customWidth="1"/>
    <col min="13081" max="13081" width="11.125" style="271" customWidth="1"/>
    <col min="13082" max="13082" width="4.5" style="271" customWidth="1"/>
    <col min="13083" max="13083" width="8.5" style="271" customWidth="1"/>
    <col min="13084" max="13084" width="11.125" style="271" customWidth="1"/>
    <col min="13085" max="13085" width="33" style="271" customWidth="1"/>
    <col min="13086" max="13288" width="9" style="271"/>
    <col min="13289" max="13289" width="1.5" style="271" customWidth="1"/>
    <col min="13290" max="13290" width="3.125" style="271" customWidth="1"/>
    <col min="13291" max="13291" width="9.625" style="271" customWidth="1"/>
    <col min="13292" max="13292" width="18.125" style="271" customWidth="1"/>
    <col min="13293" max="13294" width="10.25" style="271" customWidth="1"/>
    <col min="13295" max="13295" width="8.5" style="271" customWidth="1"/>
    <col min="13296" max="13296" width="8.875" style="271" bestFit="1" customWidth="1"/>
    <col min="13297" max="13298" width="6.75" style="271" customWidth="1"/>
    <col min="13299" max="13299" width="3.5" style="271" customWidth="1"/>
    <col min="13300" max="13300" width="8.5" style="271" customWidth="1"/>
    <col min="13301" max="13301" width="13.25" style="271" customWidth="1"/>
    <col min="13302" max="13302" width="4.5" style="271" customWidth="1"/>
    <col min="13303" max="13303" width="8.5" style="271" customWidth="1"/>
    <col min="13304" max="13304" width="12" style="271" customWidth="1"/>
    <col min="13305" max="13305" width="4.5" style="271" customWidth="1"/>
    <col min="13306" max="13306" width="8.5" style="271" customWidth="1"/>
    <col min="13307" max="13307" width="11" style="271" customWidth="1"/>
    <col min="13308" max="13308" width="4.5" style="271" customWidth="1"/>
    <col min="13309" max="13309" width="8.5" style="271" customWidth="1"/>
    <col min="13310" max="13310" width="11.125" style="271" customWidth="1"/>
    <col min="13311" max="13311" width="4.5" style="271" customWidth="1"/>
    <col min="13312" max="13312" width="8.5" style="271" customWidth="1"/>
    <col min="13313" max="13313" width="11.125" style="271" customWidth="1"/>
    <col min="13314" max="13314" width="4.5" style="271" customWidth="1"/>
    <col min="13315" max="13315" width="8.5" style="271" customWidth="1"/>
    <col min="13316" max="13316" width="11.125" style="271" customWidth="1"/>
    <col min="13317" max="13317" width="4.5" style="271" customWidth="1"/>
    <col min="13318" max="13318" width="8.5" style="271" customWidth="1"/>
    <col min="13319" max="13319" width="11.125" style="271" customWidth="1"/>
    <col min="13320" max="13320" width="4.5" style="271" customWidth="1"/>
    <col min="13321" max="13321" width="8.5" style="271" customWidth="1"/>
    <col min="13322" max="13322" width="11.125" style="271" customWidth="1"/>
    <col min="13323" max="13323" width="4.5" style="271" customWidth="1"/>
    <col min="13324" max="13324" width="8.5" style="271" customWidth="1"/>
    <col min="13325" max="13325" width="11.125" style="271" customWidth="1"/>
    <col min="13326" max="13326" width="4.5" style="271" customWidth="1"/>
    <col min="13327" max="13327" width="8.5" style="271" customWidth="1"/>
    <col min="13328" max="13328" width="11.125" style="271" customWidth="1"/>
    <col min="13329" max="13329" width="4.5" style="271" customWidth="1"/>
    <col min="13330" max="13330" width="8.5" style="271" customWidth="1"/>
    <col min="13331" max="13331" width="11.125" style="271" customWidth="1"/>
    <col min="13332" max="13332" width="4.5" style="271" customWidth="1"/>
    <col min="13333" max="13333" width="8.5" style="271" customWidth="1"/>
    <col min="13334" max="13334" width="11.125" style="271" customWidth="1"/>
    <col min="13335" max="13335" width="4.5" style="271" customWidth="1"/>
    <col min="13336" max="13336" width="8.5" style="271" customWidth="1"/>
    <col min="13337" max="13337" width="11.125" style="271" customWidth="1"/>
    <col min="13338" max="13338" width="4.5" style="271" customWidth="1"/>
    <col min="13339" max="13339" width="8.5" style="271" customWidth="1"/>
    <col min="13340" max="13340" width="11.125" style="271" customWidth="1"/>
    <col min="13341" max="13341" width="33" style="271" customWidth="1"/>
    <col min="13342" max="13544" width="9" style="271"/>
    <col min="13545" max="13545" width="1.5" style="271" customWidth="1"/>
    <col min="13546" max="13546" width="3.125" style="271" customWidth="1"/>
    <col min="13547" max="13547" width="9.625" style="271" customWidth="1"/>
    <col min="13548" max="13548" width="18.125" style="271" customWidth="1"/>
    <col min="13549" max="13550" width="10.25" style="271" customWidth="1"/>
    <col min="13551" max="13551" width="8.5" style="271" customWidth="1"/>
    <col min="13552" max="13552" width="8.875" style="271" bestFit="1" customWidth="1"/>
    <col min="13553" max="13554" width="6.75" style="271" customWidth="1"/>
    <col min="13555" max="13555" width="3.5" style="271" customWidth="1"/>
    <col min="13556" max="13556" width="8.5" style="271" customWidth="1"/>
    <col min="13557" max="13557" width="13.25" style="271" customWidth="1"/>
    <col min="13558" max="13558" width="4.5" style="271" customWidth="1"/>
    <col min="13559" max="13559" width="8.5" style="271" customWidth="1"/>
    <col min="13560" max="13560" width="12" style="271" customWidth="1"/>
    <col min="13561" max="13561" width="4.5" style="271" customWidth="1"/>
    <col min="13562" max="13562" width="8.5" style="271" customWidth="1"/>
    <col min="13563" max="13563" width="11" style="271" customWidth="1"/>
    <col min="13564" max="13564" width="4.5" style="271" customWidth="1"/>
    <col min="13565" max="13565" width="8.5" style="271" customWidth="1"/>
    <col min="13566" max="13566" width="11.125" style="271" customWidth="1"/>
    <col min="13567" max="13567" width="4.5" style="271" customWidth="1"/>
    <col min="13568" max="13568" width="8.5" style="271" customWidth="1"/>
    <col min="13569" max="13569" width="11.125" style="271" customWidth="1"/>
    <col min="13570" max="13570" width="4.5" style="271" customWidth="1"/>
    <col min="13571" max="13571" width="8.5" style="271" customWidth="1"/>
    <col min="13572" max="13572" width="11.125" style="271" customWidth="1"/>
    <col min="13573" max="13573" width="4.5" style="271" customWidth="1"/>
    <col min="13574" max="13574" width="8.5" style="271" customWidth="1"/>
    <col min="13575" max="13575" width="11.125" style="271" customWidth="1"/>
    <col min="13576" max="13576" width="4.5" style="271" customWidth="1"/>
    <col min="13577" max="13577" width="8.5" style="271" customWidth="1"/>
    <col min="13578" max="13578" width="11.125" style="271" customWidth="1"/>
    <col min="13579" max="13579" width="4.5" style="271" customWidth="1"/>
    <col min="13580" max="13580" width="8.5" style="271" customWidth="1"/>
    <col min="13581" max="13581" width="11.125" style="271" customWidth="1"/>
    <col min="13582" max="13582" width="4.5" style="271" customWidth="1"/>
    <col min="13583" max="13583" width="8.5" style="271" customWidth="1"/>
    <col min="13584" max="13584" width="11.125" style="271" customWidth="1"/>
    <col min="13585" max="13585" width="4.5" style="271" customWidth="1"/>
    <col min="13586" max="13586" width="8.5" style="271" customWidth="1"/>
    <col min="13587" max="13587" width="11.125" style="271" customWidth="1"/>
    <col min="13588" max="13588" width="4.5" style="271" customWidth="1"/>
    <col min="13589" max="13589" width="8.5" style="271" customWidth="1"/>
    <col min="13590" max="13590" width="11.125" style="271" customWidth="1"/>
    <col min="13591" max="13591" width="4.5" style="271" customWidth="1"/>
    <col min="13592" max="13592" width="8.5" style="271" customWidth="1"/>
    <col min="13593" max="13593" width="11.125" style="271" customWidth="1"/>
    <col min="13594" max="13594" width="4.5" style="271" customWidth="1"/>
    <col min="13595" max="13595" width="8.5" style="271" customWidth="1"/>
    <col min="13596" max="13596" width="11.125" style="271" customWidth="1"/>
    <col min="13597" max="13597" width="33" style="271" customWidth="1"/>
    <col min="13598" max="13800" width="9" style="271"/>
    <col min="13801" max="13801" width="1.5" style="271" customWidth="1"/>
    <col min="13802" max="13802" width="3.125" style="271" customWidth="1"/>
    <col min="13803" max="13803" width="9.625" style="271" customWidth="1"/>
    <col min="13804" max="13804" width="18.125" style="271" customWidth="1"/>
    <col min="13805" max="13806" width="10.25" style="271" customWidth="1"/>
    <col min="13807" max="13807" width="8.5" style="271" customWidth="1"/>
    <col min="13808" max="13808" width="8.875" style="271" bestFit="1" customWidth="1"/>
    <col min="13809" max="13810" width="6.75" style="271" customWidth="1"/>
    <col min="13811" max="13811" width="3.5" style="271" customWidth="1"/>
    <col min="13812" max="13812" width="8.5" style="271" customWidth="1"/>
    <col min="13813" max="13813" width="13.25" style="271" customWidth="1"/>
    <col min="13814" max="13814" width="4.5" style="271" customWidth="1"/>
    <col min="13815" max="13815" width="8.5" style="271" customWidth="1"/>
    <col min="13816" max="13816" width="12" style="271" customWidth="1"/>
    <col min="13817" max="13817" width="4.5" style="271" customWidth="1"/>
    <col min="13818" max="13818" width="8.5" style="271" customWidth="1"/>
    <col min="13819" max="13819" width="11" style="271" customWidth="1"/>
    <col min="13820" max="13820" width="4.5" style="271" customWidth="1"/>
    <col min="13821" max="13821" width="8.5" style="271" customWidth="1"/>
    <col min="13822" max="13822" width="11.125" style="271" customWidth="1"/>
    <col min="13823" max="13823" width="4.5" style="271" customWidth="1"/>
    <col min="13824" max="13824" width="8.5" style="271" customWidth="1"/>
    <col min="13825" max="13825" width="11.125" style="271" customWidth="1"/>
    <col min="13826" max="13826" width="4.5" style="271" customWidth="1"/>
    <col min="13827" max="13827" width="8.5" style="271" customWidth="1"/>
    <col min="13828" max="13828" width="11.125" style="271" customWidth="1"/>
    <col min="13829" max="13829" width="4.5" style="271" customWidth="1"/>
    <col min="13830" max="13830" width="8.5" style="271" customWidth="1"/>
    <col min="13831" max="13831" width="11.125" style="271" customWidth="1"/>
    <col min="13832" max="13832" width="4.5" style="271" customWidth="1"/>
    <col min="13833" max="13833" width="8.5" style="271" customWidth="1"/>
    <col min="13834" max="13834" width="11.125" style="271" customWidth="1"/>
    <col min="13835" max="13835" width="4.5" style="271" customWidth="1"/>
    <col min="13836" max="13836" width="8.5" style="271" customWidth="1"/>
    <col min="13837" max="13837" width="11.125" style="271" customWidth="1"/>
    <col min="13838" max="13838" width="4.5" style="271" customWidth="1"/>
    <col min="13839" max="13839" width="8.5" style="271" customWidth="1"/>
    <col min="13840" max="13840" width="11.125" style="271" customWidth="1"/>
    <col min="13841" max="13841" width="4.5" style="271" customWidth="1"/>
    <col min="13842" max="13842" width="8.5" style="271" customWidth="1"/>
    <col min="13843" max="13843" width="11.125" style="271" customWidth="1"/>
    <col min="13844" max="13844" width="4.5" style="271" customWidth="1"/>
    <col min="13845" max="13845" width="8.5" style="271" customWidth="1"/>
    <col min="13846" max="13846" width="11.125" style="271" customWidth="1"/>
    <col min="13847" max="13847" width="4.5" style="271" customWidth="1"/>
    <col min="13848" max="13848" width="8.5" style="271" customWidth="1"/>
    <col min="13849" max="13849" width="11.125" style="271" customWidth="1"/>
    <col min="13850" max="13850" width="4.5" style="271" customWidth="1"/>
    <col min="13851" max="13851" width="8.5" style="271" customWidth="1"/>
    <col min="13852" max="13852" width="11.125" style="271" customWidth="1"/>
    <col min="13853" max="13853" width="33" style="271" customWidth="1"/>
    <col min="13854" max="14056" width="9" style="271"/>
    <col min="14057" max="14057" width="1.5" style="271" customWidth="1"/>
    <col min="14058" max="14058" width="3.125" style="271" customWidth="1"/>
    <col min="14059" max="14059" width="9.625" style="271" customWidth="1"/>
    <col min="14060" max="14060" width="18.125" style="271" customWidth="1"/>
    <col min="14061" max="14062" width="10.25" style="271" customWidth="1"/>
    <col min="14063" max="14063" width="8.5" style="271" customWidth="1"/>
    <col min="14064" max="14064" width="8.875" style="271" bestFit="1" customWidth="1"/>
    <col min="14065" max="14066" width="6.75" style="271" customWidth="1"/>
    <col min="14067" max="14067" width="3.5" style="271" customWidth="1"/>
    <col min="14068" max="14068" width="8.5" style="271" customWidth="1"/>
    <col min="14069" max="14069" width="13.25" style="271" customWidth="1"/>
    <col min="14070" max="14070" width="4.5" style="271" customWidth="1"/>
    <col min="14071" max="14071" width="8.5" style="271" customWidth="1"/>
    <col min="14072" max="14072" width="12" style="271" customWidth="1"/>
    <col min="14073" max="14073" width="4.5" style="271" customWidth="1"/>
    <col min="14074" max="14074" width="8.5" style="271" customWidth="1"/>
    <col min="14075" max="14075" width="11" style="271" customWidth="1"/>
    <col min="14076" max="14076" width="4.5" style="271" customWidth="1"/>
    <col min="14077" max="14077" width="8.5" style="271" customWidth="1"/>
    <col min="14078" max="14078" width="11.125" style="271" customWidth="1"/>
    <col min="14079" max="14079" width="4.5" style="271" customWidth="1"/>
    <col min="14080" max="14080" width="8.5" style="271" customWidth="1"/>
    <col min="14081" max="14081" width="11.125" style="271" customWidth="1"/>
    <col min="14082" max="14082" width="4.5" style="271" customWidth="1"/>
    <col min="14083" max="14083" width="8.5" style="271" customWidth="1"/>
    <col min="14084" max="14084" width="11.125" style="271" customWidth="1"/>
    <col min="14085" max="14085" width="4.5" style="271" customWidth="1"/>
    <col min="14086" max="14086" width="8.5" style="271" customWidth="1"/>
    <col min="14087" max="14087" width="11.125" style="271" customWidth="1"/>
    <col min="14088" max="14088" width="4.5" style="271" customWidth="1"/>
    <col min="14089" max="14089" width="8.5" style="271" customWidth="1"/>
    <col min="14090" max="14090" width="11.125" style="271" customWidth="1"/>
    <col min="14091" max="14091" width="4.5" style="271" customWidth="1"/>
    <col min="14092" max="14092" width="8.5" style="271" customWidth="1"/>
    <col min="14093" max="14093" width="11.125" style="271" customWidth="1"/>
    <col min="14094" max="14094" width="4.5" style="271" customWidth="1"/>
    <col min="14095" max="14095" width="8.5" style="271" customWidth="1"/>
    <col min="14096" max="14096" width="11.125" style="271" customWidth="1"/>
    <col min="14097" max="14097" width="4.5" style="271" customWidth="1"/>
    <col min="14098" max="14098" width="8.5" style="271" customWidth="1"/>
    <col min="14099" max="14099" width="11.125" style="271" customWidth="1"/>
    <col min="14100" max="14100" width="4.5" style="271" customWidth="1"/>
    <col min="14101" max="14101" width="8.5" style="271" customWidth="1"/>
    <col min="14102" max="14102" width="11.125" style="271" customWidth="1"/>
    <col min="14103" max="14103" width="4.5" style="271" customWidth="1"/>
    <col min="14104" max="14104" width="8.5" style="271" customWidth="1"/>
    <col min="14105" max="14105" width="11.125" style="271" customWidth="1"/>
    <col min="14106" max="14106" width="4.5" style="271" customWidth="1"/>
    <col min="14107" max="14107" width="8.5" style="271" customWidth="1"/>
    <col min="14108" max="14108" width="11.125" style="271" customWidth="1"/>
    <col min="14109" max="14109" width="33" style="271" customWidth="1"/>
    <col min="14110" max="14312" width="9" style="271"/>
    <col min="14313" max="14313" width="1.5" style="271" customWidth="1"/>
    <col min="14314" max="14314" width="3.125" style="271" customWidth="1"/>
    <col min="14315" max="14315" width="9.625" style="271" customWidth="1"/>
    <col min="14316" max="14316" width="18.125" style="271" customWidth="1"/>
    <col min="14317" max="14318" width="10.25" style="271" customWidth="1"/>
    <col min="14319" max="14319" width="8.5" style="271" customWidth="1"/>
    <col min="14320" max="14320" width="8.875" style="271" bestFit="1" customWidth="1"/>
    <col min="14321" max="14322" width="6.75" style="271" customWidth="1"/>
    <col min="14323" max="14323" width="3.5" style="271" customWidth="1"/>
    <col min="14324" max="14324" width="8.5" style="271" customWidth="1"/>
    <col min="14325" max="14325" width="13.25" style="271" customWidth="1"/>
    <col min="14326" max="14326" width="4.5" style="271" customWidth="1"/>
    <col min="14327" max="14327" width="8.5" style="271" customWidth="1"/>
    <col min="14328" max="14328" width="12" style="271" customWidth="1"/>
    <col min="14329" max="14329" width="4.5" style="271" customWidth="1"/>
    <col min="14330" max="14330" width="8.5" style="271" customWidth="1"/>
    <col min="14331" max="14331" width="11" style="271" customWidth="1"/>
    <col min="14332" max="14332" width="4.5" style="271" customWidth="1"/>
    <col min="14333" max="14333" width="8.5" style="271" customWidth="1"/>
    <col min="14334" max="14334" width="11.125" style="271" customWidth="1"/>
    <col min="14335" max="14335" width="4.5" style="271" customWidth="1"/>
    <col min="14336" max="14336" width="8.5" style="271" customWidth="1"/>
    <col min="14337" max="14337" width="11.125" style="271" customWidth="1"/>
    <col min="14338" max="14338" width="4.5" style="271" customWidth="1"/>
    <col min="14339" max="14339" width="8.5" style="271" customWidth="1"/>
    <col min="14340" max="14340" width="11.125" style="271" customWidth="1"/>
    <col min="14341" max="14341" width="4.5" style="271" customWidth="1"/>
    <col min="14342" max="14342" width="8.5" style="271" customWidth="1"/>
    <col min="14343" max="14343" width="11.125" style="271" customWidth="1"/>
    <col min="14344" max="14344" width="4.5" style="271" customWidth="1"/>
    <col min="14345" max="14345" width="8.5" style="271" customWidth="1"/>
    <col min="14346" max="14346" width="11.125" style="271" customWidth="1"/>
    <col min="14347" max="14347" width="4.5" style="271" customWidth="1"/>
    <col min="14348" max="14348" width="8.5" style="271" customWidth="1"/>
    <col min="14349" max="14349" width="11.125" style="271" customWidth="1"/>
    <col min="14350" max="14350" width="4.5" style="271" customWidth="1"/>
    <col min="14351" max="14351" width="8.5" style="271" customWidth="1"/>
    <col min="14352" max="14352" width="11.125" style="271" customWidth="1"/>
    <col min="14353" max="14353" width="4.5" style="271" customWidth="1"/>
    <col min="14354" max="14354" width="8.5" style="271" customWidth="1"/>
    <col min="14355" max="14355" width="11.125" style="271" customWidth="1"/>
    <col min="14356" max="14356" width="4.5" style="271" customWidth="1"/>
    <col min="14357" max="14357" width="8.5" style="271" customWidth="1"/>
    <col min="14358" max="14358" width="11.125" style="271" customWidth="1"/>
    <col min="14359" max="14359" width="4.5" style="271" customWidth="1"/>
    <col min="14360" max="14360" width="8.5" style="271" customWidth="1"/>
    <col min="14361" max="14361" width="11.125" style="271" customWidth="1"/>
    <col min="14362" max="14362" width="4.5" style="271" customWidth="1"/>
    <col min="14363" max="14363" width="8.5" style="271" customWidth="1"/>
    <col min="14364" max="14364" width="11.125" style="271" customWidth="1"/>
    <col min="14365" max="14365" width="33" style="271" customWidth="1"/>
    <col min="14366" max="14568" width="9" style="271"/>
    <col min="14569" max="14569" width="1.5" style="271" customWidth="1"/>
    <col min="14570" max="14570" width="3.125" style="271" customWidth="1"/>
    <col min="14571" max="14571" width="9.625" style="271" customWidth="1"/>
    <col min="14572" max="14572" width="18.125" style="271" customWidth="1"/>
    <col min="14573" max="14574" width="10.25" style="271" customWidth="1"/>
    <col min="14575" max="14575" width="8.5" style="271" customWidth="1"/>
    <col min="14576" max="14576" width="8.875" style="271" bestFit="1" customWidth="1"/>
    <col min="14577" max="14578" width="6.75" style="271" customWidth="1"/>
    <col min="14579" max="14579" width="3.5" style="271" customWidth="1"/>
    <col min="14580" max="14580" width="8.5" style="271" customWidth="1"/>
    <col min="14581" max="14581" width="13.25" style="271" customWidth="1"/>
    <col min="14582" max="14582" width="4.5" style="271" customWidth="1"/>
    <col min="14583" max="14583" width="8.5" style="271" customWidth="1"/>
    <col min="14584" max="14584" width="12" style="271" customWidth="1"/>
    <col min="14585" max="14585" width="4.5" style="271" customWidth="1"/>
    <col min="14586" max="14586" width="8.5" style="271" customWidth="1"/>
    <col min="14587" max="14587" width="11" style="271" customWidth="1"/>
    <col min="14588" max="14588" width="4.5" style="271" customWidth="1"/>
    <col min="14589" max="14589" width="8.5" style="271" customWidth="1"/>
    <col min="14590" max="14590" width="11.125" style="271" customWidth="1"/>
    <col min="14591" max="14591" width="4.5" style="271" customWidth="1"/>
    <col min="14592" max="14592" width="8.5" style="271" customWidth="1"/>
    <col min="14593" max="14593" width="11.125" style="271" customWidth="1"/>
    <col min="14594" max="14594" width="4.5" style="271" customWidth="1"/>
    <col min="14595" max="14595" width="8.5" style="271" customWidth="1"/>
    <col min="14596" max="14596" width="11.125" style="271" customWidth="1"/>
    <col min="14597" max="14597" width="4.5" style="271" customWidth="1"/>
    <col min="14598" max="14598" width="8.5" style="271" customWidth="1"/>
    <col min="14599" max="14599" width="11.125" style="271" customWidth="1"/>
    <col min="14600" max="14600" width="4.5" style="271" customWidth="1"/>
    <col min="14601" max="14601" width="8.5" style="271" customWidth="1"/>
    <col min="14602" max="14602" width="11.125" style="271" customWidth="1"/>
    <col min="14603" max="14603" width="4.5" style="271" customWidth="1"/>
    <col min="14604" max="14604" width="8.5" style="271" customWidth="1"/>
    <col min="14605" max="14605" width="11.125" style="271" customWidth="1"/>
    <col min="14606" max="14606" width="4.5" style="271" customWidth="1"/>
    <col min="14607" max="14607" width="8.5" style="271" customWidth="1"/>
    <col min="14608" max="14608" width="11.125" style="271" customWidth="1"/>
    <col min="14609" max="14609" width="4.5" style="271" customWidth="1"/>
    <col min="14610" max="14610" width="8.5" style="271" customWidth="1"/>
    <col min="14611" max="14611" width="11.125" style="271" customWidth="1"/>
    <col min="14612" max="14612" width="4.5" style="271" customWidth="1"/>
    <col min="14613" max="14613" width="8.5" style="271" customWidth="1"/>
    <col min="14614" max="14614" width="11.125" style="271" customWidth="1"/>
    <col min="14615" max="14615" width="4.5" style="271" customWidth="1"/>
    <col min="14616" max="14616" width="8.5" style="271" customWidth="1"/>
    <col min="14617" max="14617" width="11.125" style="271" customWidth="1"/>
    <col min="14618" max="14618" width="4.5" style="271" customWidth="1"/>
    <col min="14619" max="14619" width="8.5" style="271" customWidth="1"/>
    <col min="14620" max="14620" width="11.125" style="271" customWidth="1"/>
    <col min="14621" max="14621" width="33" style="271" customWidth="1"/>
    <col min="14622" max="14824" width="9" style="271"/>
    <col min="14825" max="14825" width="1.5" style="271" customWidth="1"/>
    <col min="14826" max="14826" width="3.125" style="271" customWidth="1"/>
    <col min="14827" max="14827" width="9.625" style="271" customWidth="1"/>
    <col min="14828" max="14828" width="18.125" style="271" customWidth="1"/>
    <col min="14829" max="14830" width="10.25" style="271" customWidth="1"/>
    <col min="14831" max="14831" width="8.5" style="271" customWidth="1"/>
    <col min="14832" max="14832" width="8.875" style="271" bestFit="1" customWidth="1"/>
    <col min="14833" max="14834" width="6.75" style="271" customWidth="1"/>
    <col min="14835" max="14835" width="3.5" style="271" customWidth="1"/>
    <col min="14836" max="14836" width="8.5" style="271" customWidth="1"/>
    <col min="14837" max="14837" width="13.25" style="271" customWidth="1"/>
    <col min="14838" max="14838" width="4.5" style="271" customWidth="1"/>
    <col min="14839" max="14839" width="8.5" style="271" customWidth="1"/>
    <col min="14840" max="14840" width="12" style="271" customWidth="1"/>
    <col min="14841" max="14841" width="4.5" style="271" customWidth="1"/>
    <col min="14842" max="14842" width="8.5" style="271" customWidth="1"/>
    <col min="14843" max="14843" width="11" style="271" customWidth="1"/>
    <col min="14844" max="14844" width="4.5" style="271" customWidth="1"/>
    <col min="14845" max="14845" width="8.5" style="271" customWidth="1"/>
    <col min="14846" max="14846" width="11.125" style="271" customWidth="1"/>
    <col min="14847" max="14847" width="4.5" style="271" customWidth="1"/>
    <col min="14848" max="14848" width="8.5" style="271" customWidth="1"/>
    <col min="14849" max="14849" width="11.125" style="271" customWidth="1"/>
    <col min="14850" max="14850" width="4.5" style="271" customWidth="1"/>
    <col min="14851" max="14851" width="8.5" style="271" customWidth="1"/>
    <col min="14852" max="14852" width="11.125" style="271" customWidth="1"/>
    <col min="14853" max="14853" width="4.5" style="271" customWidth="1"/>
    <col min="14854" max="14854" width="8.5" style="271" customWidth="1"/>
    <col min="14855" max="14855" width="11.125" style="271" customWidth="1"/>
    <col min="14856" max="14856" width="4.5" style="271" customWidth="1"/>
    <col min="14857" max="14857" width="8.5" style="271" customWidth="1"/>
    <col min="14858" max="14858" width="11.125" style="271" customWidth="1"/>
    <col min="14859" max="14859" width="4.5" style="271" customWidth="1"/>
    <col min="14860" max="14860" width="8.5" style="271" customWidth="1"/>
    <col min="14861" max="14861" width="11.125" style="271" customWidth="1"/>
    <col min="14862" max="14862" width="4.5" style="271" customWidth="1"/>
    <col min="14863" max="14863" width="8.5" style="271" customWidth="1"/>
    <col min="14864" max="14864" width="11.125" style="271" customWidth="1"/>
    <col min="14865" max="14865" width="4.5" style="271" customWidth="1"/>
    <col min="14866" max="14866" width="8.5" style="271" customWidth="1"/>
    <col min="14867" max="14867" width="11.125" style="271" customWidth="1"/>
    <col min="14868" max="14868" width="4.5" style="271" customWidth="1"/>
    <col min="14869" max="14869" width="8.5" style="271" customWidth="1"/>
    <col min="14870" max="14870" width="11.125" style="271" customWidth="1"/>
    <col min="14871" max="14871" width="4.5" style="271" customWidth="1"/>
    <col min="14872" max="14872" width="8.5" style="271" customWidth="1"/>
    <col min="14873" max="14873" width="11.125" style="271" customWidth="1"/>
    <col min="14874" max="14874" width="4.5" style="271" customWidth="1"/>
    <col min="14875" max="14875" width="8.5" style="271" customWidth="1"/>
    <col min="14876" max="14876" width="11.125" style="271" customWidth="1"/>
    <col min="14877" max="14877" width="33" style="271" customWidth="1"/>
    <col min="14878" max="15080" width="9" style="271"/>
    <col min="15081" max="15081" width="1.5" style="271" customWidth="1"/>
    <col min="15082" max="15082" width="3.125" style="271" customWidth="1"/>
    <col min="15083" max="15083" width="9.625" style="271" customWidth="1"/>
    <col min="15084" max="15084" width="18.125" style="271" customWidth="1"/>
    <col min="15085" max="15086" width="10.25" style="271" customWidth="1"/>
    <col min="15087" max="15087" width="8.5" style="271" customWidth="1"/>
    <col min="15088" max="15088" width="8.875" style="271" bestFit="1" customWidth="1"/>
    <col min="15089" max="15090" width="6.75" style="271" customWidth="1"/>
    <col min="15091" max="15091" width="3.5" style="271" customWidth="1"/>
    <col min="15092" max="15092" width="8.5" style="271" customWidth="1"/>
    <col min="15093" max="15093" width="13.25" style="271" customWidth="1"/>
    <col min="15094" max="15094" width="4.5" style="271" customWidth="1"/>
    <col min="15095" max="15095" width="8.5" style="271" customWidth="1"/>
    <col min="15096" max="15096" width="12" style="271" customWidth="1"/>
    <col min="15097" max="15097" width="4.5" style="271" customWidth="1"/>
    <col min="15098" max="15098" width="8.5" style="271" customWidth="1"/>
    <col min="15099" max="15099" width="11" style="271" customWidth="1"/>
    <col min="15100" max="15100" width="4.5" style="271" customWidth="1"/>
    <col min="15101" max="15101" width="8.5" style="271" customWidth="1"/>
    <col min="15102" max="15102" width="11.125" style="271" customWidth="1"/>
    <col min="15103" max="15103" width="4.5" style="271" customWidth="1"/>
    <col min="15104" max="15104" width="8.5" style="271" customWidth="1"/>
    <col min="15105" max="15105" width="11.125" style="271" customWidth="1"/>
    <col min="15106" max="15106" width="4.5" style="271" customWidth="1"/>
    <col min="15107" max="15107" width="8.5" style="271" customWidth="1"/>
    <col min="15108" max="15108" width="11.125" style="271" customWidth="1"/>
    <col min="15109" max="15109" width="4.5" style="271" customWidth="1"/>
    <col min="15110" max="15110" width="8.5" style="271" customWidth="1"/>
    <col min="15111" max="15111" width="11.125" style="271" customWidth="1"/>
    <col min="15112" max="15112" width="4.5" style="271" customWidth="1"/>
    <col min="15113" max="15113" width="8.5" style="271" customWidth="1"/>
    <col min="15114" max="15114" width="11.125" style="271" customWidth="1"/>
    <col min="15115" max="15115" width="4.5" style="271" customWidth="1"/>
    <col min="15116" max="15116" width="8.5" style="271" customWidth="1"/>
    <col min="15117" max="15117" width="11.125" style="271" customWidth="1"/>
    <col min="15118" max="15118" width="4.5" style="271" customWidth="1"/>
    <col min="15119" max="15119" width="8.5" style="271" customWidth="1"/>
    <col min="15120" max="15120" width="11.125" style="271" customWidth="1"/>
    <col min="15121" max="15121" width="4.5" style="271" customWidth="1"/>
    <col min="15122" max="15122" width="8.5" style="271" customWidth="1"/>
    <col min="15123" max="15123" width="11.125" style="271" customWidth="1"/>
    <col min="15124" max="15124" width="4.5" style="271" customWidth="1"/>
    <col min="15125" max="15125" width="8.5" style="271" customWidth="1"/>
    <col min="15126" max="15126" width="11.125" style="271" customWidth="1"/>
    <col min="15127" max="15127" width="4.5" style="271" customWidth="1"/>
    <col min="15128" max="15128" width="8.5" style="271" customWidth="1"/>
    <col min="15129" max="15129" width="11.125" style="271" customWidth="1"/>
    <col min="15130" max="15130" width="4.5" style="271" customWidth="1"/>
    <col min="15131" max="15131" width="8.5" style="271" customWidth="1"/>
    <col min="15132" max="15132" width="11.125" style="271" customWidth="1"/>
    <col min="15133" max="15133" width="33" style="271" customWidth="1"/>
    <col min="15134" max="15336" width="9" style="271"/>
    <col min="15337" max="15337" width="1.5" style="271" customWidth="1"/>
    <col min="15338" max="15338" width="3.125" style="271" customWidth="1"/>
    <col min="15339" max="15339" width="9.625" style="271" customWidth="1"/>
    <col min="15340" max="15340" width="18.125" style="271" customWidth="1"/>
    <col min="15341" max="15342" width="10.25" style="271" customWidth="1"/>
    <col min="15343" max="15343" width="8.5" style="271" customWidth="1"/>
    <col min="15344" max="15344" width="8.875" style="271" bestFit="1" customWidth="1"/>
    <col min="15345" max="15346" width="6.75" style="271" customWidth="1"/>
    <col min="15347" max="15347" width="3.5" style="271" customWidth="1"/>
    <col min="15348" max="15348" width="8.5" style="271" customWidth="1"/>
    <col min="15349" max="15349" width="13.25" style="271" customWidth="1"/>
    <col min="15350" max="15350" width="4.5" style="271" customWidth="1"/>
    <col min="15351" max="15351" width="8.5" style="271" customWidth="1"/>
    <col min="15352" max="15352" width="12" style="271" customWidth="1"/>
    <col min="15353" max="15353" width="4.5" style="271" customWidth="1"/>
    <col min="15354" max="15354" width="8.5" style="271" customWidth="1"/>
    <col min="15355" max="15355" width="11" style="271" customWidth="1"/>
    <col min="15356" max="15356" width="4.5" style="271" customWidth="1"/>
    <col min="15357" max="15357" width="8.5" style="271" customWidth="1"/>
    <col min="15358" max="15358" width="11.125" style="271" customWidth="1"/>
    <col min="15359" max="15359" width="4.5" style="271" customWidth="1"/>
    <col min="15360" max="15360" width="8.5" style="271" customWidth="1"/>
    <col min="15361" max="15361" width="11.125" style="271" customWidth="1"/>
    <col min="15362" max="15362" width="4.5" style="271" customWidth="1"/>
    <col min="15363" max="15363" width="8.5" style="271" customWidth="1"/>
    <col min="15364" max="15364" width="11.125" style="271" customWidth="1"/>
    <col min="15365" max="15365" width="4.5" style="271" customWidth="1"/>
    <col min="15366" max="15366" width="8.5" style="271" customWidth="1"/>
    <col min="15367" max="15367" width="11.125" style="271" customWidth="1"/>
    <col min="15368" max="15368" width="4.5" style="271" customWidth="1"/>
    <col min="15369" max="15369" width="8.5" style="271" customWidth="1"/>
    <col min="15370" max="15370" width="11.125" style="271" customWidth="1"/>
    <col min="15371" max="15371" width="4.5" style="271" customWidth="1"/>
    <col min="15372" max="15372" width="8.5" style="271" customWidth="1"/>
    <col min="15373" max="15373" width="11.125" style="271" customWidth="1"/>
    <col min="15374" max="15374" width="4.5" style="271" customWidth="1"/>
    <col min="15375" max="15375" width="8.5" style="271" customWidth="1"/>
    <col min="15376" max="15376" width="11.125" style="271" customWidth="1"/>
    <col min="15377" max="15377" width="4.5" style="271" customWidth="1"/>
    <col min="15378" max="15378" width="8.5" style="271" customWidth="1"/>
    <col min="15379" max="15379" width="11.125" style="271" customWidth="1"/>
    <col min="15380" max="15380" width="4.5" style="271" customWidth="1"/>
    <col min="15381" max="15381" width="8.5" style="271" customWidth="1"/>
    <col min="15382" max="15382" width="11.125" style="271" customWidth="1"/>
    <col min="15383" max="15383" width="4.5" style="271" customWidth="1"/>
    <col min="15384" max="15384" width="8.5" style="271" customWidth="1"/>
    <col min="15385" max="15385" width="11.125" style="271" customWidth="1"/>
    <col min="15386" max="15386" width="4.5" style="271" customWidth="1"/>
    <col min="15387" max="15387" width="8.5" style="271" customWidth="1"/>
    <col min="15388" max="15388" width="11.125" style="271" customWidth="1"/>
    <col min="15389" max="15389" width="33" style="271" customWidth="1"/>
    <col min="15390" max="15592" width="9" style="271"/>
    <col min="15593" max="15593" width="1.5" style="271" customWidth="1"/>
    <col min="15594" max="15594" width="3.125" style="271" customWidth="1"/>
    <col min="15595" max="15595" width="9.625" style="271" customWidth="1"/>
    <col min="15596" max="15596" width="18.125" style="271" customWidth="1"/>
    <col min="15597" max="15598" width="10.25" style="271" customWidth="1"/>
    <col min="15599" max="15599" width="8.5" style="271" customWidth="1"/>
    <col min="15600" max="15600" width="8.875" style="271" bestFit="1" customWidth="1"/>
    <col min="15601" max="15602" width="6.75" style="271" customWidth="1"/>
    <col min="15603" max="15603" width="3.5" style="271" customWidth="1"/>
    <col min="15604" max="15604" width="8.5" style="271" customWidth="1"/>
    <col min="15605" max="15605" width="13.25" style="271" customWidth="1"/>
    <col min="15606" max="15606" width="4.5" style="271" customWidth="1"/>
    <col min="15607" max="15607" width="8.5" style="271" customWidth="1"/>
    <col min="15608" max="15608" width="12" style="271" customWidth="1"/>
    <col min="15609" max="15609" width="4.5" style="271" customWidth="1"/>
    <col min="15610" max="15610" width="8.5" style="271" customWidth="1"/>
    <col min="15611" max="15611" width="11" style="271" customWidth="1"/>
    <col min="15612" max="15612" width="4.5" style="271" customWidth="1"/>
    <col min="15613" max="15613" width="8.5" style="271" customWidth="1"/>
    <col min="15614" max="15614" width="11.125" style="271" customWidth="1"/>
    <col min="15615" max="15615" width="4.5" style="271" customWidth="1"/>
    <col min="15616" max="15616" width="8.5" style="271" customWidth="1"/>
    <col min="15617" max="15617" width="11.125" style="271" customWidth="1"/>
    <col min="15618" max="15618" width="4.5" style="271" customWidth="1"/>
    <col min="15619" max="15619" width="8.5" style="271" customWidth="1"/>
    <col min="15620" max="15620" width="11.125" style="271" customWidth="1"/>
    <col min="15621" max="15621" width="4.5" style="271" customWidth="1"/>
    <col min="15622" max="15622" width="8.5" style="271" customWidth="1"/>
    <col min="15623" max="15623" width="11.125" style="271" customWidth="1"/>
    <col min="15624" max="15624" width="4.5" style="271" customWidth="1"/>
    <col min="15625" max="15625" width="8.5" style="271" customWidth="1"/>
    <col min="15626" max="15626" width="11.125" style="271" customWidth="1"/>
    <col min="15627" max="15627" width="4.5" style="271" customWidth="1"/>
    <col min="15628" max="15628" width="8.5" style="271" customWidth="1"/>
    <col min="15629" max="15629" width="11.125" style="271" customWidth="1"/>
    <col min="15630" max="15630" width="4.5" style="271" customWidth="1"/>
    <col min="15631" max="15631" width="8.5" style="271" customWidth="1"/>
    <col min="15632" max="15632" width="11.125" style="271" customWidth="1"/>
    <col min="15633" max="15633" width="4.5" style="271" customWidth="1"/>
    <col min="15634" max="15634" width="8.5" style="271" customWidth="1"/>
    <col min="15635" max="15635" width="11.125" style="271" customWidth="1"/>
    <col min="15636" max="15636" width="4.5" style="271" customWidth="1"/>
    <col min="15637" max="15637" width="8.5" style="271" customWidth="1"/>
    <col min="15638" max="15638" width="11.125" style="271" customWidth="1"/>
    <col min="15639" max="15639" width="4.5" style="271" customWidth="1"/>
    <col min="15640" max="15640" width="8.5" style="271" customWidth="1"/>
    <col min="15641" max="15641" width="11.125" style="271" customWidth="1"/>
    <col min="15642" max="15642" width="4.5" style="271" customWidth="1"/>
    <col min="15643" max="15643" width="8.5" style="271" customWidth="1"/>
    <col min="15644" max="15644" width="11.125" style="271" customWidth="1"/>
    <col min="15645" max="15645" width="33" style="271" customWidth="1"/>
    <col min="15646" max="15848" width="9" style="271"/>
    <col min="15849" max="15849" width="1.5" style="271" customWidth="1"/>
    <col min="15850" max="15850" width="3.125" style="271" customWidth="1"/>
    <col min="15851" max="15851" width="9.625" style="271" customWidth="1"/>
    <col min="15852" max="15852" width="18.125" style="271" customWidth="1"/>
    <col min="15853" max="15854" width="10.25" style="271" customWidth="1"/>
    <col min="15855" max="15855" width="8.5" style="271" customWidth="1"/>
    <col min="15856" max="15856" width="8.875" style="271" bestFit="1" customWidth="1"/>
    <col min="15857" max="15858" width="6.75" style="271" customWidth="1"/>
    <col min="15859" max="15859" width="3.5" style="271" customWidth="1"/>
    <col min="15860" max="15860" width="8.5" style="271" customWidth="1"/>
    <col min="15861" max="15861" width="13.25" style="271" customWidth="1"/>
    <col min="15862" max="15862" width="4.5" style="271" customWidth="1"/>
    <col min="15863" max="15863" width="8.5" style="271" customWidth="1"/>
    <col min="15864" max="15864" width="12" style="271" customWidth="1"/>
    <col min="15865" max="15865" width="4.5" style="271" customWidth="1"/>
    <col min="15866" max="15866" width="8.5" style="271" customWidth="1"/>
    <col min="15867" max="15867" width="11" style="271" customWidth="1"/>
    <col min="15868" max="15868" width="4.5" style="271" customWidth="1"/>
    <col min="15869" max="15869" width="8.5" style="271" customWidth="1"/>
    <col min="15870" max="15870" width="11.125" style="271" customWidth="1"/>
    <col min="15871" max="15871" width="4.5" style="271" customWidth="1"/>
    <col min="15872" max="15872" width="8.5" style="271" customWidth="1"/>
    <col min="15873" max="15873" width="11.125" style="271" customWidth="1"/>
    <col min="15874" max="15874" width="4.5" style="271" customWidth="1"/>
    <col min="15875" max="15875" width="8.5" style="271" customWidth="1"/>
    <col min="15876" max="15876" width="11.125" style="271" customWidth="1"/>
    <col min="15877" max="15877" width="4.5" style="271" customWidth="1"/>
    <col min="15878" max="15878" width="8.5" style="271" customWidth="1"/>
    <col min="15879" max="15879" width="11.125" style="271" customWidth="1"/>
    <col min="15880" max="15880" width="4.5" style="271" customWidth="1"/>
    <col min="15881" max="15881" width="8.5" style="271" customWidth="1"/>
    <col min="15882" max="15882" width="11.125" style="271" customWidth="1"/>
    <col min="15883" max="15883" width="4.5" style="271" customWidth="1"/>
    <col min="15884" max="15884" width="8.5" style="271" customWidth="1"/>
    <col min="15885" max="15885" width="11.125" style="271" customWidth="1"/>
    <col min="15886" max="15886" width="4.5" style="271" customWidth="1"/>
    <col min="15887" max="15887" width="8.5" style="271" customWidth="1"/>
    <col min="15888" max="15888" width="11.125" style="271" customWidth="1"/>
    <col min="15889" max="15889" width="4.5" style="271" customWidth="1"/>
    <col min="15890" max="15890" width="8.5" style="271" customWidth="1"/>
    <col min="15891" max="15891" width="11.125" style="271" customWidth="1"/>
    <col min="15892" max="15892" width="4.5" style="271" customWidth="1"/>
    <col min="15893" max="15893" width="8.5" style="271" customWidth="1"/>
    <col min="15894" max="15894" width="11.125" style="271" customWidth="1"/>
    <col min="15895" max="15895" width="4.5" style="271" customWidth="1"/>
    <col min="15896" max="15896" width="8.5" style="271" customWidth="1"/>
    <col min="15897" max="15897" width="11.125" style="271" customWidth="1"/>
    <col min="15898" max="15898" width="4.5" style="271" customWidth="1"/>
    <col min="15899" max="15899" width="8.5" style="271" customWidth="1"/>
    <col min="15900" max="15900" width="11.125" style="271" customWidth="1"/>
    <col min="15901" max="15901" width="33" style="271" customWidth="1"/>
    <col min="15902" max="16104" width="9" style="271"/>
    <col min="16105" max="16105" width="1.5" style="271" customWidth="1"/>
    <col min="16106" max="16106" width="3.125" style="271" customWidth="1"/>
    <col min="16107" max="16107" width="9.625" style="271" customWidth="1"/>
    <col min="16108" max="16108" width="18.125" style="271" customWidth="1"/>
    <col min="16109" max="16110" width="10.25" style="271" customWidth="1"/>
    <col min="16111" max="16111" width="8.5" style="271" customWidth="1"/>
    <col min="16112" max="16112" width="8.875" style="271" bestFit="1" customWidth="1"/>
    <col min="16113" max="16114" width="6.75" style="271" customWidth="1"/>
    <col min="16115" max="16115" width="3.5" style="271" customWidth="1"/>
    <col min="16116" max="16116" width="8.5" style="271" customWidth="1"/>
    <col min="16117" max="16117" width="13.25" style="271" customWidth="1"/>
    <col min="16118" max="16118" width="4.5" style="271" customWidth="1"/>
    <col min="16119" max="16119" width="8.5" style="271" customWidth="1"/>
    <col min="16120" max="16120" width="12" style="271" customWidth="1"/>
    <col min="16121" max="16121" width="4.5" style="271" customWidth="1"/>
    <col min="16122" max="16122" width="8.5" style="271" customWidth="1"/>
    <col min="16123" max="16123" width="11" style="271" customWidth="1"/>
    <col min="16124" max="16124" width="4.5" style="271" customWidth="1"/>
    <col min="16125" max="16125" width="8.5" style="271" customWidth="1"/>
    <col min="16126" max="16126" width="11.125" style="271" customWidth="1"/>
    <col min="16127" max="16127" width="4.5" style="271" customWidth="1"/>
    <col min="16128" max="16128" width="8.5" style="271" customWidth="1"/>
    <col min="16129" max="16129" width="11.125" style="271" customWidth="1"/>
    <col min="16130" max="16130" width="4.5" style="271" customWidth="1"/>
    <col min="16131" max="16131" width="8.5" style="271" customWidth="1"/>
    <col min="16132" max="16132" width="11.125" style="271" customWidth="1"/>
    <col min="16133" max="16133" width="4.5" style="271" customWidth="1"/>
    <col min="16134" max="16134" width="8.5" style="271" customWidth="1"/>
    <col min="16135" max="16135" width="11.125" style="271" customWidth="1"/>
    <col min="16136" max="16136" width="4.5" style="271" customWidth="1"/>
    <col min="16137" max="16137" width="8.5" style="271" customWidth="1"/>
    <col min="16138" max="16138" width="11.125" style="271" customWidth="1"/>
    <col min="16139" max="16139" width="4.5" style="271" customWidth="1"/>
    <col min="16140" max="16140" width="8.5" style="271" customWidth="1"/>
    <col min="16141" max="16141" width="11.125" style="271" customWidth="1"/>
    <col min="16142" max="16142" width="4.5" style="271" customWidth="1"/>
    <col min="16143" max="16143" width="8.5" style="271" customWidth="1"/>
    <col min="16144" max="16144" width="11.125" style="271" customWidth="1"/>
    <col min="16145" max="16145" width="4.5" style="271" customWidth="1"/>
    <col min="16146" max="16146" width="8.5" style="271" customWidth="1"/>
    <col min="16147" max="16147" width="11.125" style="271" customWidth="1"/>
    <col min="16148" max="16148" width="4.5" style="271" customWidth="1"/>
    <col min="16149" max="16149" width="8.5" style="271" customWidth="1"/>
    <col min="16150" max="16150" width="11.125" style="271" customWidth="1"/>
    <col min="16151" max="16151" width="4.5" style="271" customWidth="1"/>
    <col min="16152" max="16152" width="8.5" style="271" customWidth="1"/>
    <col min="16153" max="16153" width="11.125" style="271" customWidth="1"/>
    <col min="16154" max="16154" width="4.5" style="271" customWidth="1"/>
    <col min="16155" max="16155" width="8.5" style="271" customWidth="1"/>
    <col min="16156" max="16156" width="11.125" style="271" customWidth="1"/>
    <col min="16157" max="16157" width="33" style="271" customWidth="1"/>
    <col min="16158" max="16384" width="9" style="271"/>
  </cols>
  <sheetData>
    <row r="1" spans="1:30" ht="13.5" thickBot="1"/>
    <row r="2" spans="1:30" s="273" customFormat="1" ht="18" thickBot="1">
      <c r="A2" s="272">
        <v>1</v>
      </c>
      <c r="B2" s="1180" t="s">
        <v>603</v>
      </c>
      <c r="C2" s="1216"/>
      <c r="D2" s="1216"/>
      <c r="E2" s="1216"/>
      <c r="F2" s="1216"/>
      <c r="G2" s="1216"/>
      <c r="H2" s="1216"/>
      <c r="I2" s="1216"/>
      <c r="J2" s="1216"/>
      <c r="K2" s="1216"/>
      <c r="L2" s="1216"/>
      <c r="M2" s="1216"/>
      <c r="N2" s="1216"/>
      <c r="O2" s="1216"/>
      <c r="P2" s="1216"/>
      <c r="Q2" s="1216"/>
      <c r="R2" s="1216"/>
      <c r="S2" s="1216"/>
      <c r="T2" s="1216"/>
      <c r="U2" s="1216"/>
      <c r="V2" s="1216"/>
      <c r="W2" s="1216"/>
      <c r="X2" s="1216"/>
      <c r="Y2" s="1216"/>
      <c r="Z2" s="1216"/>
      <c r="AA2" s="1216"/>
      <c r="AB2" s="1216"/>
      <c r="AC2" s="1216"/>
      <c r="AD2" s="1227"/>
    </row>
    <row r="3" spans="1:30" s="231" customFormat="1" ht="15">
      <c r="A3" s="230"/>
      <c r="B3" s="1233" t="s">
        <v>584</v>
      </c>
      <c r="C3" s="1234" t="s">
        <v>587</v>
      </c>
      <c r="D3" s="1235"/>
      <c r="E3" s="1236" t="s">
        <v>588</v>
      </c>
      <c r="F3" s="1237"/>
      <c r="G3" s="1238">
        <f>'Analysis-Debit'!J3</f>
        <v>43617</v>
      </c>
      <c r="H3" s="1232"/>
      <c r="I3" s="1212">
        <f>EDATE(G3,-1)</f>
        <v>43586</v>
      </c>
      <c r="J3" s="1213"/>
      <c r="K3" s="1212">
        <f>EDATE(I3,-1)</f>
        <v>43556</v>
      </c>
      <c r="L3" s="1213"/>
      <c r="M3" s="1212">
        <f>EDATE(K3,-1)</f>
        <v>43525</v>
      </c>
      <c r="N3" s="1213"/>
      <c r="O3" s="1212">
        <f>EDATE(M3,-1)</f>
        <v>43497</v>
      </c>
      <c r="P3" s="1213"/>
      <c r="Q3" s="1212">
        <f>EDATE(O3,-1)</f>
        <v>43466</v>
      </c>
      <c r="R3" s="1213"/>
      <c r="S3" s="1212">
        <f>EDATE(Q3,-1)</f>
        <v>43435</v>
      </c>
      <c r="T3" s="1213"/>
      <c r="U3" s="1212">
        <f>EDATE(S3,-1)</f>
        <v>43405</v>
      </c>
      <c r="V3" s="1213"/>
      <c r="W3" s="1212">
        <f>EDATE(U3,-1)</f>
        <v>43374</v>
      </c>
      <c r="X3" s="1213"/>
      <c r="Y3" s="1212">
        <f>EDATE(W3,-1)</f>
        <v>43344</v>
      </c>
      <c r="Z3" s="1213"/>
      <c r="AA3" s="1212">
        <f>EDATE(Y3,-1)</f>
        <v>43313</v>
      </c>
      <c r="AB3" s="1213"/>
      <c r="AC3" s="1212">
        <f>EDATE(AA3,-1)</f>
        <v>43282</v>
      </c>
      <c r="AD3" s="1232"/>
    </row>
    <row r="4" spans="1:30" s="231" customFormat="1" ht="15">
      <c r="A4" s="230"/>
      <c r="B4" s="1200"/>
      <c r="C4" s="1203"/>
      <c r="D4" s="1204"/>
      <c r="E4" s="274" t="s">
        <v>590</v>
      </c>
      <c r="F4" s="275" t="s">
        <v>111</v>
      </c>
      <c r="G4" s="236" t="s">
        <v>590</v>
      </c>
      <c r="H4" s="237" t="s">
        <v>111</v>
      </c>
      <c r="I4" s="238" t="s">
        <v>590</v>
      </c>
      <c r="J4" s="239" t="s">
        <v>111</v>
      </c>
      <c r="K4" s="238" t="s">
        <v>590</v>
      </c>
      <c r="L4" s="239" t="s">
        <v>111</v>
      </c>
      <c r="M4" s="238" t="s">
        <v>590</v>
      </c>
      <c r="N4" s="239" t="s">
        <v>111</v>
      </c>
      <c r="O4" s="238" t="s">
        <v>590</v>
      </c>
      <c r="P4" s="239" t="s">
        <v>111</v>
      </c>
      <c r="Q4" s="238" t="s">
        <v>590</v>
      </c>
      <c r="R4" s="239" t="s">
        <v>111</v>
      </c>
      <c r="S4" s="238" t="s">
        <v>590</v>
      </c>
      <c r="T4" s="239" t="s">
        <v>111</v>
      </c>
      <c r="U4" s="238" t="s">
        <v>590</v>
      </c>
      <c r="V4" s="239" t="s">
        <v>111</v>
      </c>
      <c r="W4" s="238" t="s">
        <v>590</v>
      </c>
      <c r="X4" s="239" t="s">
        <v>111</v>
      </c>
      <c r="Y4" s="238" t="s">
        <v>590</v>
      </c>
      <c r="Z4" s="239" t="s">
        <v>111</v>
      </c>
      <c r="AA4" s="238" t="s">
        <v>590</v>
      </c>
      <c r="AB4" s="239" t="s">
        <v>111</v>
      </c>
      <c r="AC4" s="238" t="s">
        <v>590</v>
      </c>
      <c r="AD4" s="237" t="s">
        <v>111</v>
      </c>
    </row>
    <row r="5" spans="1:30">
      <c r="B5" s="240"/>
      <c r="C5" s="1214"/>
      <c r="D5" s="1215"/>
      <c r="E5" s="242">
        <f>SUM(G5,I5,K5,M5,O5,Q5,S5,U5,W5,Y5,AA5,AC5)</f>
        <v>0</v>
      </c>
      <c r="F5" s="242">
        <f>SUM(H5,J5,L5,N5,P5,R5,T5,AB5,V5,X5,Z5,AD5)</f>
        <v>0</v>
      </c>
      <c r="G5" s="243"/>
      <c r="H5" s="243"/>
      <c r="I5" s="243"/>
      <c r="J5" s="243"/>
      <c r="K5" s="243"/>
      <c r="L5" s="243"/>
      <c r="M5" s="243"/>
      <c r="N5" s="243"/>
      <c r="O5" s="243"/>
      <c r="P5" s="243"/>
      <c r="Q5" s="243"/>
      <c r="R5" s="243"/>
      <c r="S5" s="243"/>
      <c r="T5" s="243"/>
      <c r="U5" s="243"/>
      <c r="V5" s="243"/>
      <c r="W5" s="243"/>
      <c r="X5" s="243"/>
      <c r="Y5" s="243"/>
      <c r="Z5" s="243"/>
      <c r="AA5" s="243"/>
      <c r="AB5" s="243"/>
      <c r="AC5" s="243"/>
      <c r="AD5" s="251"/>
    </row>
    <row r="6" spans="1:30" ht="13.5" thickBot="1">
      <c r="B6" s="240"/>
      <c r="C6" s="1214"/>
      <c r="D6" s="1215"/>
      <c r="E6" s="242">
        <f>SUM(G6,I6,K6,M6,O6,Q6,S6,U6,W6,Y6,AA6,AC6)</f>
        <v>0</v>
      </c>
      <c r="F6" s="242">
        <f>SUM(H6,J6,L6,N6,P6,R6,T6,AB6,V6,X6,Z6,AD6)</f>
        <v>0</v>
      </c>
      <c r="G6" s="243"/>
      <c r="H6" s="243"/>
      <c r="I6" s="243"/>
      <c r="J6" s="243"/>
      <c r="K6" s="243"/>
      <c r="L6" s="243"/>
      <c r="M6" s="243"/>
      <c r="N6" s="243"/>
      <c r="O6" s="243"/>
      <c r="P6" s="243"/>
      <c r="Q6" s="243"/>
      <c r="R6" s="243"/>
      <c r="S6" s="243"/>
      <c r="T6" s="243"/>
      <c r="U6" s="243"/>
      <c r="V6" s="243"/>
      <c r="W6" s="243"/>
      <c r="X6" s="243"/>
      <c r="Y6" s="243"/>
      <c r="Z6" s="243"/>
      <c r="AA6" s="243"/>
      <c r="AB6" s="243"/>
      <c r="AC6" s="243"/>
      <c r="AD6" s="251"/>
    </row>
    <row r="7" spans="1:30" ht="15.75" thickBot="1">
      <c r="B7" s="1190" t="s">
        <v>191</v>
      </c>
      <c r="C7" s="1191"/>
      <c r="D7" s="245">
        <f>SUBTOTAL(103,C$5:$C$6)</f>
        <v>0</v>
      </c>
      <c r="E7" s="247">
        <f>SUBTOTAL(109,E$5:$E$6)</f>
        <v>0</v>
      </c>
      <c r="F7" s="247">
        <f>SUBTOTAL(109,F$5:$F$6)</f>
        <v>0</v>
      </c>
      <c r="G7" s="247">
        <f>SUBTOTAL(103,G$5:$G$6)</f>
        <v>0</v>
      </c>
      <c r="H7" s="247">
        <f>SUBTOTAL(109,H$5:$H$6)</f>
        <v>0</v>
      </c>
      <c r="I7" s="247">
        <f>SUBTOTAL(103,I$5:$I$6)</f>
        <v>0</v>
      </c>
      <c r="J7" s="247">
        <f>SUBTOTAL(109,J$5:$J$6)</f>
        <v>0</v>
      </c>
      <c r="K7" s="247">
        <f>SUBTOTAL(103,K$5:$K$6)</f>
        <v>0</v>
      </c>
      <c r="L7" s="247">
        <f>SUBTOTAL(109,L$5:$L$6)</f>
        <v>0</v>
      </c>
      <c r="M7" s="247">
        <f>SUBTOTAL(103,M$5:$M$6)</f>
        <v>0</v>
      </c>
      <c r="N7" s="247">
        <f>SUBTOTAL(109,N$5:$N$6)</f>
        <v>0</v>
      </c>
      <c r="O7" s="247">
        <f>SUBTOTAL(103,O$5:$O$6)</f>
        <v>0</v>
      </c>
      <c r="P7" s="247">
        <f>SUBTOTAL(109,P$5:$P$6)</f>
        <v>0</v>
      </c>
      <c r="Q7" s="247">
        <f>SUBTOTAL(103,Q$5:$Q$6)</f>
        <v>0</v>
      </c>
      <c r="R7" s="247">
        <f>SUBTOTAL(109,R$5:$R$6)</f>
        <v>0</v>
      </c>
      <c r="S7" s="247">
        <f>SUBTOTAL(103,S$5:$S$6)</f>
        <v>0</v>
      </c>
      <c r="T7" s="247">
        <f>SUBTOTAL(109,T$5:$T$6)</f>
        <v>0</v>
      </c>
      <c r="U7" s="247">
        <f>SUBTOTAL(103,U$5:$U$6)</f>
        <v>0</v>
      </c>
      <c r="V7" s="247">
        <f>SUBTOTAL(109,V$5:$V$6)</f>
        <v>0</v>
      </c>
      <c r="W7" s="247">
        <f>SUBTOTAL(103,W$5:$W$6)</f>
        <v>0</v>
      </c>
      <c r="X7" s="247">
        <f>SUBTOTAL(109,X$5:$X$6)</f>
        <v>0</v>
      </c>
      <c r="Y7" s="247">
        <f>SUBTOTAL(103,Y$5:$Y$6)</f>
        <v>0</v>
      </c>
      <c r="Z7" s="247">
        <f>SUBTOTAL(109,Z$5:$Z$6)</f>
        <v>0</v>
      </c>
      <c r="AA7" s="247">
        <f>SUBTOTAL(103,AA$5:$AA$6)</f>
        <v>0</v>
      </c>
      <c r="AB7" s="247">
        <f>SUBTOTAL(109,AB$5:$AB$6)</f>
        <v>0</v>
      </c>
      <c r="AC7" s="247">
        <f>SUBTOTAL(103,AC$5:$AC$6)</f>
        <v>0</v>
      </c>
      <c r="AD7" s="248">
        <f>SUBTOTAL(109,AD$5:$AD$6)</f>
        <v>0</v>
      </c>
    </row>
    <row r="8" spans="1:30" ht="13.5" thickBot="1"/>
    <row r="9" spans="1:30" s="273" customFormat="1" ht="18" thickBot="1">
      <c r="A9" s="272">
        <v>2</v>
      </c>
      <c r="B9" s="1180" t="s">
        <v>604</v>
      </c>
      <c r="C9" s="1216"/>
      <c r="D9" s="1216"/>
      <c r="E9" s="1216"/>
      <c r="F9" s="1216"/>
      <c r="G9" s="1216"/>
      <c r="H9" s="1227"/>
    </row>
    <row r="10" spans="1:30" ht="30">
      <c r="B10" s="257" t="s">
        <v>584</v>
      </c>
      <c r="C10" s="258" t="s">
        <v>591</v>
      </c>
      <c r="D10" s="259" t="s">
        <v>605</v>
      </c>
      <c r="E10" s="259" t="s">
        <v>111</v>
      </c>
      <c r="F10" s="260" t="s">
        <v>586</v>
      </c>
      <c r="G10" s="1228" t="s">
        <v>587</v>
      </c>
      <c r="H10" s="1229"/>
    </row>
    <row r="11" spans="1:30">
      <c r="B11" s="262"/>
      <c r="C11" s="263"/>
      <c r="D11" s="264"/>
      <c r="E11" s="265"/>
      <c r="F11" s="265"/>
      <c r="G11" s="276"/>
      <c r="H11" s="277"/>
    </row>
    <row r="12" spans="1:30" ht="13.5" thickBot="1">
      <c r="B12" s="252"/>
      <c r="C12" s="267"/>
      <c r="D12" s="267"/>
      <c r="E12" s="268"/>
      <c r="F12" s="268"/>
      <c r="G12" s="1230"/>
      <c r="H12" s="1231"/>
    </row>
  </sheetData>
  <mergeCells count="22">
    <mergeCell ref="AA3:AB3"/>
    <mergeCell ref="AC3:AD3"/>
    <mergeCell ref="B2:AD2"/>
    <mergeCell ref="B3:B4"/>
    <mergeCell ref="C3:D4"/>
    <mergeCell ref="E3:F3"/>
    <mergeCell ref="G3:H3"/>
    <mergeCell ref="I3:J3"/>
    <mergeCell ref="K3:L3"/>
    <mergeCell ref="M3:N3"/>
    <mergeCell ref="O3:P3"/>
    <mergeCell ref="Q3:R3"/>
    <mergeCell ref="G12:H12"/>
    <mergeCell ref="S3:T3"/>
    <mergeCell ref="U3:V3"/>
    <mergeCell ref="W3:X3"/>
    <mergeCell ref="Y3:Z3"/>
    <mergeCell ref="C5:D5"/>
    <mergeCell ref="C6:D6"/>
    <mergeCell ref="B7:C7"/>
    <mergeCell ref="B9:H9"/>
    <mergeCell ref="G10:H10"/>
  </mergeCells>
  <dataValidations count="1">
    <dataValidation type="list" allowBlank="1" showInputMessage="1" showErrorMessage="1" sqref="IA65539:IA65540 RW65539:RW65540 ABS65539:ABS65540 ALO65539:ALO65540 AVK65539:AVK65540 BFG65539:BFG65540 BPC65539:BPC65540 BYY65539:BYY65540 CIU65539:CIU65540 CSQ65539:CSQ65540 DCM65539:DCM65540 DMI65539:DMI65540 DWE65539:DWE65540 EGA65539:EGA65540 EPW65539:EPW65540 EZS65539:EZS65540 FJO65539:FJO65540 FTK65539:FTK65540 GDG65539:GDG65540 GNC65539:GNC65540 GWY65539:GWY65540 HGU65539:HGU65540 HQQ65539:HQQ65540 IAM65539:IAM65540 IKI65539:IKI65540 IUE65539:IUE65540 JEA65539:JEA65540 JNW65539:JNW65540 JXS65539:JXS65540 KHO65539:KHO65540 KRK65539:KRK65540 LBG65539:LBG65540 LLC65539:LLC65540 LUY65539:LUY65540 MEU65539:MEU65540 MOQ65539:MOQ65540 MYM65539:MYM65540 NII65539:NII65540 NSE65539:NSE65540 OCA65539:OCA65540 OLW65539:OLW65540 OVS65539:OVS65540 PFO65539:PFO65540 PPK65539:PPK65540 PZG65539:PZG65540 QJC65539:QJC65540 QSY65539:QSY65540 RCU65539:RCU65540 RMQ65539:RMQ65540 RWM65539:RWM65540 SGI65539:SGI65540 SQE65539:SQE65540 TAA65539:TAA65540 TJW65539:TJW65540 TTS65539:TTS65540 UDO65539:UDO65540 UNK65539:UNK65540 UXG65539:UXG65540 VHC65539:VHC65540 VQY65539:VQY65540 WAU65539:WAU65540 WKQ65539:WKQ65540 WUM65539:WUM65540 IA131075:IA131076 RW131075:RW131076 ABS131075:ABS131076 ALO131075:ALO131076 AVK131075:AVK131076 BFG131075:BFG131076 BPC131075:BPC131076 BYY131075:BYY131076 CIU131075:CIU131076 CSQ131075:CSQ131076 DCM131075:DCM131076 DMI131075:DMI131076 DWE131075:DWE131076 EGA131075:EGA131076 EPW131075:EPW131076 EZS131075:EZS131076 FJO131075:FJO131076 FTK131075:FTK131076 GDG131075:GDG131076 GNC131075:GNC131076 GWY131075:GWY131076 HGU131075:HGU131076 HQQ131075:HQQ131076 IAM131075:IAM131076 IKI131075:IKI131076 IUE131075:IUE131076 JEA131075:JEA131076 JNW131075:JNW131076 JXS131075:JXS131076 KHO131075:KHO131076 KRK131075:KRK131076 LBG131075:LBG131076 LLC131075:LLC131076 LUY131075:LUY131076 MEU131075:MEU131076 MOQ131075:MOQ131076 MYM131075:MYM131076 NII131075:NII131076 NSE131075:NSE131076 OCA131075:OCA131076 OLW131075:OLW131076 OVS131075:OVS131076 PFO131075:PFO131076 PPK131075:PPK131076 PZG131075:PZG131076 QJC131075:QJC131076 QSY131075:QSY131076 RCU131075:RCU131076 RMQ131075:RMQ131076 RWM131075:RWM131076 SGI131075:SGI131076 SQE131075:SQE131076 TAA131075:TAA131076 TJW131075:TJW131076 TTS131075:TTS131076 UDO131075:UDO131076 UNK131075:UNK131076 UXG131075:UXG131076 VHC131075:VHC131076 VQY131075:VQY131076 WAU131075:WAU131076 WKQ131075:WKQ131076 WUM131075:WUM131076 IA196611:IA196612 RW196611:RW196612 ABS196611:ABS196612 ALO196611:ALO196612 AVK196611:AVK196612 BFG196611:BFG196612 BPC196611:BPC196612 BYY196611:BYY196612 CIU196611:CIU196612 CSQ196611:CSQ196612 DCM196611:DCM196612 DMI196611:DMI196612 DWE196611:DWE196612 EGA196611:EGA196612 EPW196611:EPW196612 EZS196611:EZS196612 FJO196611:FJO196612 FTK196611:FTK196612 GDG196611:GDG196612 GNC196611:GNC196612 GWY196611:GWY196612 HGU196611:HGU196612 HQQ196611:HQQ196612 IAM196611:IAM196612 IKI196611:IKI196612 IUE196611:IUE196612 JEA196611:JEA196612 JNW196611:JNW196612 JXS196611:JXS196612 KHO196611:KHO196612 KRK196611:KRK196612 LBG196611:LBG196612 LLC196611:LLC196612 LUY196611:LUY196612 MEU196611:MEU196612 MOQ196611:MOQ196612 MYM196611:MYM196612 NII196611:NII196612 NSE196611:NSE196612 OCA196611:OCA196612 OLW196611:OLW196612 OVS196611:OVS196612 PFO196611:PFO196612 PPK196611:PPK196612 PZG196611:PZG196612 QJC196611:QJC196612 QSY196611:QSY196612 RCU196611:RCU196612 RMQ196611:RMQ196612 RWM196611:RWM196612 SGI196611:SGI196612 SQE196611:SQE196612 TAA196611:TAA196612 TJW196611:TJW196612 TTS196611:TTS196612 UDO196611:UDO196612 UNK196611:UNK196612 UXG196611:UXG196612 VHC196611:VHC196612 VQY196611:VQY196612 WAU196611:WAU196612 WKQ196611:WKQ196612 WUM196611:WUM196612 IA262147:IA262148 RW262147:RW262148 ABS262147:ABS262148 ALO262147:ALO262148 AVK262147:AVK262148 BFG262147:BFG262148 BPC262147:BPC262148 BYY262147:BYY262148 CIU262147:CIU262148 CSQ262147:CSQ262148 DCM262147:DCM262148 DMI262147:DMI262148 DWE262147:DWE262148 EGA262147:EGA262148 EPW262147:EPW262148 EZS262147:EZS262148 FJO262147:FJO262148 FTK262147:FTK262148 GDG262147:GDG262148 GNC262147:GNC262148 GWY262147:GWY262148 HGU262147:HGU262148 HQQ262147:HQQ262148 IAM262147:IAM262148 IKI262147:IKI262148 IUE262147:IUE262148 JEA262147:JEA262148 JNW262147:JNW262148 JXS262147:JXS262148 KHO262147:KHO262148 KRK262147:KRK262148 LBG262147:LBG262148 LLC262147:LLC262148 LUY262147:LUY262148 MEU262147:MEU262148 MOQ262147:MOQ262148 MYM262147:MYM262148 NII262147:NII262148 NSE262147:NSE262148 OCA262147:OCA262148 OLW262147:OLW262148 OVS262147:OVS262148 PFO262147:PFO262148 PPK262147:PPK262148 PZG262147:PZG262148 QJC262147:QJC262148 QSY262147:QSY262148 RCU262147:RCU262148 RMQ262147:RMQ262148 RWM262147:RWM262148 SGI262147:SGI262148 SQE262147:SQE262148 TAA262147:TAA262148 TJW262147:TJW262148 TTS262147:TTS262148 UDO262147:UDO262148 UNK262147:UNK262148 UXG262147:UXG262148 VHC262147:VHC262148 VQY262147:VQY262148 WAU262147:WAU262148 WKQ262147:WKQ262148 WUM262147:WUM262148 IA327683:IA327684 RW327683:RW327684 ABS327683:ABS327684 ALO327683:ALO327684 AVK327683:AVK327684 BFG327683:BFG327684 BPC327683:BPC327684 BYY327683:BYY327684 CIU327683:CIU327684 CSQ327683:CSQ327684 DCM327683:DCM327684 DMI327683:DMI327684 DWE327683:DWE327684 EGA327683:EGA327684 EPW327683:EPW327684 EZS327683:EZS327684 FJO327683:FJO327684 FTK327683:FTK327684 GDG327683:GDG327684 GNC327683:GNC327684 GWY327683:GWY327684 HGU327683:HGU327684 HQQ327683:HQQ327684 IAM327683:IAM327684 IKI327683:IKI327684 IUE327683:IUE327684 JEA327683:JEA327684 JNW327683:JNW327684 JXS327683:JXS327684 KHO327683:KHO327684 KRK327683:KRK327684 LBG327683:LBG327684 LLC327683:LLC327684 LUY327683:LUY327684 MEU327683:MEU327684 MOQ327683:MOQ327684 MYM327683:MYM327684 NII327683:NII327684 NSE327683:NSE327684 OCA327683:OCA327684 OLW327683:OLW327684 OVS327683:OVS327684 PFO327683:PFO327684 PPK327683:PPK327684 PZG327683:PZG327684 QJC327683:QJC327684 QSY327683:QSY327684 RCU327683:RCU327684 RMQ327683:RMQ327684 RWM327683:RWM327684 SGI327683:SGI327684 SQE327683:SQE327684 TAA327683:TAA327684 TJW327683:TJW327684 TTS327683:TTS327684 UDO327683:UDO327684 UNK327683:UNK327684 UXG327683:UXG327684 VHC327683:VHC327684 VQY327683:VQY327684 WAU327683:WAU327684 WKQ327683:WKQ327684 WUM327683:WUM327684 IA393219:IA393220 RW393219:RW393220 ABS393219:ABS393220 ALO393219:ALO393220 AVK393219:AVK393220 BFG393219:BFG393220 BPC393219:BPC393220 BYY393219:BYY393220 CIU393219:CIU393220 CSQ393219:CSQ393220 DCM393219:DCM393220 DMI393219:DMI393220 DWE393219:DWE393220 EGA393219:EGA393220 EPW393219:EPW393220 EZS393219:EZS393220 FJO393219:FJO393220 FTK393219:FTK393220 GDG393219:GDG393220 GNC393219:GNC393220 GWY393219:GWY393220 HGU393219:HGU393220 HQQ393219:HQQ393220 IAM393219:IAM393220 IKI393219:IKI393220 IUE393219:IUE393220 JEA393219:JEA393220 JNW393219:JNW393220 JXS393219:JXS393220 KHO393219:KHO393220 KRK393219:KRK393220 LBG393219:LBG393220 LLC393219:LLC393220 LUY393219:LUY393220 MEU393219:MEU393220 MOQ393219:MOQ393220 MYM393219:MYM393220 NII393219:NII393220 NSE393219:NSE393220 OCA393219:OCA393220 OLW393219:OLW393220 OVS393219:OVS393220 PFO393219:PFO393220 PPK393219:PPK393220 PZG393219:PZG393220 QJC393219:QJC393220 QSY393219:QSY393220 RCU393219:RCU393220 RMQ393219:RMQ393220 RWM393219:RWM393220 SGI393219:SGI393220 SQE393219:SQE393220 TAA393219:TAA393220 TJW393219:TJW393220 TTS393219:TTS393220 UDO393219:UDO393220 UNK393219:UNK393220 UXG393219:UXG393220 VHC393219:VHC393220 VQY393219:VQY393220 WAU393219:WAU393220 WKQ393219:WKQ393220 WUM393219:WUM393220 IA458755:IA458756 RW458755:RW458756 ABS458755:ABS458756 ALO458755:ALO458756 AVK458755:AVK458756 BFG458755:BFG458756 BPC458755:BPC458756 BYY458755:BYY458756 CIU458755:CIU458756 CSQ458755:CSQ458756 DCM458755:DCM458756 DMI458755:DMI458756 DWE458755:DWE458756 EGA458755:EGA458756 EPW458755:EPW458756 EZS458755:EZS458756 FJO458755:FJO458756 FTK458755:FTK458756 GDG458755:GDG458756 GNC458755:GNC458756 GWY458755:GWY458756 HGU458755:HGU458756 HQQ458755:HQQ458756 IAM458755:IAM458756 IKI458755:IKI458756 IUE458755:IUE458756 JEA458755:JEA458756 JNW458755:JNW458756 JXS458755:JXS458756 KHO458755:KHO458756 KRK458755:KRK458756 LBG458755:LBG458756 LLC458755:LLC458756 LUY458755:LUY458756 MEU458755:MEU458756 MOQ458755:MOQ458756 MYM458755:MYM458756 NII458755:NII458756 NSE458755:NSE458756 OCA458755:OCA458756 OLW458755:OLW458756 OVS458755:OVS458756 PFO458755:PFO458756 PPK458755:PPK458756 PZG458755:PZG458756 QJC458755:QJC458756 QSY458755:QSY458756 RCU458755:RCU458756 RMQ458755:RMQ458756 RWM458755:RWM458756 SGI458755:SGI458756 SQE458755:SQE458756 TAA458755:TAA458756 TJW458755:TJW458756 TTS458755:TTS458756 UDO458755:UDO458756 UNK458755:UNK458756 UXG458755:UXG458756 VHC458755:VHC458756 VQY458755:VQY458756 WAU458755:WAU458756 WKQ458755:WKQ458756 WUM458755:WUM458756 IA524291:IA524292 RW524291:RW524292 ABS524291:ABS524292 ALO524291:ALO524292 AVK524291:AVK524292 BFG524291:BFG524292 BPC524291:BPC524292 BYY524291:BYY524292 CIU524291:CIU524292 CSQ524291:CSQ524292 DCM524291:DCM524292 DMI524291:DMI524292 DWE524291:DWE524292 EGA524291:EGA524292 EPW524291:EPW524292 EZS524291:EZS524292 FJO524291:FJO524292 FTK524291:FTK524292 GDG524291:GDG524292 GNC524291:GNC524292 GWY524291:GWY524292 HGU524291:HGU524292 HQQ524291:HQQ524292 IAM524291:IAM524292 IKI524291:IKI524292 IUE524291:IUE524292 JEA524291:JEA524292 JNW524291:JNW524292 JXS524291:JXS524292 KHO524291:KHO524292 KRK524291:KRK524292 LBG524291:LBG524292 LLC524291:LLC524292 LUY524291:LUY524292 MEU524291:MEU524292 MOQ524291:MOQ524292 MYM524291:MYM524292 NII524291:NII524292 NSE524291:NSE524292 OCA524291:OCA524292 OLW524291:OLW524292 OVS524291:OVS524292 PFO524291:PFO524292 PPK524291:PPK524292 PZG524291:PZG524292 QJC524291:QJC524292 QSY524291:QSY524292 RCU524291:RCU524292 RMQ524291:RMQ524292 RWM524291:RWM524292 SGI524291:SGI524292 SQE524291:SQE524292 TAA524291:TAA524292 TJW524291:TJW524292 TTS524291:TTS524292 UDO524291:UDO524292 UNK524291:UNK524292 UXG524291:UXG524292 VHC524291:VHC524292 VQY524291:VQY524292 WAU524291:WAU524292 WKQ524291:WKQ524292 WUM524291:WUM524292 IA589827:IA589828 RW589827:RW589828 ABS589827:ABS589828 ALO589827:ALO589828 AVK589827:AVK589828 BFG589827:BFG589828 BPC589827:BPC589828 BYY589827:BYY589828 CIU589827:CIU589828 CSQ589827:CSQ589828 DCM589827:DCM589828 DMI589827:DMI589828 DWE589827:DWE589828 EGA589827:EGA589828 EPW589827:EPW589828 EZS589827:EZS589828 FJO589827:FJO589828 FTK589827:FTK589828 GDG589827:GDG589828 GNC589827:GNC589828 GWY589827:GWY589828 HGU589827:HGU589828 HQQ589827:HQQ589828 IAM589827:IAM589828 IKI589827:IKI589828 IUE589827:IUE589828 JEA589827:JEA589828 JNW589827:JNW589828 JXS589827:JXS589828 KHO589827:KHO589828 KRK589827:KRK589828 LBG589827:LBG589828 LLC589827:LLC589828 LUY589827:LUY589828 MEU589827:MEU589828 MOQ589827:MOQ589828 MYM589827:MYM589828 NII589827:NII589828 NSE589827:NSE589828 OCA589827:OCA589828 OLW589827:OLW589828 OVS589827:OVS589828 PFO589827:PFO589828 PPK589827:PPK589828 PZG589827:PZG589828 QJC589827:QJC589828 QSY589827:QSY589828 RCU589827:RCU589828 RMQ589827:RMQ589828 RWM589827:RWM589828 SGI589827:SGI589828 SQE589827:SQE589828 TAA589827:TAA589828 TJW589827:TJW589828 TTS589827:TTS589828 UDO589827:UDO589828 UNK589827:UNK589828 UXG589827:UXG589828 VHC589827:VHC589828 VQY589827:VQY589828 WAU589827:WAU589828 WKQ589827:WKQ589828 WUM589827:WUM589828 IA655363:IA655364 RW655363:RW655364 ABS655363:ABS655364 ALO655363:ALO655364 AVK655363:AVK655364 BFG655363:BFG655364 BPC655363:BPC655364 BYY655363:BYY655364 CIU655363:CIU655364 CSQ655363:CSQ655364 DCM655363:DCM655364 DMI655363:DMI655364 DWE655363:DWE655364 EGA655363:EGA655364 EPW655363:EPW655364 EZS655363:EZS655364 FJO655363:FJO655364 FTK655363:FTK655364 GDG655363:GDG655364 GNC655363:GNC655364 GWY655363:GWY655364 HGU655363:HGU655364 HQQ655363:HQQ655364 IAM655363:IAM655364 IKI655363:IKI655364 IUE655363:IUE655364 JEA655363:JEA655364 JNW655363:JNW655364 JXS655363:JXS655364 KHO655363:KHO655364 KRK655363:KRK655364 LBG655363:LBG655364 LLC655363:LLC655364 LUY655363:LUY655364 MEU655363:MEU655364 MOQ655363:MOQ655364 MYM655363:MYM655364 NII655363:NII655364 NSE655363:NSE655364 OCA655363:OCA655364 OLW655363:OLW655364 OVS655363:OVS655364 PFO655363:PFO655364 PPK655363:PPK655364 PZG655363:PZG655364 QJC655363:QJC655364 QSY655363:QSY655364 RCU655363:RCU655364 RMQ655363:RMQ655364 RWM655363:RWM655364 SGI655363:SGI655364 SQE655363:SQE655364 TAA655363:TAA655364 TJW655363:TJW655364 TTS655363:TTS655364 UDO655363:UDO655364 UNK655363:UNK655364 UXG655363:UXG655364 VHC655363:VHC655364 VQY655363:VQY655364 WAU655363:WAU655364 WKQ655363:WKQ655364 WUM655363:WUM655364 IA720899:IA720900 RW720899:RW720900 ABS720899:ABS720900 ALO720899:ALO720900 AVK720899:AVK720900 BFG720899:BFG720900 BPC720899:BPC720900 BYY720899:BYY720900 CIU720899:CIU720900 CSQ720899:CSQ720900 DCM720899:DCM720900 DMI720899:DMI720900 DWE720899:DWE720900 EGA720899:EGA720900 EPW720899:EPW720900 EZS720899:EZS720900 FJO720899:FJO720900 FTK720899:FTK720900 GDG720899:GDG720900 GNC720899:GNC720900 GWY720899:GWY720900 HGU720899:HGU720900 HQQ720899:HQQ720900 IAM720899:IAM720900 IKI720899:IKI720900 IUE720899:IUE720900 JEA720899:JEA720900 JNW720899:JNW720900 JXS720899:JXS720900 KHO720899:KHO720900 KRK720899:KRK720900 LBG720899:LBG720900 LLC720899:LLC720900 LUY720899:LUY720900 MEU720899:MEU720900 MOQ720899:MOQ720900 MYM720899:MYM720900 NII720899:NII720900 NSE720899:NSE720900 OCA720899:OCA720900 OLW720899:OLW720900 OVS720899:OVS720900 PFO720899:PFO720900 PPK720899:PPK720900 PZG720899:PZG720900 QJC720899:QJC720900 QSY720899:QSY720900 RCU720899:RCU720900 RMQ720899:RMQ720900 RWM720899:RWM720900 SGI720899:SGI720900 SQE720899:SQE720900 TAA720899:TAA720900 TJW720899:TJW720900 TTS720899:TTS720900 UDO720899:UDO720900 UNK720899:UNK720900 UXG720899:UXG720900 VHC720899:VHC720900 VQY720899:VQY720900 WAU720899:WAU720900 WKQ720899:WKQ720900 WUM720899:WUM720900 IA786435:IA786436 RW786435:RW786436 ABS786435:ABS786436 ALO786435:ALO786436 AVK786435:AVK786436 BFG786435:BFG786436 BPC786435:BPC786436 BYY786435:BYY786436 CIU786435:CIU786436 CSQ786435:CSQ786436 DCM786435:DCM786436 DMI786435:DMI786436 DWE786435:DWE786436 EGA786435:EGA786436 EPW786435:EPW786436 EZS786435:EZS786436 FJO786435:FJO786436 FTK786435:FTK786436 GDG786435:GDG786436 GNC786435:GNC786436 GWY786435:GWY786436 HGU786435:HGU786436 HQQ786435:HQQ786436 IAM786435:IAM786436 IKI786435:IKI786436 IUE786435:IUE786436 JEA786435:JEA786436 JNW786435:JNW786436 JXS786435:JXS786436 KHO786435:KHO786436 KRK786435:KRK786436 LBG786435:LBG786436 LLC786435:LLC786436 LUY786435:LUY786436 MEU786435:MEU786436 MOQ786435:MOQ786436 MYM786435:MYM786436 NII786435:NII786436 NSE786435:NSE786436 OCA786435:OCA786436 OLW786435:OLW786436 OVS786435:OVS786436 PFO786435:PFO786436 PPK786435:PPK786436 PZG786435:PZG786436 QJC786435:QJC786436 QSY786435:QSY786436 RCU786435:RCU786436 RMQ786435:RMQ786436 RWM786435:RWM786436 SGI786435:SGI786436 SQE786435:SQE786436 TAA786435:TAA786436 TJW786435:TJW786436 TTS786435:TTS786436 UDO786435:UDO786436 UNK786435:UNK786436 UXG786435:UXG786436 VHC786435:VHC786436 VQY786435:VQY786436 WAU786435:WAU786436 WKQ786435:WKQ786436 WUM786435:WUM786436 IA851971:IA851972 RW851971:RW851972 ABS851971:ABS851972 ALO851971:ALO851972 AVK851971:AVK851972 BFG851971:BFG851972 BPC851971:BPC851972 BYY851971:BYY851972 CIU851971:CIU851972 CSQ851971:CSQ851972 DCM851971:DCM851972 DMI851971:DMI851972 DWE851971:DWE851972 EGA851971:EGA851972 EPW851971:EPW851972 EZS851971:EZS851972 FJO851971:FJO851972 FTK851971:FTK851972 GDG851971:GDG851972 GNC851971:GNC851972 GWY851971:GWY851972 HGU851971:HGU851972 HQQ851971:HQQ851972 IAM851971:IAM851972 IKI851971:IKI851972 IUE851971:IUE851972 JEA851971:JEA851972 JNW851971:JNW851972 JXS851971:JXS851972 KHO851971:KHO851972 KRK851971:KRK851972 LBG851971:LBG851972 LLC851971:LLC851972 LUY851971:LUY851972 MEU851971:MEU851972 MOQ851971:MOQ851972 MYM851971:MYM851972 NII851971:NII851972 NSE851971:NSE851972 OCA851971:OCA851972 OLW851971:OLW851972 OVS851971:OVS851972 PFO851971:PFO851972 PPK851971:PPK851972 PZG851971:PZG851972 QJC851971:QJC851972 QSY851971:QSY851972 RCU851971:RCU851972 RMQ851971:RMQ851972 RWM851971:RWM851972 SGI851971:SGI851972 SQE851971:SQE851972 TAA851971:TAA851972 TJW851971:TJW851972 TTS851971:TTS851972 UDO851971:UDO851972 UNK851971:UNK851972 UXG851971:UXG851972 VHC851971:VHC851972 VQY851971:VQY851972 WAU851971:WAU851972 WKQ851971:WKQ851972 WUM851971:WUM851972 IA917507:IA917508 RW917507:RW917508 ABS917507:ABS917508 ALO917507:ALO917508 AVK917507:AVK917508 BFG917507:BFG917508 BPC917507:BPC917508 BYY917507:BYY917508 CIU917507:CIU917508 CSQ917507:CSQ917508 DCM917507:DCM917508 DMI917507:DMI917508 DWE917507:DWE917508 EGA917507:EGA917508 EPW917507:EPW917508 EZS917507:EZS917508 FJO917507:FJO917508 FTK917507:FTK917508 GDG917507:GDG917508 GNC917507:GNC917508 GWY917507:GWY917508 HGU917507:HGU917508 HQQ917507:HQQ917508 IAM917507:IAM917508 IKI917507:IKI917508 IUE917507:IUE917508 JEA917507:JEA917508 JNW917507:JNW917508 JXS917507:JXS917508 KHO917507:KHO917508 KRK917507:KRK917508 LBG917507:LBG917508 LLC917507:LLC917508 LUY917507:LUY917508 MEU917507:MEU917508 MOQ917507:MOQ917508 MYM917507:MYM917508 NII917507:NII917508 NSE917507:NSE917508 OCA917507:OCA917508 OLW917507:OLW917508 OVS917507:OVS917508 PFO917507:PFO917508 PPK917507:PPK917508 PZG917507:PZG917508 QJC917507:QJC917508 QSY917507:QSY917508 RCU917507:RCU917508 RMQ917507:RMQ917508 RWM917507:RWM917508 SGI917507:SGI917508 SQE917507:SQE917508 TAA917507:TAA917508 TJW917507:TJW917508 TTS917507:TTS917508 UDO917507:UDO917508 UNK917507:UNK917508 UXG917507:UXG917508 VHC917507:VHC917508 VQY917507:VQY917508 WAU917507:WAU917508 WKQ917507:WKQ917508 WUM917507:WUM917508 IA983043:IA983044 RW983043:RW983044 ABS983043:ABS983044 ALO983043:ALO983044 AVK983043:AVK983044 BFG983043:BFG983044 BPC983043:BPC983044 BYY983043:BYY983044 CIU983043:CIU983044 CSQ983043:CSQ983044 DCM983043:DCM983044 DMI983043:DMI983044 DWE983043:DWE983044 EGA983043:EGA983044 EPW983043:EPW983044 EZS983043:EZS983044 FJO983043:FJO983044 FTK983043:FTK983044 GDG983043:GDG983044 GNC983043:GNC983044 GWY983043:GWY983044 HGU983043:HGU983044 HQQ983043:HQQ983044 IAM983043:IAM983044 IKI983043:IKI983044 IUE983043:IUE983044 JEA983043:JEA983044 JNW983043:JNW983044 JXS983043:JXS983044 KHO983043:KHO983044 KRK983043:KRK983044 LBG983043:LBG983044 LLC983043:LLC983044 LUY983043:LUY983044 MEU983043:MEU983044 MOQ983043:MOQ983044 MYM983043:MYM983044 NII983043:NII983044 NSE983043:NSE983044 OCA983043:OCA983044 OLW983043:OLW983044 OVS983043:OVS983044 PFO983043:PFO983044 PPK983043:PPK983044 PZG983043:PZG983044 QJC983043:QJC983044 QSY983043:QSY983044 RCU983043:RCU983044 RMQ983043:RMQ983044 RWM983043:RWM983044 SGI983043:SGI983044 SQE983043:SQE983044 TAA983043:TAA983044 TJW983043:TJW983044 TTS983043:TTS983044 UDO983043:UDO983044 UNK983043:UNK983044 UXG983043:UXG983044 VHC983043:VHC983044 VQY983043:VQY983044 WAU983043:WAU983044 WKQ983043:WKQ983044 WUM983043:WUM983044 RT5:RT6 ABP5:ABP6 ALL5:ALL6 AVH5:AVH6 BFD5:BFD6 BOZ5:BOZ6 BYV5:BYV6 CIR5:CIR6 CSN5:CSN6 DCJ5:DCJ6 DMF5:DMF6 DWB5:DWB6 EFX5:EFX6 EPT5:EPT6 EZP5:EZP6 FJL5:FJL6 FTH5:FTH6 GDD5:GDD6 GMZ5:GMZ6 GWV5:GWV6 HGR5:HGR6 HQN5:HQN6 IAJ5:IAJ6 IKF5:IKF6 IUB5:IUB6 JDX5:JDX6 JNT5:JNT6 JXP5:JXP6 KHL5:KHL6 KRH5:KRH6 LBD5:LBD6 LKZ5:LKZ6 LUV5:LUV6 MER5:MER6 MON5:MON6 MYJ5:MYJ6 NIF5:NIF6 NSB5:NSB6 OBX5:OBX6 OLT5:OLT6 OVP5:OVP6 PFL5:PFL6 PPH5:PPH6 PZD5:PZD6 QIZ5:QIZ6 QSV5:QSV6 RCR5:RCR6 RMN5:RMN6 RWJ5:RWJ6 SGF5:SGF6 SQB5:SQB6 SZX5:SZX6 TJT5:TJT6 TTP5:TTP6 UDL5:UDL6 UNH5:UNH6 UXD5:UXD6 VGZ5:VGZ6 VQV5:VQV6 WAR5:WAR6 WKN5:WKN6 WUJ5:WUJ6 HX5:HX6" xr:uid="{11B67DC4-4840-4784-BD4B-CC386631674D}">
      <formula1>"Home Loan, LAP,Vehicle Loan,CVL, Personal Loan,Business Loan, CC/OD,Term Loan,Machinery Loan,Education Loan"</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whole" allowBlank="1" showInputMessage="1" showErrorMessage="1" errorTitle="Error" error="Not a valid Date" promptTitle="Date" prompt="Insert a date (DD)" xr:uid="{6F9F6AE8-C338-4004-98AC-7F69B4AA4B79}">
          <x14:formula1>
            <xm:f>1</xm:f>
          </x14:formula1>
          <x14:formula2>
            <xm:f>31</xm:f>
          </x14:formula2>
          <xm:sqref>J65540:J65541 IO65539:IO65540 SK65539:SK65540 ACG65539:ACG65540 AMC65539:AMC65540 AVY65539:AVY65540 BFU65539:BFU65540 BPQ65539:BPQ65540 BZM65539:BZM65540 CJI65539:CJI65540 CTE65539:CTE65540 DDA65539:DDA65540 DMW65539:DMW65540 DWS65539:DWS65540 EGO65539:EGO65540 EQK65539:EQK65540 FAG65539:FAG65540 FKC65539:FKC65540 FTY65539:FTY65540 GDU65539:GDU65540 GNQ65539:GNQ65540 GXM65539:GXM65540 HHI65539:HHI65540 HRE65539:HRE65540 IBA65539:IBA65540 IKW65539:IKW65540 IUS65539:IUS65540 JEO65539:JEO65540 JOK65539:JOK65540 JYG65539:JYG65540 KIC65539:KIC65540 KRY65539:KRY65540 LBU65539:LBU65540 LLQ65539:LLQ65540 LVM65539:LVM65540 MFI65539:MFI65540 MPE65539:MPE65540 MZA65539:MZA65540 NIW65539:NIW65540 NSS65539:NSS65540 OCO65539:OCO65540 OMK65539:OMK65540 OWG65539:OWG65540 PGC65539:PGC65540 PPY65539:PPY65540 PZU65539:PZU65540 QJQ65539:QJQ65540 QTM65539:QTM65540 RDI65539:RDI65540 RNE65539:RNE65540 RXA65539:RXA65540 SGW65539:SGW65540 SQS65539:SQS65540 TAO65539:TAO65540 TKK65539:TKK65540 TUG65539:TUG65540 UEC65539:UEC65540 UNY65539:UNY65540 UXU65539:UXU65540 VHQ65539:VHQ65540 VRM65539:VRM65540 WBI65539:WBI65540 WLE65539:WLE65540 WVA65539:WVA65540 J131076:J131077 IO131075:IO131076 SK131075:SK131076 ACG131075:ACG131076 AMC131075:AMC131076 AVY131075:AVY131076 BFU131075:BFU131076 BPQ131075:BPQ131076 BZM131075:BZM131076 CJI131075:CJI131076 CTE131075:CTE131076 DDA131075:DDA131076 DMW131075:DMW131076 DWS131075:DWS131076 EGO131075:EGO131076 EQK131075:EQK131076 FAG131075:FAG131076 FKC131075:FKC131076 FTY131075:FTY131076 GDU131075:GDU131076 GNQ131075:GNQ131076 GXM131075:GXM131076 HHI131075:HHI131076 HRE131075:HRE131076 IBA131075:IBA131076 IKW131075:IKW131076 IUS131075:IUS131076 JEO131075:JEO131076 JOK131075:JOK131076 JYG131075:JYG131076 KIC131075:KIC131076 KRY131075:KRY131076 LBU131075:LBU131076 LLQ131075:LLQ131076 LVM131075:LVM131076 MFI131075:MFI131076 MPE131075:MPE131076 MZA131075:MZA131076 NIW131075:NIW131076 NSS131075:NSS131076 OCO131075:OCO131076 OMK131075:OMK131076 OWG131075:OWG131076 PGC131075:PGC131076 PPY131075:PPY131076 PZU131075:PZU131076 QJQ131075:QJQ131076 QTM131075:QTM131076 RDI131075:RDI131076 RNE131075:RNE131076 RXA131075:RXA131076 SGW131075:SGW131076 SQS131075:SQS131076 TAO131075:TAO131076 TKK131075:TKK131076 TUG131075:TUG131076 UEC131075:UEC131076 UNY131075:UNY131076 UXU131075:UXU131076 VHQ131075:VHQ131076 VRM131075:VRM131076 WBI131075:WBI131076 WLE131075:WLE131076 WVA131075:WVA131076 J196612:J196613 IO196611:IO196612 SK196611:SK196612 ACG196611:ACG196612 AMC196611:AMC196612 AVY196611:AVY196612 BFU196611:BFU196612 BPQ196611:BPQ196612 BZM196611:BZM196612 CJI196611:CJI196612 CTE196611:CTE196612 DDA196611:DDA196612 DMW196611:DMW196612 DWS196611:DWS196612 EGO196611:EGO196612 EQK196611:EQK196612 FAG196611:FAG196612 FKC196611:FKC196612 FTY196611:FTY196612 GDU196611:GDU196612 GNQ196611:GNQ196612 GXM196611:GXM196612 HHI196611:HHI196612 HRE196611:HRE196612 IBA196611:IBA196612 IKW196611:IKW196612 IUS196611:IUS196612 JEO196611:JEO196612 JOK196611:JOK196612 JYG196611:JYG196612 KIC196611:KIC196612 KRY196611:KRY196612 LBU196611:LBU196612 LLQ196611:LLQ196612 LVM196611:LVM196612 MFI196611:MFI196612 MPE196611:MPE196612 MZA196611:MZA196612 NIW196611:NIW196612 NSS196611:NSS196612 OCO196611:OCO196612 OMK196611:OMK196612 OWG196611:OWG196612 PGC196611:PGC196612 PPY196611:PPY196612 PZU196611:PZU196612 QJQ196611:QJQ196612 QTM196611:QTM196612 RDI196611:RDI196612 RNE196611:RNE196612 RXA196611:RXA196612 SGW196611:SGW196612 SQS196611:SQS196612 TAO196611:TAO196612 TKK196611:TKK196612 TUG196611:TUG196612 UEC196611:UEC196612 UNY196611:UNY196612 UXU196611:UXU196612 VHQ196611:VHQ196612 VRM196611:VRM196612 WBI196611:WBI196612 WLE196611:WLE196612 WVA196611:WVA196612 J262148:J262149 IO262147:IO262148 SK262147:SK262148 ACG262147:ACG262148 AMC262147:AMC262148 AVY262147:AVY262148 BFU262147:BFU262148 BPQ262147:BPQ262148 BZM262147:BZM262148 CJI262147:CJI262148 CTE262147:CTE262148 DDA262147:DDA262148 DMW262147:DMW262148 DWS262147:DWS262148 EGO262147:EGO262148 EQK262147:EQK262148 FAG262147:FAG262148 FKC262147:FKC262148 FTY262147:FTY262148 GDU262147:GDU262148 GNQ262147:GNQ262148 GXM262147:GXM262148 HHI262147:HHI262148 HRE262147:HRE262148 IBA262147:IBA262148 IKW262147:IKW262148 IUS262147:IUS262148 JEO262147:JEO262148 JOK262147:JOK262148 JYG262147:JYG262148 KIC262147:KIC262148 KRY262147:KRY262148 LBU262147:LBU262148 LLQ262147:LLQ262148 LVM262147:LVM262148 MFI262147:MFI262148 MPE262147:MPE262148 MZA262147:MZA262148 NIW262147:NIW262148 NSS262147:NSS262148 OCO262147:OCO262148 OMK262147:OMK262148 OWG262147:OWG262148 PGC262147:PGC262148 PPY262147:PPY262148 PZU262147:PZU262148 QJQ262147:QJQ262148 QTM262147:QTM262148 RDI262147:RDI262148 RNE262147:RNE262148 RXA262147:RXA262148 SGW262147:SGW262148 SQS262147:SQS262148 TAO262147:TAO262148 TKK262147:TKK262148 TUG262147:TUG262148 UEC262147:UEC262148 UNY262147:UNY262148 UXU262147:UXU262148 VHQ262147:VHQ262148 VRM262147:VRM262148 WBI262147:WBI262148 WLE262147:WLE262148 WVA262147:WVA262148 J327684:J327685 IO327683:IO327684 SK327683:SK327684 ACG327683:ACG327684 AMC327683:AMC327684 AVY327683:AVY327684 BFU327683:BFU327684 BPQ327683:BPQ327684 BZM327683:BZM327684 CJI327683:CJI327684 CTE327683:CTE327684 DDA327683:DDA327684 DMW327683:DMW327684 DWS327683:DWS327684 EGO327683:EGO327684 EQK327683:EQK327684 FAG327683:FAG327684 FKC327683:FKC327684 FTY327683:FTY327684 GDU327683:GDU327684 GNQ327683:GNQ327684 GXM327683:GXM327684 HHI327683:HHI327684 HRE327683:HRE327684 IBA327683:IBA327684 IKW327683:IKW327684 IUS327683:IUS327684 JEO327683:JEO327684 JOK327683:JOK327684 JYG327683:JYG327684 KIC327683:KIC327684 KRY327683:KRY327684 LBU327683:LBU327684 LLQ327683:LLQ327684 LVM327683:LVM327684 MFI327683:MFI327684 MPE327683:MPE327684 MZA327683:MZA327684 NIW327683:NIW327684 NSS327683:NSS327684 OCO327683:OCO327684 OMK327683:OMK327684 OWG327683:OWG327684 PGC327683:PGC327684 PPY327683:PPY327684 PZU327683:PZU327684 QJQ327683:QJQ327684 QTM327683:QTM327684 RDI327683:RDI327684 RNE327683:RNE327684 RXA327683:RXA327684 SGW327683:SGW327684 SQS327683:SQS327684 TAO327683:TAO327684 TKK327683:TKK327684 TUG327683:TUG327684 UEC327683:UEC327684 UNY327683:UNY327684 UXU327683:UXU327684 VHQ327683:VHQ327684 VRM327683:VRM327684 WBI327683:WBI327684 WLE327683:WLE327684 WVA327683:WVA327684 J393220:J393221 IO393219:IO393220 SK393219:SK393220 ACG393219:ACG393220 AMC393219:AMC393220 AVY393219:AVY393220 BFU393219:BFU393220 BPQ393219:BPQ393220 BZM393219:BZM393220 CJI393219:CJI393220 CTE393219:CTE393220 DDA393219:DDA393220 DMW393219:DMW393220 DWS393219:DWS393220 EGO393219:EGO393220 EQK393219:EQK393220 FAG393219:FAG393220 FKC393219:FKC393220 FTY393219:FTY393220 GDU393219:GDU393220 GNQ393219:GNQ393220 GXM393219:GXM393220 HHI393219:HHI393220 HRE393219:HRE393220 IBA393219:IBA393220 IKW393219:IKW393220 IUS393219:IUS393220 JEO393219:JEO393220 JOK393219:JOK393220 JYG393219:JYG393220 KIC393219:KIC393220 KRY393219:KRY393220 LBU393219:LBU393220 LLQ393219:LLQ393220 LVM393219:LVM393220 MFI393219:MFI393220 MPE393219:MPE393220 MZA393219:MZA393220 NIW393219:NIW393220 NSS393219:NSS393220 OCO393219:OCO393220 OMK393219:OMK393220 OWG393219:OWG393220 PGC393219:PGC393220 PPY393219:PPY393220 PZU393219:PZU393220 QJQ393219:QJQ393220 QTM393219:QTM393220 RDI393219:RDI393220 RNE393219:RNE393220 RXA393219:RXA393220 SGW393219:SGW393220 SQS393219:SQS393220 TAO393219:TAO393220 TKK393219:TKK393220 TUG393219:TUG393220 UEC393219:UEC393220 UNY393219:UNY393220 UXU393219:UXU393220 VHQ393219:VHQ393220 VRM393219:VRM393220 WBI393219:WBI393220 WLE393219:WLE393220 WVA393219:WVA393220 J458756:J458757 IO458755:IO458756 SK458755:SK458756 ACG458755:ACG458756 AMC458755:AMC458756 AVY458755:AVY458756 BFU458755:BFU458756 BPQ458755:BPQ458756 BZM458755:BZM458756 CJI458755:CJI458756 CTE458755:CTE458756 DDA458755:DDA458756 DMW458755:DMW458756 DWS458755:DWS458756 EGO458755:EGO458756 EQK458755:EQK458756 FAG458755:FAG458756 FKC458755:FKC458756 FTY458755:FTY458756 GDU458755:GDU458756 GNQ458755:GNQ458756 GXM458755:GXM458756 HHI458755:HHI458756 HRE458755:HRE458756 IBA458755:IBA458756 IKW458755:IKW458756 IUS458755:IUS458756 JEO458755:JEO458756 JOK458755:JOK458756 JYG458755:JYG458756 KIC458755:KIC458756 KRY458755:KRY458756 LBU458755:LBU458756 LLQ458755:LLQ458756 LVM458755:LVM458756 MFI458755:MFI458756 MPE458755:MPE458756 MZA458755:MZA458756 NIW458755:NIW458756 NSS458755:NSS458756 OCO458755:OCO458756 OMK458755:OMK458756 OWG458755:OWG458756 PGC458755:PGC458756 PPY458755:PPY458756 PZU458755:PZU458756 QJQ458755:QJQ458756 QTM458755:QTM458756 RDI458755:RDI458756 RNE458755:RNE458756 RXA458755:RXA458756 SGW458755:SGW458756 SQS458755:SQS458756 TAO458755:TAO458756 TKK458755:TKK458756 TUG458755:TUG458756 UEC458755:UEC458756 UNY458755:UNY458756 UXU458755:UXU458756 VHQ458755:VHQ458756 VRM458755:VRM458756 WBI458755:WBI458756 WLE458755:WLE458756 WVA458755:WVA458756 J524292:J524293 IO524291:IO524292 SK524291:SK524292 ACG524291:ACG524292 AMC524291:AMC524292 AVY524291:AVY524292 BFU524291:BFU524292 BPQ524291:BPQ524292 BZM524291:BZM524292 CJI524291:CJI524292 CTE524291:CTE524292 DDA524291:DDA524292 DMW524291:DMW524292 DWS524291:DWS524292 EGO524291:EGO524292 EQK524291:EQK524292 FAG524291:FAG524292 FKC524291:FKC524292 FTY524291:FTY524292 GDU524291:GDU524292 GNQ524291:GNQ524292 GXM524291:GXM524292 HHI524291:HHI524292 HRE524291:HRE524292 IBA524291:IBA524292 IKW524291:IKW524292 IUS524291:IUS524292 JEO524291:JEO524292 JOK524291:JOK524292 JYG524291:JYG524292 KIC524291:KIC524292 KRY524291:KRY524292 LBU524291:LBU524292 LLQ524291:LLQ524292 LVM524291:LVM524292 MFI524291:MFI524292 MPE524291:MPE524292 MZA524291:MZA524292 NIW524291:NIW524292 NSS524291:NSS524292 OCO524291:OCO524292 OMK524291:OMK524292 OWG524291:OWG524292 PGC524291:PGC524292 PPY524291:PPY524292 PZU524291:PZU524292 QJQ524291:QJQ524292 QTM524291:QTM524292 RDI524291:RDI524292 RNE524291:RNE524292 RXA524291:RXA524292 SGW524291:SGW524292 SQS524291:SQS524292 TAO524291:TAO524292 TKK524291:TKK524292 TUG524291:TUG524292 UEC524291:UEC524292 UNY524291:UNY524292 UXU524291:UXU524292 VHQ524291:VHQ524292 VRM524291:VRM524292 WBI524291:WBI524292 WLE524291:WLE524292 WVA524291:WVA524292 J589828:J589829 IO589827:IO589828 SK589827:SK589828 ACG589827:ACG589828 AMC589827:AMC589828 AVY589827:AVY589828 BFU589827:BFU589828 BPQ589827:BPQ589828 BZM589827:BZM589828 CJI589827:CJI589828 CTE589827:CTE589828 DDA589827:DDA589828 DMW589827:DMW589828 DWS589827:DWS589828 EGO589827:EGO589828 EQK589827:EQK589828 FAG589827:FAG589828 FKC589827:FKC589828 FTY589827:FTY589828 GDU589827:GDU589828 GNQ589827:GNQ589828 GXM589827:GXM589828 HHI589827:HHI589828 HRE589827:HRE589828 IBA589827:IBA589828 IKW589827:IKW589828 IUS589827:IUS589828 JEO589827:JEO589828 JOK589827:JOK589828 JYG589827:JYG589828 KIC589827:KIC589828 KRY589827:KRY589828 LBU589827:LBU589828 LLQ589827:LLQ589828 LVM589827:LVM589828 MFI589827:MFI589828 MPE589827:MPE589828 MZA589827:MZA589828 NIW589827:NIW589828 NSS589827:NSS589828 OCO589827:OCO589828 OMK589827:OMK589828 OWG589827:OWG589828 PGC589827:PGC589828 PPY589827:PPY589828 PZU589827:PZU589828 QJQ589827:QJQ589828 QTM589827:QTM589828 RDI589827:RDI589828 RNE589827:RNE589828 RXA589827:RXA589828 SGW589827:SGW589828 SQS589827:SQS589828 TAO589827:TAO589828 TKK589827:TKK589828 TUG589827:TUG589828 UEC589827:UEC589828 UNY589827:UNY589828 UXU589827:UXU589828 VHQ589827:VHQ589828 VRM589827:VRM589828 WBI589827:WBI589828 WLE589827:WLE589828 WVA589827:WVA589828 J655364:J655365 IO655363:IO655364 SK655363:SK655364 ACG655363:ACG655364 AMC655363:AMC655364 AVY655363:AVY655364 BFU655363:BFU655364 BPQ655363:BPQ655364 BZM655363:BZM655364 CJI655363:CJI655364 CTE655363:CTE655364 DDA655363:DDA655364 DMW655363:DMW655364 DWS655363:DWS655364 EGO655363:EGO655364 EQK655363:EQK655364 FAG655363:FAG655364 FKC655363:FKC655364 FTY655363:FTY655364 GDU655363:GDU655364 GNQ655363:GNQ655364 GXM655363:GXM655364 HHI655363:HHI655364 HRE655363:HRE655364 IBA655363:IBA655364 IKW655363:IKW655364 IUS655363:IUS655364 JEO655363:JEO655364 JOK655363:JOK655364 JYG655363:JYG655364 KIC655363:KIC655364 KRY655363:KRY655364 LBU655363:LBU655364 LLQ655363:LLQ655364 LVM655363:LVM655364 MFI655363:MFI655364 MPE655363:MPE655364 MZA655363:MZA655364 NIW655363:NIW655364 NSS655363:NSS655364 OCO655363:OCO655364 OMK655363:OMK655364 OWG655363:OWG655364 PGC655363:PGC655364 PPY655363:PPY655364 PZU655363:PZU655364 QJQ655363:QJQ655364 QTM655363:QTM655364 RDI655363:RDI655364 RNE655363:RNE655364 RXA655363:RXA655364 SGW655363:SGW655364 SQS655363:SQS655364 TAO655363:TAO655364 TKK655363:TKK655364 TUG655363:TUG655364 UEC655363:UEC655364 UNY655363:UNY655364 UXU655363:UXU655364 VHQ655363:VHQ655364 VRM655363:VRM655364 WBI655363:WBI655364 WLE655363:WLE655364 WVA655363:WVA655364 J720900:J720901 IO720899:IO720900 SK720899:SK720900 ACG720899:ACG720900 AMC720899:AMC720900 AVY720899:AVY720900 BFU720899:BFU720900 BPQ720899:BPQ720900 BZM720899:BZM720900 CJI720899:CJI720900 CTE720899:CTE720900 DDA720899:DDA720900 DMW720899:DMW720900 DWS720899:DWS720900 EGO720899:EGO720900 EQK720899:EQK720900 FAG720899:FAG720900 FKC720899:FKC720900 FTY720899:FTY720900 GDU720899:GDU720900 GNQ720899:GNQ720900 GXM720899:GXM720900 HHI720899:HHI720900 HRE720899:HRE720900 IBA720899:IBA720900 IKW720899:IKW720900 IUS720899:IUS720900 JEO720899:JEO720900 JOK720899:JOK720900 JYG720899:JYG720900 KIC720899:KIC720900 KRY720899:KRY720900 LBU720899:LBU720900 LLQ720899:LLQ720900 LVM720899:LVM720900 MFI720899:MFI720900 MPE720899:MPE720900 MZA720899:MZA720900 NIW720899:NIW720900 NSS720899:NSS720900 OCO720899:OCO720900 OMK720899:OMK720900 OWG720899:OWG720900 PGC720899:PGC720900 PPY720899:PPY720900 PZU720899:PZU720900 QJQ720899:QJQ720900 QTM720899:QTM720900 RDI720899:RDI720900 RNE720899:RNE720900 RXA720899:RXA720900 SGW720899:SGW720900 SQS720899:SQS720900 TAO720899:TAO720900 TKK720899:TKK720900 TUG720899:TUG720900 UEC720899:UEC720900 UNY720899:UNY720900 UXU720899:UXU720900 VHQ720899:VHQ720900 VRM720899:VRM720900 WBI720899:WBI720900 WLE720899:WLE720900 WVA720899:WVA720900 J786436:J786437 IO786435:IO786436 SK786435:SK786436 ACG786435:ACG786436 AMC786435:AMC786436 AVY786435:AVY786436 BFU786435:BFU786436 BPQ786435:BPQ786436 BZM786435:BZM786436 CJI786435:CJI786436 CTE786435:CTE786436 DDA786435:DDA786436 DMW786435:DMW786436 DWS786435:DWS786436 EGO786435:EGO786436 EQK786435:EQK786436 FAG786435:FAG786436 FKC786435:FKC786436 FTY786435:FTY786436 GDU786435:GDU786436 GNQ786435:GNQ786436 GXM786435:GXM786436 HHI786435:HHI786436 HRE786435:HRE786436 IBA786435:IBA786436 IKW786435:IKW786436 IUS786435:IUS786436 JEO786435:JEO786436 JOK786435:JOK786436 JYG786435:JYG786436 KIC786435:KIC786436 KRY786435:KRY786436 LBU786435:LBU786436 LLQ786435:LLQ786436 LVM786435:LVM786436 MFI786435:MFI786436 MPE786435:MPE786436 MZA786435:MZA786436 NIW786435:NIW786436 NSS786435:NSS786436 OCO786435:OCO786436 OMK786435:OMK786436 OWG786435:OWG786436 PGC786435:PGC786436 PPY786435:PPY786436 PZU786435:PZU786436 QJQ786435:QJQ786436 QTM786435:QTM786436 RDI786435:RDI786436 RNE786435:RNE786436 RXA786435:RXA786436 SGW786435:SGW786436 SQS786435:SQS786436 TAO786435:TAO786436 TKK786435:TKK786436 TUG786435:TUG786436 UEC786435:UEC786436 UNY786435:UNY786436 UXU786435:UXU786436 VHQ786435:VHQ786436 VRM786435:VRM786436 WBI786435:WBI786436 WLE786435:WLE786436 WVA786435:WVA786436 J851972:J851973 IO851971:IO851972 SK851971:SK851972 ACG851971:ACG851972 AMC851971:AMC851972 AVY851971:AVY851972 BFU851971:BFU851972 BPQ851971:BPQ851972 BZM851971:BZM851972 CJI851971:CJI851972 CTE851971:CTE851972 DDA851971:DDA851972 DMW851971:DMW851972 DWS851971:DWS851972 EGO851971:EGO851972 EQK851971:EQK851972 FAG851971:FAG851972 FKC851971:FKC851972 FTY851971:FTY851972 GDU851971:GDU851972 GNQ851971:GNQ851972 GXM851971:GXM851972 HHI851971:HHI851972 HRE851971:HRE851972 IBA851971:IBA851972 IKW851971:IKW851972 IUS851971:IUS851972 JEO851971:JEO851972 JOK851971:JOK851972 JYG851971:JYG851972 KIC851971:KIC851972 KRY851971:KRY851972 LBU851971:LBU851972 LLQ851971:LLQ851972 LVM851971:LVM851972 MFI851971:MFI851972 MPE851971:MPE851972 MZA851971:MZA851972 NIW851971:NIW851972 NSS851971:NSS851972 OCO851971:OCO851972 OMK851971:OMK851972 OWG851971:OWG851972 PGC851971:PGC851972 PPY851971:PPY851972 PZU851971:PZU851972 QJQ851971:QJQ851972 QTM851971:QTM851972 RDI851971:RDI851972 RNE851971:RNE851972 RXA851971:RXA851972 SGW851971:SGW851972 SQS851971:SQS851972 TAO851971:TAO851972 TKK851971:TKK851972 TUG851971:TUG851972 UEC851971:UEC851972 UNY851971:UNY851972 UXU851971:UXU851972 VHQ851971:VHQ851972 VRM851971:VRM851972 WBI851971:WBI851972 WLE851971:WLE851972 WVA851971:WVA851972 J917508:J917509 IO917507:IO917508 SK917507:SK917508 ACG917507:ACG917508 AMC917507:AMC917508 AVY917507:AVY917508 BFU917507:BFU917508 BPQ917507:BPQ917508 BZM917507:BZM917508 CJI917507:CJI917508 CTE917507:CTE917508 DDA917507:DDA917508 DMW917507:DMW917508 DWS917507:DWS917508 EGO917507:EGO917508 EQK917507:EQK917508 FAG917507:FAG917508 FKC917507:FKC917508 FTY917507:FTY917508 GDU917507:GDU917508 GNQ917507:GNQ917508 GXM917507:GXM917508 HHI917507:HHI917508 HRE917507:HRE917508 IBA917507:IBA917508 IKW917507:IKW917508 IUS917507:IUS917508 JEO917507:JEO917508 JOK917507:JOK917508 JYG917507:JYG917508 KIC917507:KIC917508 KRY917507:KRY917508 LBU917507:LBU917508 LLQ917507:LLQ917508 LVM917507:LVM917508 MFI917507:MFI917508 MPE917507:MPE917508 MZA917507:MZA917508 NIW917507:NIW917508 NSS917507:NSS917508 OCO917507:OCO917508 OMK917507:OMK917508 OWG917507:OWG917508 PGC917507:PGC917508 PPY917507:PPY917508 PZU917507:PZU917508 QJQ917507:QJQ917508 QTM917507:QTM917508 RDI917507:RDI917508 RNE917507:RNE917508 RXA917507:RXA917508 SGW917507:SGW917508 SQS917507:SQS917508 TAO917507:TAO917508 TKK917507:TKK917508 TUG917507:TUG917508 UEC917507:UEC917508 UNY917507:UNY917508 UXU917507:UXU917508 VHQ917507:VHQ917508 VRM917507:VRM917508 WBI917507:WBI917508 WLE917507:WLE917508 WVA917507:WVA917508 J983044:J983045 IO983043:IO983044 SK983043:SK983044 ACG983043:ACG983044 AMC983043:AMC983044 AVY983043:AVY983044 BFU983043:BFU983044 BPQ983043:BPQ983044 BZM983043:BZM983044 CJI983043:CJI983044 CTE983043:CTE983044 DDA983043:DDA983044 DMW983043:DMW983044 DWS983043:DWS983044 EGO983043:EGO983044 EQK983043:EQK983044 FAG983043:FAG983044 FKC983043:FKC983044 FTY983043:FTY983044 GDU983043:GDU983044 GNQ983043:GNQ983044 GXM983043:GXM983044 HHI983043:HHI983044 HRE983043:HRE983044 IBA983043:IBA983044 IKW983043:IKW983044 IUS983043:IUS983044 JEO983043:JEO983044 JOK983043:JOK983044 JYG983043:JYG983044 KIC983043:KIC983044 KRY983043:KRY983044 LBU983043:LBU983044 LLQ983043:LLQ983044 LVM983043:LVM983044 MFI983043:MFI983044 MPE983043:MPE983044 MZA983043:MZA983044 NIW983043:NIW983044 NSS983043:NSS983044 OCO983043:OCO983044 OMK983043:OMK983044 OWG983043:OWG983044 PGC983043:PGC983044 PPY983043:PPY983044 PZU983043:PZU983044 QJQ983043:QJQ983044 QTM983043:QTM983044 RDI983043:RDI983044 RNE983043:RNE983044 RXA983043:RXA983044 SGW983043:SGW983044 SQS983043:SQS983044 TAO983043:TAO983044 TKK983043:TKK983044 TUG983043:TUG983044 UEC983043:UEC983044 UNY983043:UNY983044 UXU983043:UXU983044 VHQ983043:VHQ983044 VRM983043:VRM983044 WBI983043:WBI983044 WLE983043:WLE983044 WVA983043:WVA983044 L65540:L65541 IR65539:IR65540 SN65539:SN65540 ACJ65539:ACJ65540 AMF65539:AMF65540 AWB65539:AWB65540 BFX65539:BFX65540 BPT65539:BPT65540 BZP65539:BZP65540 CJL65539:CJL65540 CTH65539:CTH65540 DDD65539:DDD65540 DMZ65539:DMZ65540 DWV65539:DWV65540 EGR65539:EGR65540 EQN65539:EQN65540 FAJ65539:FAJ65540 FKF65539:FKF65540 FUB65539:FUB65540 GDX65539:GDX65540 GNT65539:GNT65540 GXP65539:GXP65540 HHL65539:HHL65540 HRH65539:HRH65540 IBD65539:IBD65540 IKZ65539:IKZ65540 IUV65539:IUV65540 JER65539:JER65540 JON65539:JON65540 JYJ65539:JYJ65540 KIF65539:KIF65540 KSB65539:KSB65540 LBX65539:LBX65540 LLT65539:LLT65540 LVP65539:LVP65540 MFL65539:MFL65540 MPH65539:MPH65540 MZD65539:MZD65540 NIZ65539:NIZ65540 NSV65539:NSV65540 OCR65539:OCR65540 OMN65539:OMN65540 OWJ65539:OWJ65540 PGF65539:PGF65540 PQB65539:PQB65540 PZX65539:PZX65540 QJT65539:QJT65540 QTP65539:QTP65540 RDL65539:RDL65540 RNH65539:RNH65540 RXD65539:RXD65540 SGZ65539:SGZ65540 SQV65539:SQV65540 TAR65539:TAR65540 TKN65539:TKN65540 TUJ65539:TUJ65540 UEF65539:UEF65540 UOB65539:UOB65540 UXX65539:UXX65540 VHT65539:VHT65540 VRP65539:VRP65540 WBL65539:WBL65540 WLH65539:WLH65540 WVD65539:WVD65540 L131076:L131077 IR131075:IR131076 SN131075:SN131076 ACJ131075:ACJ131076 AMF131075:AMF131076 AWB131075:AWB131076 BFX131075:BFX131076 BPT131075:BPT131076 BZP131075:BZP131076 CJL131075:CJL131076 CTH131075:CTH131076 DDD131075:DDD131076 DMZ131075:DMZ131076 DWV131075:DWV131076 EGR131075:EGR131076 EQN131075:EQN131076 FAJ131075:FAJ131076 FKF131075:FKF131076 FUB131075:FUB131076 GDX131075:GDX131076 GNT131075:GNT131076 GXP131075:GXP131076 HHL131075:HHL131076 HRH131075:HRH131076 IBD131075:IBD131076 IKZ131075:IKZ131076 IUV131075:IUV131076 JER131075:JER131076 JON131075:JON131076 JYJ131075:JYJ131076 KIF131075:KIF131076 KSB131075:KSB131076 LBX131075:LBX131076 LLT131075:LLT131076 LVP131075:LVP131076 MFL131075:MFL131076 MPH131075:MPH131076 MZD131075:MZD131076 NIZ131075:NIZ131076 NSV131075:NSV131076 OCR131075:OCR131076 OMN131075:OMN131076 OWJ131075:OWJ131076 PGF131075:PGF131076 PQB131075:PQB131076 PZX131075:PZX131076 QJT131075:QJT131076 QTP131075:QTP131076 RDL131075:RDL131076 RNH131075:RNH131076 RXD131075:RXD131076 SGZ131075:SGZ131076 SQV131075:SQV131076 TAR131075:TAR131076 TKN131075:TKN131076 TUJ131075:TUJ131076 UEF131075:UEF131076 UOB131075:UOB131076 UXX131075:UXX131076 VHT131075:VHT131076 VRP131075:VRP131076 WBL131075:WBL131076 WLH131075:WLH131076 WVD131075:WVD131076 L196612:L196613 IR196611:IR196612 SN196611:SN196612 ACJ196611:ACJ196612 AMF196611:AMF196612 AWB196611:AWB196612 BFX196611:BFX196612 BPT196611:BPT196612 BZP196611:BZP196612 CJL196611:CJL196612 CTH196611:CTH196612 DDD196611:DDD196612 DMZ196611:DMZ196612 DWV196611:DWV196612 EGR196611:EGR196612 EQN196611:EQN196612 FAJ196611:FAJ196612 FKF196611:FKF196612 FUB196611:FUB196612 GDX196611:GDX196612 GNT196611:GNT196612 GXP196611:GXP196612 HHL196611:HHL196612 HRH196611:HRH196612 IBD196611:IBD196612 IKZ196611:IKZ196612 IUV196611:IUV196612 JER196611:JER196612 JON196611:JON196612 JYJ196611:JYJ196612 KIF196611:KIF196612 KSB196611:KSB196612 LBX196611:LBX196612 LLT196611:LLT196612 LVP196611:LVP196612 MFL196611:MFL196612 MPH196611:MPH196612 MZD196611:MZD196612 NIZ196611:NIZ196612 NSV196611:NSV196612 OCR196611:OCR196612 OMN196611:OMN196612 OWJ196611:OWJ196612 PGF196611:PGF196612 PQB196611:PQB196612 PZX196611:PZX196612 QJT196611:QJT196612 QTP196611:QTP196612 RDL196611:RDL196612 RNH196611:RNH196612 RXD196611:RXD196612 SGZ196611:SGZ196612 SQV196611:SQV196612 TAR196611:TAR196612 TKN196611:TKN196612 TUJ196611:TUJ196612 UEF196611:UEF196612 UOB196611:UOB196612 UXX196611:UXX196612 VHT196611:VHT196612 VRP196611:VRP196612 WBL196611:WBL196612 WLH196611:WLH196612 WVD196611:WVD196612 L262148:L262149 IR262147:IR262148 SN262147:SN262148 ACJ262147:ACJ262148 AMF262147:AMF262148 AWB262147:AWB262148 BFX262147:BFX262148 BPT262147:BPT262148 BZP262147:BZP262148 CJL262147:CJL262148 CTH262147:CTH262148 DDD262147:DDD262148 DMZ262147:DMZ262148 DWV262147:DWV262148 EGR262147:EGR262148 EQN262147:EQN262148 FAJ262147:FAJ262148 FKF262147:FKF262148 FUB262147:FUB262148 GDX262147:GDX262148 GNT262147:GNT262148 GXP262147:GXP262148 HHL262147:HHL262148 HRH262147:HRH262148 IBD262147:IBD262148 IKZ262147:IKZ262148 IUV262147:IUV262148 JER262147:JER262148 JON262147:JON262148 JYJ262147:JYJ262148 KIF262147:KIF262148 KSB262147:KSB262148 LBX262147:LBX262148 LLT262147:LLT262148 LVP262147:LVP262148 MFL262147:MFL262148 MPH262147:MPH262148 MZD262147:MZD262148 NIZ262147:NIZ262148 NSV262147:NSV262148 OCR262147:OCR262148 OMN262147:OMN262148 OWJ262147:OWJ262148 PGF262147:PGF262148 PQB262147:PQB262148 PZX262147:PZX262148 QJT262147:QJT262148 QTP262147:QTP262148 RDL262147:RDL262148 RNH262147:RNH262148 RXD262147:RXD262148 SGZ262147:SGZ262148 SQV262147:SQV262148 TAR262147:TAR262148 TKN262147:TKN262148 TUJ262147:TUJ262148 UEF262147:UEF262148 UOB262147:UOB262148 UXX262147:UXX262148 VHT262147:VHT262148 VRP262147:VRP262148 WBL262147:WBL262148 WLH262147:WLH262148 WVD262147:WVD262148 L327684:L327685 IR327683:IR327684 SN327683:SN327684 ACJ327683:ACJ327684 AMF327683:AMF327684 AWB327683:AWB327684 BFX327683:BFX327684 BPT327683:BPT327684 BZP327683:BZP327684 CJL327683:CJL327684 CTH327683:CTH327684 DDD327683:DDD327684 DMZ327683:DMZ327684 DWV327683:DWV327684 EGR327683:EGR327684 EQN327683:EQN327684 FAJ327683:FAJ327684 FKF327683:FKF327684 FUB327683:FUB327684 GDX327683:GDX327684 GNT327683:GNT327684 GXP327683:GXP327684 HHL327683:HHL327684 HRH327683:HRH327684 IBD327683:IBD327684 IKZ327683:IKZ327684 IUV327683:IUV327684 JER327683:JER327684 JON327683:JON327684 JYJ327683:JYJ327684 KIF327683:KIF327684 KSB327683:KSB327684 LBX327683:LBX327684 LLT327683:LLT327684 LVP327683:LVP327684 MFL327683:MFL327684 MPH327683:MPH327684 MZD327683:MZD327684 NIZ327683:NIZ327684 NSV327683:NSV327684 OCR327683:OCR327684 OMN327683:OMN327684 OWJ327683:OWJ327684 PGF327683:PGF327684 PQB327683:PQB327684 PZX327683:PZX327684 QJT327683:QJT327684 QTP327683:QTP327684 RDL327683:RDL327684 RNH327683:RNH327684 RXD327683:RXD327684 SGZ327683:SGZ327684 SQV327683:SQV327684 TAR327683:TAR327684 TKN327683:TKN327684 TUJ327683:TUJ327684 UEF327683:UEF327684 UOB327683:UOB327684 UXX327683:UXX327684 VHT327683:VHT327684 VRP327683:VRP327684 WBL327683:WBL327684 WLH327683:WLH327684 WVD327683:WVD327684 L393220:L393221 IR393219:IR393220 SN393219:SN393220 ACJ393219:ACJ393220 AMF393219:AMF393220 AWB393219:AWB393220 BFX393219:BFX393220 BPT393219:BPT393220 BZP393219:BZP393220 CJL393219:CJL393220 CTH393219:CTH393220 DDD393219:DDD393220 DMZ393219:DMZ393220 DWV393219:DWV393220 EGR393219:EGR393220 EQN393219:EQN393220 FAJ393219:FAJ393220 FKF393219:FKF393220 FUB393219:FUB393220 GDX393219:GDX393220 GNT393219:GNT393220 GXP393219:GXP393220 HHL393219:HHL393220 HRH393219:HRH393220 IBD393219:IBD393220 IKZ393219:IKZ393220 IUV393219:IUV393220 JER393219:JER393220 JON393219:JON393220 JYJ393219:JYJ393220 KIF393219:KIF393220 KSB393219:KSB393220 LBX393219:LBX393220 LLT393219:LLT393220 LVP393219:LVP393220 MFL393219:MFL393220 MPH393219:MPH393220 MZD393219:MZD393220 NIZ393219:NIZ393220 NSV393219:NSV393220 OCR393219:OCR393220 OMN393219:OMN393220 OWJ393219:OWJ393220 PGF393219:PGF393220 PQB393219:PQB393220 PZX393219:PZX393220 QJT393219:QJT393220 QTP393219:QTP393220 RDL393219:RDL393220 RNH393219:RNH393220 RXD393219:RXD393220 SGZ393219:SGZ393220 SQV393219:SQV393220 TAR393219:TAR393220 TKN393219:TKN393220 TUJ393219:TUJ393220 UEF393219:UEF393220 UOB393219:UOB393220 UXX393219:UXX393220 VHT393219:VHT393220 VRP393219:VRP393220 WBL393219:WBL393220 WLH393219:WLH393220 WVD393219:WVD393220 L458756:L458757 IR458755:IR458756 SN458755:SN458756 ACJ458755:ACJ458756 AMF458755:AMF458756 AWB458755:AWB458756 BFX458755:BFX458756 BPT458755:BPT458756 BZP458755:BZP458756 CJL458755:CJL458756 CTH458755:CTH458756 DDD458755:DDD458756 DMZ458755:DMZ458756 DWV458755:DWV458756 EGR458755:EGR458756 EQN458755:EQN458756 FAJ458755:FAJ458756 FKF458755:FKF458756 FUB458755:FUB458756 GDX458755:GDX458756 GNT458755:GNT458756 GXP458755:GXP458756 HHL458755:HHL458756 HRH458755:HRH458756 IBD458755:IBD458756 IKZ458755:IKZ458756 IUV458755:IUV458756 JER458755:JER458756 JON458755:JON458756 JYJ458755:JYJ458756 KIF458755:KIF458756 KSB458755:KSB458756 LBX458755:LBX458756 LLT458755:LLT458756 LVP458755:LVP458756 MFL458755:MFL458756 MPH458755:MPH458756 MZD458755:MZD458756 NIZ458755:NIZ458756 NSV458755:NSV458756 OCR458755:OCR458756 OMN458755:OMN458756 OWJ458755:OWJ458756 PGF458755:PGF458756 PQB458755:PQB458756 PZX458755:PZX458756 QJT458755:QJT458756 QTP458755:QTP458756 RDL458755:RDL458756 RNH458755:RNH458756 RXD458755:RXD458756 SGZ458755:SGZ458756 SQV458755:SQV458756 TAR458755:TAR458756 TKN458755:TKN458756 TUJ458755:TUJ458756 UEF458755:UEF458756 UOB458755:UOB458756 UXX458755:UXX458756 VHT458755:VHT458756 VRP458755:VRP458756 WBL458755:WBL458756 WLH458755:WLH458756 WVD458755:WVD458756 L524292:L524293 IR524291:IR524292 SN524291:SN524292 ACJ524291:ACJ524292 AMF524291:AMF524292 AWB524291:AWB524292 BFX524291:BFX524292 BPT524291:BPT524292 BZP524291:BZP524292 CJL524291:CJL524292 CTH524291:CTH524292 DDD524291:DDD524292 DMZ524291:DMZ524292 DWV524291:DWV524292 EGR524291:EGR524292 EQN524291:EQN524292 FAJ524291:FAJ524292 FKF524291:FKF524292 FUB524291:FUB524292 GDX524291:GDX524292 GNT524291:GNT524292 GXP524291:GXP524292 HHL524291:HHL524292 HRH524291:HRH524292 IBD524291:IBD524292 IKZ524291:IKZ524292 IUV524291:IUV524292 JER524291:JER524292 JON524291:JON524292 JYJ524291:JYJ524292 KIF524291:KIF524292 KSB524291:KSB524292 LBX524291:LBX524292 LLT524291:LLT524292 LVP524291:LVP524292 MFL524291:MFL524292 MPH524291:MPH524292 MZD524291:MZD524292 NIZ524291:NIZ524292 NSV524291:NSV524292 OCR524291:OCR524292 OMN524291:OMN524292 OWJ524291:OWJ524292 PGF524291:PGF524292 PQB524291:PQB524292 PZX524291:PZX524292 QJT524291:QJT524292 QTP524291:QTP524292 RDL524291:RDL524292 RNH524291:RNH524292 RXD524291:RXD524292 SGZ524291:SGZ524292 SQV524291:SQV524292 TAR524291:TAR524292 TKN524291:TKN524292 TUJ524291:TUJ524292 UEF524291:UEF524292 UOB524291:UOB524292 UXX524291:UXX524292 VHT524291:VHT524292 VRP524291:VRP524292 WBL524291:WBL524292 WLH524291:WLH524292 WVD524291:WVD524292 L589828:L589829 IR589827:IR589828 SN589827:SN589828 ACJ589827:ACJ589828 AMF589827:AMF589828 AWB589827:AWB589828 BFX589827:BFX589828 BPT589827:BPT589828 BZP589827:BZP589828 CJL589827:CJL589828 CTH589827:CTH589828 DDD589827:DDD589828 DMZ589827:DMZ589828 DWV589827:DWV589828 EGR589827:EGR589828 EQN589827:EQN589828 FAJ589827:FAJ589828 FKF589827:FKF589828 FUB589827:FUB589828 GDX589827:GDX589828 GNT589827:GNT589828 GXP589827:GXP589828 HHL589827:HHL589828 HRH589827:HRH589828 IBD589827:IBD589828 IKZ589827:IKZ589828 IUV589827:IUV589828 JER589827:JER589828 JON589827:JON589828 JYJ589827:JYJ589828 KIF589827:KIF589828 KSB589827:KSB589828 LBX589827:LBX589828 LLT589827:LLT589828 LVP589827:LVP589828 MFL589827:MFL589828 MPH589827:MPH589828 MZD589827:MZD589828 NIZ589827:NIZ589828 NSV589827:NSV589828 OCR589827:OCR589828 OMN589827:OMN589828 OWJ589827:OWJ589828 PGF589827:PGF589828 PQB589827:PQB589828 PZX589827:PZX589828 QJT589827:QJT589828 QTP589827:QTP589828 RDL589827:RDL589828 RNH589827:RNH589828 RXD589827:RXD589828 SGZ589827:SGZ589828 SQV589827:SQV589828 TAR589827:TAR589828 TKN589827:TKN589828 TUJ589827:TUJ589828 UEF589827:UEF589828 UOB589827:UOB589828 UXX589827:UXX589828 VHT589827:VHT589828 VRP589827:VRP589828 WBL589827:WBL589828 WLH589827:WLH589828 WVD589827:WVD589828 L655364:L655365 IR655363:IR655364 SN655363:SN655364 ACJ655363:ACJ655364 AMF655363:AMF655364 AWB655363:AWB655364 BFX655363:BFX655364 BPT655363:BPT655364 BZP655363:BZP655364 CJL655363:CJL655364 CTH655363:CTH655364 DDD655363:DDD655364 DMZ655363:DMZ655364 DWV655363:DWV655364 EGR655363:EGR655364 EQN655363:EQN655364 FAJ655363:FAJ655364 FKF655363:FKF655364 FUB655363:FUB655364 GDX655363:GDX655364 GNT655363:GNT655364 GXP655363:GXP655364 HHL655363:HHL655364 HRH655363:HRH655364 IBD655363:IBD655364 IKZ655363:IKZ655364 IUV655363:IUV655364 JER655363:JER655364 JON655363:JON655364 JYJ655363:JYJ655364 KIF655363:KIF655364 KSB655363:KSB655364 LBX655363:LBX655364 LLT655363:LLT655364 LVP655363:LVP655364 MFL655363:MFL655364 MPH655363:MPH655364 MZD655363:MZD655364 NIZ655363:NIZ655364 NSV655363:NSV655364 OCR655363:OCR655364 OMN655363:OMN655364 OWJ655363:OWJ655364 PGF655363:PGF655364 PQB655363:PQB655364 PZX655363:PZX655364 QJT655363:QJT655364 QTP655363:QTP655364 RDL655363:RDL655364 RNH655363:RNH655364 RXD655363:RXD655364 SGZ655363:SGZ655364 SQV655363:SQV655364 TAR655363:TAR655364 TKN655363:TKN655364 TUJ655363:TUJ655364 UEF655363:UEF655364 UOB655363:UOB655364 UXX655363:UXX655364 VHT655363:VHT655364 VRP655363:VRP655364 WBL655363:WBL655364 WLH655363:WLH655364 WVD655363:WVD655364 L720900:L720901 IR720899:IR720900 SN720899:SN720900 ACJ720899:ACJ720900 AMF720899:AMF720900 AWB720899:AWB720900 BFX720899:BFX720900 BPT720899:BPT720900 BZP720899:BZP720900 CJL720899:CJL720900 CTH720899:CTH720900 DDD720899:DDD720900 DMZ720899:DMZ720900 DWV720899:DWV720900 EGR720899:EGR720900 EQN720899:EQN720900 FAJ720899:FAJ720900 FKF720899:FKF720900 FUB720899:FUB720900 GDX720899:GDX720900 GNT720899:GNT720900 GXP720899:GXP720900 HHL720899:HHL720900 HRH720899:HRH720900 IBD720899:IBD720900 IKZ720899:IKZ720900 IUV720899:IUV720900 JER720899:JER720900 JON720899:JON720900 JYJ720899:JYJ720900 KIF720899:KIF720900 KSB720899:KSB720900 LBX720899:LBX720900 LLT720899:LLT720900 LVP720899:LVP720900 MFL720899:MFL720900 MPH720899:MPH720900 MZD720899:MZD720900 NIZ720899:NIZ720900 NSV720899:NSV720900 OCR720899:OCR720900 OMN720899:OMN720900 OWJ720899:OWJ720900 PGF720899:PGF720900 PQB720899:PQB720900 PZX720899:PZX720900 QJT720899:QJT720900 QTP720899:QTP720900 RDL720899:RDL720900 RNH720899:RNH720900 RXD720899:RXD720900 SGZ720899:SGZ720900 SQV720899:SQV720900 TAR720899:TAR720900 TKN720899:TKN720900 TUJ720899:TUJ720900 UEF720899:UEF720900 UOB720899:UOB720900 UXX720899:UXX720900 VHT720899:VHT720900 VRP720899:VRP720900 WBL720899:WBL720900 WLH720899:WLH720900 WVD720899:WVD720900 L786436:L786437 IR786435:IR786436 SN786435:SN786436 ACJ786435:ACJ786436 AMF786435:AMF786436 AWB786435:AWB786436 BFX786435:BFX786436 BPT786435:BPT786436 BZP786435:BZP786436 CJL786435:CJL786436 CTH786435:CTH786436 DDD786435:DDD786436 DMZ786435:DMZ786436 DWV786435:DWV786436 EGR786435:EGR786436 EQN786435:EQN786436 FAJ786435:FAJ786436 FKF786435:FKF786436 FUB786435:FUB786436 GDX786435:GDX786436 GNT786435:GNT786436 GXP786435:GXP786436 HHL786435:HHL786436 HRH786435:HRH786436 IBD786435:IBD786436 IKZ786435:IKZ786436 IUV786435:IUV786436 JER786435:JER786436 JON786435:JON786436 JYJ786435:JYJ786436 KIF786435:KIF786436 KSB786435:KSB786436 LBX786435:LBX786436 LLT786435:LLT786436 LVP786435:LVP786436 MFL786435:MFL786436 MPH786435:MPH786436 MZD786435:MZD786436 NIZ786435:NIZ786436 NSV786435:NSV786436 OCR786435:OCR786436 OMN786435:OMN786436 OWJ786435:OWJ786436 PGF786435:PGF786436 PQB786435:PQB786436 PZX786435:PZX786436 QJT786435:QJT786436 QTP786435:QTP786436 RDL786435:RDL786436 RNH786435:RNH786436 RXD786435:RXD786436 SGZ786435:SGZ786436 SQV786435:SQV786436 TAR786435:TAR786436 TKN786435:TKN786436 TUJ786435:TUJ786436 UEF786435:UEF786436 UOB786435:UOB786436 UXX786435:UXX786436 VHT786435:VHT786436 VRP786435:VRP786436 WBL786435:WBL786436 WLH786435:WLH786436 WVD786435:WVD786436 L851972:L851973 IR851971:IR851972 SN851971:SN851972 ACJ851971:ACJ851972 AMF851971:AMF851972 AWB851971:AWB851972 BFX851971:BFX851972 BPT851971:BPT851972 BZP851971:BZP851972 CJL851971:CJL851972 CTH851971:CTH851972 DDD851971:DDD851972 DMZ851971:DMZ851972 DWV851971:DWV851972 EGR851971:EGR851972 EQN851971:EQN851972 FAJ851971:FAJ851972 FKF851971:FKF851972 FUB851971:FUB851972 GDX851971:GDX851972 GNT851971:GNT851972 GXP851971:GXP851972 HHL851971:HHL851972 HRH851971:HRH851972 IBD851971:IBD851972 IKZ851971:IKZ851972 IUV851971:IUV851972 JER851971:JER851972 JON851971:JON851972 JYJ851971:JYJ851972 KIF851971:KIF851972 KSB851971:KSB851972 LBX851971:LBX851972 LLT851971:LLT851972 LVP851971:LVP851972 MFL851971:MFL851972 MPH851971:MPH851972 MZD851971:MZD851972 NIZ851971:NIZ851972 NSV851971:NSV851972 OCR851971:OCR851972 OMN851971:OMN851972 OWJ851971:OWJ851972 PGF851971:PGF851972 PQB851971:PQB851972 PZX851971:PZX851972 QJT851971:QJT851972 QTP851971:QTP851972 RDL851971:RDL851972 RNH851971:RNH851972 RXD851971:RXD851972 SGZ851971:SGZ851972 SQV851971:SQV851972 TAR851971:TAR851972 TKN851971:TKN851972 TUJ851971:TUJ851972 UEF851971:UEF851972 UOB851971:UOB851972 UXX851971:UXX851972 VHT851971:VHT851972 VRP851971:VRP851972 WBL851971:WBL851972 WLH851971:WLH851972 WVD851971:WVD851972 L917508:L917509 IR917507:IR917508 SN917507:SN917508 ACJ917507:ACJ917508 AMF917507:AMF917508 AWB917507:AWB917508 BFX917507:BFX917508 BPT917507:BPT917508 BZP917507:BZP917508 CJL917507:CJL917508 CTH917507:CTH917508 DDD917507:DDD917508 DMZ917507:DMZ917508 DWV917507:DWV917508 EGR917507:EGR917508 EQN917507:EQN917508 FAJ917507:FAJ917508 FKF917507:FKF917508 FUB917507:FUB917508 GDX917507:GDX917508 GNT917507:GNT917508 GXP917507:GXP917508 HHL917507:HHL917508 HRH917507:HRH917508 IBD917507:IBD917508 IKZ917507:IKZ917508 IUV917507:IUV917508 JER917507:JER917508 JON917507:JON917508 JYJ917507:JYJ917508 KIF917507:KIF917508 KSB917507:KSB917508 LBX917507:LBX917508 LLT917507:LLT917508 LVP917507:LVP917508 MFL917507:MFL917508 MPH917507:MPH917508 MZD917507:MZD917508 NIZ917507:NIZ917508 NSV917507:NSV917508 OCR917507:OCR917508 OMN917507:OMN917508 OWJ917507:OWJ917508 PGF917507:PGF917508 PQB917507:PQB917508 PZX917507:PZX917508 QJT917507:QJT917508 QTP917507:QTP917508 RDL917507:RDL917508 RNH917507:RNH917508 RXD917507:RXD917508 SGZ917507:SGZ917508 SQV917507:SQV917508 TAR917507:TAR917508 TKN917507:TKN917508 TUJ917507:TUJ917508 UEF917507:UEF917508 UOB917507:UOB917508 UXX917507:UXX917508 VHT917507:VHT917508 VRP917507:VRP917508 WBL917507:WBL917508 WLH917507:WLH917508 WVD917507:WVD917508 L983044:L983045 IR983043:IR983044 SN983043:SN983044 ACJ983043:ACJ983044 AMF983043:AMF983044 AWB983043:AWB983044 BFX983043:BFX983044 BPT983043:BPT983044 BZP983043:BZP983044 CJL983043:CJL983044 CTH983043:CTH983044 DDD983043:DDD983044 DMZ983043:DMZ983044 DWV983043:DWV983044 EGR983043:EGR983044 EQN983043:EQN983044 FAJ983043:FAJ983044 FKF983043:FKF983044 FUB983043:FUB983044 GDX983043:GDX983044 GNT983043:GNT983044 GXP983043:GXP983044 HHL983043:HHL983044 HRH983043:HRH983044 IBD983043:IBD983044 IKZ983043:IKZ983044 IUV983043:IUV983044 JER983043:JER983044 JON983043:JON983044 JYJ983043:JYJ983044 KIF983043:KIF983044 KSB983043:KSB983044 LBX983043:LBX983044 LLT983043:LLT983044 LVP983043:LVP983044 MFL983043:MFL983044 MPH983043:MPH983044 MZD983043:MZD983044 NIZ983043:NIZ983044 NSV983043:NSV983044 OCR983043:OCR983044 OMN983043:OMN983044 OWJ983043:OWJ983044 PGF983043:PGF983044 PQB983043:PQB983044 PZX983043:PZX983044 QJT983043:QJT983044 QTP983043:QTP983044 RDL983043:RDL983044 RNH983043:RNH983044 RXD983043:RXD983044 SGZ983043:SGZ983044 SQV983043:SQV983044 TAR983043:TAR983044 TKN983043:TKN983044 TUJ983043:TUJ983044 UEF983043:UEF983044 UOB983043:UOB983044 UXX983043:UXX983044 VHT983043:VHT983044 VRP983043:VRP983044 WBL983043:WBL983044 WLH983043:WLH983044 WVD983043:WVD983044 N65540:N65541 IU65539:IU65540 SQ65539:SQ65540 ACM65539:ACM65540 AMI65539:AMI65540 AWE65539:AWE65540 BGA65539:BGA65540 BPW65539:BPW65540 BZS65539:BZS65540 CJO65539:CJO65540 CTK65539:CTK65540 DDG65539:DDG65540 DNC65539:DNC65540 DWY65539:DWY65540 EGU65539:EGU65540 EQQ65539:EQQ65540 FAM65539:FAM65540 FKI65539:FKI65540 FUE65539:FUE65540 GEA65539:GEA65540 GNW65539:GNW65540 GXS65539:GXS65540 HHO65539:HHO65540 HRK65539:HRK65540 IBG65539:IBG65540 ILC65539:ILC65540 IUY65539:IUY65540 JEU65539:JEU65540 JOQ65539:JOQ65540 JYM65539:JYM65540 KII65539:KII65540 KSE65539:KSE65540 LCA65539:LCA65540 LLW65539:LLW65540 LVS65539:LVS65540 MFO65539:MFO65540 MPK65539:MPK65540 MZG65539:MZG65540 NJC65539:NJC65540 NSY65539:NSY65540 OCU65539:OCU65540 OMQ65539:OMQ65540 OWM65539:OWM65540 PGI65539:PGI65540 PQE65539:PQE65540 QAA65539:QAA65540 QJW65539:QJW65540 QTS65539:QTS65540 RDO65539:RDO65540 RNK65539:RNK65540 RXG65539:RXG65540 SHC65539:SHC65540 SQY65539:SQY65540 TAU65539:TAU65540 TKQ65539:TKQ65540 TUM65539:TUM65540 UEI65539:UEI65540 UOE65539:UOE65540 UYA65539:UYA65540 VHW65539:VHW65540 VRS65539:VRS65540 WBO65539:WBO65540 WLK65539:WLK65540 WVG65539:WVG65540 N131076:N131077 IU131075:IU131076 SQ131075:SQ131076 ACM131075:ACM131076 AMI131075:AMI131076 AWE131075:AWE131076 BGA131075:BGA131076 BPW131075:BPW131076 BZS131075:BZS131076 CJO131075:CJO131076 CTK131075:CTK131076 DDG131075:DDG131076 DNC131075:DNC131076 DWY131075:DWY131076 EGU131075:EGU131076 EQQ131075:EQQ131076 FAM131075:FAM131076 FKI131075:FKI131076 FUE131075:FUE131076 GEA131075:GEA131076 GNW131075:GNW131076 GXS131075:GXS131076 HHO131075:HHO131076 HRK131075:HRK131076 IBG131075:IBG131076 ILC131075:ILC131076 IUY131075:IUY131076 JEU131075:JEU131076 JOQ131075:JOQ131076 JYM131075:JYM131076 KII131075:KII131076 KSE131075:KSE131076 LCA131075:LCA131076 LLW131075:LLW131076 LVS131075:LVS131076 MFO131075:MFO131076 MPK131075:MPK131076 MZG131075:MZG131076 NJC131075:NJC131076 NSY131075:NSY131076 OCU131075:OCU131076 OMQ131075:OMQ131076 OWM131075:OWM131076 PGI131075:PGI131076 PQE131075:PQE131076 QAA131075:QAA131076 QJW131075:QJW131076 QTS131075:QTS131076 RDO131075:RDO131076 RNK131075:RNK131076 RXG131075:RXG131076 SHC131075:SHC131076 SQY131075:SQY131076 TAU131075:TAU131076 TKQ131075:TKQ131076 TUM131075:TUM131076 UEI131075:UEI131076 UOE131075:UOE131076 UYA131075:UYA131076 VHW131075:VHW131076 VRS131075:VRS131076 WBO131075:WBO131076 WLK131075:WLK131076 WVG131075:WVG131076 N196612:N196613 IU196611:IU196612 SQ196611:SQ196612 ACM196611:ACM196612 AMI196611:AMI196612 AWE196611:AWE196612 BGA196611:BGA196612 BPW196611:BPW196612 BZS196611:BZS196612 CJO196611:CJO196612 CTK196611:CTK196612 DDG196611:DDG196612 DNC196611:DNC196612 DWY196611:DWY196612 EGU196611:EGU196612 EQQ196611:EQQ196612 FAM196611:FAM196612 FKI196611:FKI196612 FUE196611:FUE196612 GEA196611:GEA196612 GNW196611:GNW196612 GXS196611:GXS196612 HHO196611:HHO196612 HRK196611:HRK196612 IBG196611:IBG196612 ILC196611:ILC196612 IUY196611:IUY196612 JEU196611:JEU196612 JOQ196611:JOQ196612 JYM196611:JYM196612 KII196611:KII196612 KSE196611:KSE196612 LCA196611:LCA196612 LLW196611:LLW196612 LVS196611:LVS196612 MFO196611:MFO196612 MPK196611:MPK196612 MZG196611:MZG196612 NJC196611:NJC196612 NSY196611:NSY196612 OCU196611:OCU196612 OMQ196611:OMQ196612 OWM196611:OWM196612 PGI196611:PGI196612 PQE196611:PQE196612 QAA196611:QAA196612 QJW196611:QJW196612 QTS196611:QTS196612 RDO196611:RDO196612 RNK196611:RNK196612 RXG196611:RXG196612 SHC196611:SHC196612 SQY196611:SQY196612 TAU196611:TAU196612 TKQ196611:TKQ196612 TUM196611:TUM196612 UEI196611:UEI196612 UOE196611:UOE196612 UYA196611:UYA196612 VHW196611:VHW196612 VRS196611:VRS196612 WBO196611:WBO196612 WLK196611:WLK196612 WVG196611:WVG196612 N262148:N262149 IU262147:IU262148 SQ262147:SQ262148 ACM262147:ACM262148 AMI262147:AMI262148 AWE262147:AWE262148 BGA262147:BGA262148 BPW262147:BPW262148 BZS262147:BZS262148 CJO262147:CJO262148 CTK262147:CTK262148 DDG262147:DDG262148 DNC262147:DNC262148 DWY262147:DWY262148 EGU262147:EGU262148 EQQ262147:EQQ262148 FAM262147:FAM262148 FKI262147:FKI262148 FUE262147:FUE262148 GEA262147:GEA262148 GNW262147:GNW262148 GXS262147:GXS262148 HHO262147:HHO262148 HRK262147:HRK262148 IBG262147:IBG262148 ILC262147:ILC262148 IUY262147:IUY262148 JEU262147:JEU262148 JOQ262147:JOQ262148 JYM262147:JYM262148 KII262147:KII262148 KSE262147:KSE262148 LCA262147:LCA262148 LLW262147:LLW262148 LVS262147:LVS262148 MFO262147:MFO262148 MPK262147:MPK262148 MZG262147:MZG262148 NJC262147:NJC262148 NSY262147:NSY262148 OCU262147:OCU262148 OMQ262147:OMQ262148 OWM262147:OWM262148 PGI262147:PGI262148 PQE262147:PQE262148 QAA262147:QAA262148 QJW262147:QJW262148 QTS262147:QTS262148 RDO262147:RDO262148 RNK262147:RNK262148 RXG262147:RXG262148 SHC262147:SHC262148 SQY262147:SQY262148 TAU262147:TAU262148 TKQ262147:TKQ262148 TUM262147:TUM262148 UEI262147:UEI262148 UOE262147:UOE262148 UYA262147:UYA262148 VHW262147:VHW262148 VRS262147:VRS262148 WBO262147:WBO262148 WLK262147:WLK262148 WVG262147:WVG262148 N327684:N327685 IU327683:IU327684 SQ327683:SQ327684 ACM327683:ACM327684 AMI327683:AMI327684 AWE327683:AWE327684 BGA327683:BGA327684 BPW327683:BPW327684 BZS327683:BZS327684 CJO327683:CJO327684 CTK327683:CTK327684 DDG327683:DDG327684 DNC327683:DNC327684 DWY327683:DWY327684 EGU327683:EGU327684 EQQ327683:EQQ327684 FAM327683:FAM327684 FKI327683:FKI327684 FUE327683:FUE327684 GEA327683:GEA327684 GNW327683:GNW327684 GXS327683:GXS327684 HHO327683:HHO327684 HRK327683:HRK327684 IBG327683:IBG327684 ILC327683:ILC327684 IUY327683:IUY327684 JEU327683:JEU327684 JOQ327683:JOQ327684 JYM327683:JYM327684 KII327683:KII327684 KSE327683:KSE327684 LCA327683:LCA327684 LLW327683:LLW327684 LVS327683:LVS327684 MFO327683:MFO327684 MPK327683:MPK327684 MZG327683:MZG327684 NJC327683:NJC327684 NSY327683:NSY327684 OCU327683:OCU327684 OMQ327683:OMQ327684 OWM327683:OWM327684 PGI327683:PGI327684 PQE327683:PQE327684 QAA327683:QAA327684 QJW327683:QJW327684 QTS327683:QTS327684 RDO327683:RDO327684 RNK327683:RNK327684 RXG327683:RXG327684 SHC327683:SHC327684 SQY327683:SQY327684 TAU327683:TAU327684 TKQ327683:TKQ327684 TUM327683:TUM327684 UEI327683:UEI327684 UOE327683:UOE327684 UYA327683:UYA327684 VHW327683:VHW327684 VRS327683:VRS327684 WBO327683:WBO327684 WLK327683:WLK327684 WVG327683:WVG327684 N393220:N393221 IU393219:IU393220 SQ393219:SQ393220 ACM393219:ACM393220 AMI393219:AMI393220 AWE393219:AWE393220 BGA393219:BGA393220 BPW393219:BPW393220 BZS393219:BZS393220 CJO393219:CJO393220 CTK393219:CTK393220 DDG393219:DDG393220 DNC393219:DNC393220 DWY393219:DWY393220 EGU393219:EGU393220 EQQ393219:EQQ393220 FAM393219:FAM393220 FKI393219:FKI393220 FUE393219:FUE393220 GEA393219:GEA393220 GNW393219:GNW393220 GXS393219:GXS393220 HHO393219:HHO393220 HRK393219:HRK393220 IBG393219:IBG393220 ILC393219:ILC393220 IUY393219:IUY393220 JEU393219:JEU393220 JOQ393219:JOQ393220 JYM393219:JYM393220 KII393219:KII393220 KSE393219:KSE393220 LCA393219:LCA393220 LLW393219:LLW393220 LVS393219:LVS393220 MFO393219:MFO393220 MPK393219:MPK393220 MZG393219:MZG393220 NJC393219:NJC393220 NSY393219:NSY393220 OCU393219:OCU393220 OMQ393219:OMQ393220 OWM393219:OWM393220 PGI393219:PGI393220 PQE393219:PQE393220 QAA393219:QAA393220 QJW393219:QJW393220 QTS393219:QTS393220 RDO393219:RDO393220 RNK393219:RNK393220 RXG393219:RXG393220 SHC393219:SHC393220 SQY393219:SQY393220 TAU393219:TAU393220 TKQ393219:TKQ393220 TUM393219:TUM393220 UEI393219:UEI393220 UOE393219:UOE393220 UYA393219:UYA393220 VHW393219:VHW393220 VRS393219:VRS393220 WBO393219:WBO393220 WLK393219:WLK393220 WVG393219:WVG393220 N458756:N458757 IU458755:IU458756 SQ458755:SQ458756 ACM458755:ACM458756 AMI458755:AMI458756 AWE458755:AWE458756 BGA458755:BGA458756 BPW458755:BPW458756 BZS458755:BZS458756 CJO458755:CJO458756 CTK458755:CTK458756 DDG458755:DDG458756 DNC458755:DNC458756 DWY458755:DWY458756 EGU458755:EGU458756 EQQ458755:EQQ458756 FAM458755:FAM458756 FKI458755:FKI458756 FUE458755:FUE458756 GEA458755:GEA458756 GNW458755:GNW458756 GXS458755:GXS458756 HHO458755:HHO458756 HRK458755:HRK458756 IBG458755:IBG458756 ILC458755:ILC458756 IUY458755:IUY458756 JEU458755:JEU458756 JOQ458755:JOQ458756 JYM458755:JYM458756 KII458755:KII458756 KSE458755:KSE458756 LCA458755:LCA458756 LLW458755:LLW458756 LVS458755:LVS458756 MFO458755:MFO458756 MPK458755:MPK458756 MZG458755:MZG458756 NJC458755:NJC458756 NSY458755:NSY458756 OCU458755:OCU458756 OMQ458755:OMQ458756 OWM458755:OWM458756 PGI458755:PGI458756 PQE458755:PQE458756 QAA458755:QAA458756 QJW458755:QJW458756 QTS458755:QTS458756 RDO458755:RDO458756 RNK458755:RNK458756 RXG458755:RXG458756 SHC458755:SHC458756 SQY458755:SQY458756 TAU458755:TAU458756 TKQ458755:TKQ458756 TUM458755:TUM458756 UEI458755:UEI458756 UOE458755:UOE458756 UYA458755:UYA458756 VHW458755:VHW458756 VRS458755:VRS458756 WBO458755:WBO458756 WLK458755:WLK458756 WVG458755:WVG458756 N524292:N524293 IU524291:IU524292 SQ524291:SQ524292 ACM524291:ACM524292 AMI524291:AMI524292 AWE524291:AWE524292 BGA524291:BGA524292 BPW524291:BPW524292 BZS524291:BZS524292 CJO524291:CJO524292 CTK524291:CTK524292 DDG524291:DDG524292 DNC524291:DNC524292 DWY524291:DWY524292 EGU524291:EGU524292 EQQ524291:EQQ524292 FAM524291:FAM524292 FKI524291:FKI524292 FUE524291:FUE524292 GEA524291:GEA524292 GNW524291:GNW524292 GXS524291:GXS524292 HHO524291:HHO524292 HRK524291:HRK524292 IBG524291:IBG524292 ILC524291:ILC524292 IUY524291:IUY524292 JEU524291:JEU524292 JOQ524291:JOQ524292 JYM524291:JYM524292 KII524291:KII524292 KSE524291:KSE524292 LCA524291:LCA524292 LLW524291:LLW524292 LVS524291:LVS524292 MFO524291:MFO524292 MPK524291:MPK524292 MZG524291:MZG524292 NJC524291:NJC524292 NSY524291:NSY524292 OCU524291:OCU524292 OMQ524291:OMQ524292 OWM524291:OWM524292 PGI524291:PGI524292 PQE524291:PQE524292 QAA524291:QAA524292 QJW524291:QJW524292 QTS524291:QTS524292 RDO524291:RDO524292 RNK524291:RNK524292 RXG524291:RXG524292 SHC524291:SHC524292 SQY524291:SQY524292 TAU524291:TAU524292 TKQ524291:TKQ524292 TUM524291:TUM524292 UEI524291:UEI524292 UOE524291:UOE524292 UYA524291:UYA524292 VHW524291:VHW524292 VRS524291:VRS524292 WBO524291:WBO524292 WLK524291:WLK524292 WVG524291:WVG524292 N589828:N589829 IU589827:IU589828 SQ589827:SQ589828 ACM589827:ACM589828 AMI589827:AMI589828 AWE589827:AWE589828 BGA589827:BGA589828 BPW589827:BPW589828 BZS589827:BZS589828 CJO589827:CJO589828 CTK589827:CTK589828 DDG589827:DDG589828 DNC589827:DNC589828 DWY589827:DWY589828 EGU589827:EGU589828 EQQ589827:EQQ589828 FAM589827:FAM589828 FKI589827:FKI589828 FUE589827:FUE589828 GEA589827:GEA589828 GNW589827:GNW589828 GXS589827:GXS589828 HHO589827:HHO589828 HRK589827:HRK589828 IBG589827:IBG589828 ILC589827:ILC589828 IUY589827:IUY589828 JEU589827:JEU589828 JOQ589827:JOQ589828 JYM589827:JYM589828 KII589827:KII589828 KSE589827:KSE589828 LCA589827:LCA589828 LLW589827:LLW589828 LVS589827:LVS589828 MFO589827:MFO589828 MPK589827:MPK589828 MZG589827:MZG589828 NJC589827:NJC589828 NSY589827:NSY589828 OCU589827:OCU589828 OMQ589827:OMQ589828 OWM589827:OWM589828 PGI589827:PGI589828 PQE589827:PQE589828 QAA589827:QAA589828 QJW589827:QJW589828 QTS589827:QTS589828 RDO589827:RDO589828 RNK589827:RNK589828 RXG589827:RXG589828 SHC589827:SHC589828 SQY589827:SQY589828 TAU589827:TAU589828 TKQ589827:TKQ589828 TUM589827:TUM589828 UEI589827:UEI589828 UOE589827:UOE589828 UYA589827:UYA589828 VHW589827:VHW589828 VRS589827:VRS589828 WBO589827:WBO589828 WLK589827:WLK589828 WVG589827:WVG589828 N655364:N655365 IU655363:IU655364 SQ655363:SQ655364 ACM655363:ACM655364 AMI655363:AMI655364 AWE655363:AWE655364 BGA655363:BGA655364 BPW655363:BPW655364 BZS655363:BZS655364 CJO655363:CJO655364 CTK655363:CTK655364 DDG655363:DDG655364 DNC655363:DNC655364 DWY655363:DWY655364 EGU655363:EGU655364 EQQ655363:EQQ655364 FAM655363:FAM655364 FKI655363:FKI655364 FUE655363:FUE655364 GEA655363:GEA655364 GNW655363:GNW655364 GXS655363:GXS655364 HHO655363:HHO655364 HRK655363:HRK655364 IBG655363:IBG655364 ILC655363:ILC655364 IUY655363:IUY655364 JEU655363:JEU655364 JOQ655363:JOQ655364 JYM655363:JYM655364 KII655363:KII655364 KSE655363:KSE655364 LCA655363:LCA655364 LLW655363:LLW655364 LVS655363:LVS655364 MFO655363:MFO655364 MPK655363:MPK655364 MZG655363:MZG655364 NJC655363:NJC655364 NSY655363:NSY655364 OCU655363:OCU655364 OMQ655363:OMQ655364 OWM655363:OWM655364 PGI655363:PGI655364 PQE655363:PQE655364 QAA655363:QAA655364 QJW655363:QJW655364 QTS655363:QTS655364 RDO655363:RDO655364 RNK655363:RNK655364 RXG655363:RXG655364 SHC655363:SHC655364 SQY655363:SQY655364 TAU655363:TAU655364 TKQ655363:TKQ655364 TUM655363:TUM655364 UEI655363:UEI655364 UOE655363:UOE655364 UYA655363:UYA655364 VHW655363:VHW655364 VRS655363:VRS655364 WBO655363:WBO655364 WLK655363:WLK655364 WVG655363:WVG655364 N720900:N720901 IU720899:IU720900 SQ720899:SQ720900 ACM720899:ACM720900 AMI720899:AMI720900 AWE720899:AWE720900 BGA720899:BGA720900 BPW720899:BPW720900 BZS720899:BZS720900 CJO720899:CJO720900 CTK720899:CTK720900 DDG720899:DDG720900 DNC720899:DNC720900 DWY720899:DWY720900 EGU720899:EGU720900 EQQ720899:EQQ720900 FAM720899:FAM720900 FKI720899:FKI720900 FUE720899:FUE720900 GEA720899:GEA720900 GNW720899:GNW720900 GXS720899:GXS720900 HHO720899:HHO720900 HRK720899:HRK720900 IBG720899:IBG720900 ILC720899:ILC720900 IUY720899:IUY720900 JEU720899:JEU720900 JOQ720899:JOQ720900 JYM720899:JYM720900 KII720899:KII720900 KSE720899:KSE720900 LCA720899:LCA720900 LLW720899:LLW720900 LVS720899:LVS720900 MFO720899:MFO720900 MPK720899:MPK720900 MZG720899:MZG720900 NJC720899:NJC720900 NSY720899:NSY720900 OCU720899:OCU720900 OMQ720899:OMQ720900 OWM720899:OWM720900 PGI720899:PGI720900 PQE720899:PQE720900 QAA720899:QAA720900 QJW720899:QJW720900 QTS720899:QTS720900 RDO720899:RDO720900 RNK720899:RNK720900 RXG720899:RXG720900 SHC720899:SHC720900 SQY720899:SQY720900 TAU720899:TAU720900 TKQ720899:TKQ720900 TUM720899:TUM720900 UEI720899:UEI720900 UOE720899:UOE720900 UYA720899:UYA720900 VHW720899:VHW720900 VRS720899:VRS720900 WBO720899:WBO720900 WLK720899:WLK720900 WVG720899:WVG720900 N786436:N786437 IU786435:IU786436 SQ786435:SQ786436 ACM786435:ACM786436 AMI786435:AMI786436 AWE786435:AWE786436 BGA786435:BGA786436 BPW786435:BPW786436 BZS786435:BZS786436 CJO786435:CJO786436 CTK786435:CTK786436 DDG786435:DDG786436 DNC786435:DNC786436 DWY786435:DWY786436 EGU786435:EGU786436 EQQ786435:EQQ786436 FAM786435:FAM786436 FKI786435:FKI786436 FUE786435:FUE786436 GEA786435:GEA786436 GNW786435:GNW786436 GXS786435:GXS786436 HHO786435:HHO786436 HRK786435:HRK786436 IBG786435:IBG786436 ILC786435:ILC786436 IUY786435:IUY786436 JEU786435:JEU786436 JOQ786435:JOQ786436 JYM786435:JYM786436 KII786435:KII786436 KSE786435:KSE786436 LCA786435:LCA786436 LLW786435:LLW786436 LVS786435:LVS786436 MFO786435:MFO786436 MPK786435:MPK786436 MZG786435:MZG786436 NJC786435:NJC786436 NSY786435:NSY786436 OCU786435:OCU786436 OMQ786435:OMQ786436 OWM786435:OWM786436 PGI786435:PGI786436 PQE786435:PQE786436 QAA786435:QAA786436 QJW786435:QJW786436 QTS786435:QTS786436 RDO786435:RDO786436 RNK786435:RNK786436 RXG786435:RXG786436 SHC786435:SHC786436 SQY786435:SQY786436 TAU786435:TAU786436 TKQ786435:TKQ786436 TUM786435:TUM786436 UEI786435:UEI786436 UOE786435:UOE786436 UYA786435:UYA786436 VHW786435:VHW786436 VRS786435:VRS786436 WBO786435:WBO786436 WLK786435:WLK786436 WVG786435:WVG786436 N851972:N851973 IU851971:IU851972 SQ851971:SQ851972 ACM851971:ACM851972 AMI851971:AMI851972 AWE851971:AWE851972 BGA851971:BGA851972 BPW851971:BPW851972 BZS851971:BZS851972 CJO851971:CJO851972 CTK851971:CTK851972 DDG851971:DDG851972 DNC851971:DNC851972 DWY851971:DWY851972 EGU851971:EGU851972 EQQ851971:EQQ851972 FAM851971:FAM851972 FKI851971:FKI851972 FUE851971:FUE851972 GEA851971:GEA851972 GNW851971:GNW851972 GXS851971:GXS851972 HHO851971:HHO851972 HRK851971:HRK851972 IBG851971:IBG851972 ILC851971:ILC851972 IUY851971:IUY851972 JEU851971:JEU851972 JOQ851971:JOQ851972 JYM851971:JYM851972 KII851971:KII851972 KSE851971:KSE851972 LCA851971:LCA851972 LLW851971:LLW851972 LVS851971:LVS851972 MFO851971:MFO851972 MPK851971:MPK851972 MZG851971:MZG851972 NJC851971:NJC851972 NSY851971:NSY851972 OCU851971:OCU851972 OMQ851971:OMQ851972 OWM851971:OWM851972 PGI851971:PGI851972 PQE851971:PQE851972 QAA851971:QAA851972 QJW851971:QJW851972 QTS851971:QTS851972 RDO851971:RDO851972 RNK851971:RNK851972 RXG851971:RXG851972 SHC851971:SHC851972 SQY851971:SQY851972 TAU851971:TAU851972 TKQ851971:TKQ851972 TUM851971:TUM851972 UEI851971:UEI851972 UOE851971:UOE851972 UYA851971:UYA851972 VHW851971:VHW851972 VRS851971:VRS851972 WBO851971:WBO851972 WLK851971:WLK851972 WVG851971:WVG851972 N917508:N917509 IU917507:IU917508 SQ917507:SQ917508 ACM917507:ACM917508 AMI917507:AMI917508 AWE917507:AWE917508 BGA917507:BGA917508 BPW917507:BPW917508 BZS917507:BZS917508 CJO917507:CJO917508 CTK917507:CTK917508 DDG917507:DDG917508 DNC917507:DNC917508 DWY917507:DWY917508 EGU917507:EGU917508 EQQ917507:EQQ917508 FAM917507:FAM917508 FKI917507:FKI917508 FUE917507:FUE917508 GEA917507:GEA917508 GNW917507:GNW917508 GXS917507:GXS917508 HHO917507:HHO917508 HRK917507:HRK917508 IBG917507:IBG917508 ILC917507:ILC917508 IUY917507:IUY917508 JEU917507:JEU917508 JOQ917507:JOQ917508 JYM917507:JYM917508 KII917507:KII917508 KSE917507:KSE917508 LCA917507:LCA917508 LLW917507:LLW917508 LVS917507:LVS917508 MFO917507:MFO917508 MPK917507:MPK917508 MZG917507:MZG917508 NJC917507:NJC917508 NSY917507:NSY917508 OCU917507:OCU917508 OMQ917507:OMQ917508 OWM917507:OWM917508 PGI917507:PGI917508 PQE917507:PQE917508 QAA917507:QAA917508 QJW917507:QJW917508 QTS917507:QTS917508 RDO917507:RDO917508 RNK917507:RNK917508 RXG917507:RXG917508 SHC917507:SHC917508 SQY917507:SQY917508 TAU917507:TAU917508 TKQ917507:TKQ917508 TUM917507:TUM917508 UEI917507:UEI917508 UOE917507:UOE917508 UYA917507:UYA917508 VHW917507:VHW917508 VRS917507:VRS917508 WBO917507:WBO917508 WLK917507:WLK917508 WVG917507:WVG917508 N983044:N983045 IU983043:IU983044 SQ983043:SQ983044 ACM983043:ACM983044 AMI983043:AMI983044 AWE983043:AWE983044 BGA983043:BGA983044 BPW983043:BPW983044 BZS983043:BZS983044 CJO983043:CJO983044 CTK983043:CTK983044 DDG983043:DDG983044 DNC983043:DNC983044 DWY983043:DWY983044 EGU983043:EGU983044 EQQ983043:EQQ983044 FAM983043:FAM983044 FKI983043:FKI983044 FUE983043:FUE983044 GEA983043:GEA983044 GNW983043:GNW983044 GXS983043:GXS983044 HHO983043:HHO983044 HRK983043:HRK983044 IBG983043:IBG983044 ILC983043:ILC983044 IUY983043:IUY983044 JEU983043:JEU983044 JOQ983043:JOQ983044 JYM983043:JYM983044 KII983043:KII983044 KSE983043:KSE983044 LCA983043:LCA983044 LLW983043:LLW983044 LVS983043:LVS983044 MFO983043:MFO983044 MPK983043:MPK983044 MZG983043:MZG983044 NJC983043:NJC983044 NSY983043:NSY983044 OCU983043:OCU983044 OMQ983043:OMQ983044 OWM983043:OWM983044 PGI983043:PGI983044 PQE983043:PQE983044 QAA983043:QAA983044 QJW983043:QJW983044 QTS983043:QTS983044 RDO983043:RDO983044 RNK983043:RNK983044 RXG983043:RXG983044 SHC983043:SHC983044 SQY983043:SQY983044 TAU983043:TAU983044 TKQ983043:TKQ983044 TUM983043:TUM983044 UEI983043:UEI983044 UOE983043:UOE983044 UYA983043:UYA983044 VHW983043:VHW983044 VRS983043:VRS983044 WBO983043:WBO983044 WLK983043:WLK983044 WVG983043:WVG983044 P65540:P65541 IX65539:IX65540 ST65539:ST65540 ACP65539:ACP65540 AML65539:AML65540 AWH65539:AWH65540 BGD65539:BGD65540 BPZ65539:BPZ65540 BZV65539:BZV65540 CJR65539:CJR65540 CTN65539:CTN65540 DDJ65539:DDJ65540 DNF65539:DNF65540 DXB65539:DXB65540 EGX65539:EGX65540 EQT65539:EQT65540 FAP65539:FAP65540 FKL65539:FKL65540 FUH65539:FUH65540 GED65539:GED65540 GNZ65539:GNZ65540 GXV65539:GXV65540 HHR65539:HHR65540 HRN65539:HRN65540 IBJ65539:IBJ65540 ILF65539:ILF65540 IVB65539:IVB65540 JEX65539:JEX65540 JOT65539:JOT65540 JYP65539:JYP65540 KIL65539:KIL65540 KSH65539:KSH65540 LCD65539:LCD65540 LLZ65539:LLZ65540 LVV65539:LVV65540 MFR65539:MFR65540 MPN65539:MPN65540 MZJ65539:MZJ65540 NJF65539:NJF65540 NTB65539:NTB65540 OCX65539:OCX65540 OMT65539:OMT65540 OWP65539:OWP65540 PGL65539:PGL65540 PQH65539:PQH65540 QAD65539:QAD65540 QJZ65539:QJZ65540 QTV65539:QTV65540 RDR65539:RDR65540 RNN65539:RNN65540 RXJ65539:RXJ65540 SHF65539:SHF65540 SRB65539:SRB65540 TAX65539:TAX65540 TKT65539:TKT65540 TUP65539:TUP65540 UEL65539:UEL65540 UOH65539:UOH65540 UYD65539:UYD65540 VHZ65539:VHZ65540 VRV65539:VRV65540 WBR65539:WBR65540 WLN65539:WLN65540 WVJ65539:WVJ65540 P131076:P131077 IX131075:IX131076 ST131075:ST131076 ACP131075:ACP131076 AML131075:AML131076 AWH131075:AWH131076 BGD131075:BGD131076 BPZ131075:BPZ131076 BZV131075:BZV131076 CJR131075:CJR131076 CTN131075:CTN131076 DDJ131075:DDJ131076 DNF131075:DNF131076 DXB131075:DXB131076 EGX131075:EGX131076 EQT131075:EQT131076 FAP131075:FAP131076 FKL131075:FKL131076 FUH131075:FUH131076 GED131075:GED131076 GNZ131075:GNZ131076 GXV131075:GXV131076 HHR131075:HHR131076 HRN131075:HRN131076 IBJ131075:IBJ131076 ILF131075:ILF131076 IVB131075:IVB131076 JEX131075:JEX131076 JOT131075:JOT131076 JYP131075:JYP131076 KIL131075:KIL131076 KSH131075:KSH131076 LCD131075:LCD131076 LLZ131075:LLZ131076 LVV131075:LVV131076 MFR131075:MFR131076 MPN131075:MPN131076 MZJ131075:MZJ131076 NJF131075:NJF131076 NTB131075:NTB131076 OCX131075:OCX131076 OMT131075:OMT131076 OWP131075:OWP131076 PGL131075:PGL131076 PQH131075:PQH131076 QAD131075:QAD131076 QJZ131075:QJZ131076 QTV131075:QTV131076 RDR131075:RDR131076 RNN131075:RNN131076 RXJ131075:RXJ131076 SHF131075:SHF131076 SRB131075:SRB131076 TAX131075:TAX131076 TKT131075:TKT131076 TUP131075:TUP131076 UEL131075:UEL131076 UOH131075:UOH131076 UYD131075:UYD131076 VHZ131075:VHZ131076 VRV131075:VRV131076 WBR131075:WBR131076 WLN131075:WLN131076 WVJ131075:WVJ131076 P196612:P196613 IX196611:IX196612 ST196611:ST196612 ACP196611:ACP196612 AML196611:AML196612 AWH196611:AWH196612 BGD196611:BGD196612 BPZ196611:BPZ196612 BZV196611:BZV196612 CJR196611:CJR196612 CTN196611:CTN196612 DDJ196611:DDJ196612 DNF196611:DNF196612 DXB196611:DXB196612 EGX196611:EGX196612 EQT196611:EQT196612 FAP196611:FAP196612 FKL196611:FKL196612 FUH196611:FUH196612 GED196611:GED196612 GNZ196611:GNZ196612 GXV196611:GXV196612 HHR196611:HHR196612 HRN196611:HRN196612 IBJ196611:IBJ196612 ILF196611:ILF196612 IVB196611:IVB196612 JEX196611:JEX196612 JOT196611:JOT196612 JYP196611:JYP196612 KIL196611:KIL196612 KSH196611:KSH196612 LCD196611:LCD196612 LLZ196611:LLZ196612 LVV196611:LVV196612 MFR196611:MFR196612 MPN196611:MPN196612 MZJ196611:MZJ196612 NJF196611:NJF196612 NTB196611:NTB196612 OCX196611:OCX196612 OMT196611:OMT196612 OWP196611:OWP196612 PGL196611:PGL196612 PQH196611:PQH196612 QAD196611:QAD196612 QJZ196611:QJZ196612 QTV196611:QTV196612 RDR196611:RDR196612 RNN196611:RNN196612 RXJ196611:RXJ196612 SHF196611:SHF196612 SRB196611:SRB196612 TAX196611:TAX196612 TKT196611:TKT196612 TUP196611:TUP196612 UEL196611:UEL196612 UOH196611:UOH196612 UYD196611:UYD196612 VHZ196611:VHZ196612 VRV196611:VRV196612 WBR196611:WBR196612 WLN196611:WLN196612 WVJ196611:WVJ196612 P262148:P262149 IX262147:IX262148 ST262147:ST262148 ACP262147:ACP262148 AML262147:AML262148 AWH262147:AWH262148 BGD262147:BGD262148 BPZ262147:BPZ262148 BZV262147:BZV262148 CJR262147:CJR262148 CTN262147:CTN262148 DDJ262147:DDJ262148 DNF262147:DNF262148 DXB262147:DXB262148 EGX262147:EGX262148 EQT262147:EQT262148 FAP262147:FAP262148 FKL262147:FKL262148 FUH262147:FUH262148 GED262147:GED262148 GNZ262147:GNZ262148 GXV262147:GXV262148 HHR262147:HHR262148 HRN262147:HRN262148 IBJ262147:IBJ262148 ILF262147:ILF262148 IVB262147:IVB262148 JEX262147:JEX262148 JOT262147:JOT262148 JYP262147:JYP262148 KIL262147:KIL262148 KSH262147:KSH262148 LCD262147:LCD262148 LLZ262147:LLZ262148 LVV262147:LVV262148 MFR262147:MFR262148 MPN262147:MPN262148 MZJ262147:MZJ262148 NJF262147:NJF262148 NTB262147:NTB262148 OCX262147:OCX262148 OMT262147:OMT262148 OWP262147:OWP262148 PGL262147:PGL262148 PQH262147:PQH262148 QAD262147:QAD262148 QJZ262147:QJZ262148 QTV262147:QTV262148 RDR262147:RDR262148 RNN262147:RNN262148 RXJ262147:RXJ262148 SHF262147:SHF262148 SRB262147:SRB262148 TAX262147:TAX262148 TKT262147:TKT262148 TUP262147:TUP262148 UEL262147:UEL262148 UOH262147:UOH262148 UYD262147:UYD262148 VHZ262147:VHZ262148 VRV262147:VRV262148 WBR262147:WBR262148 WLN262147:WLN262148 WVJ262147:WVJ262148 P327684:P327685 IX327683:IX327684 ST327683:ST327684 ACP327683:ACP327684 AML327683:AML327684 AWH327683:AWH327684 BGD327683:BGD327684 BPZ327683:BPZ327684 BZV327683:BZV327684 CJR327683:CJR327684 CTN327683:CTN327684 DDJ327683:DDJ327684 DNF327683:DNF327684 DXB327683:DXB327684 EGX327683:EGX327684 EQT327683:EQT327684 FAP327683:FAP327684 FKL327683:FKL327684 FUH327683:FUH327684 GED327683:GED327684 GNZ327683:GNZ327684 GXV327683:GXV327684 HHR327683:HHR327684 HRN327683:HRN327684 IBJ327683:IBJ327684 ILF327683:ILF327684 IVB327683:IVB327684 JEX327683:JEX327684 JOT327683:JOT327684 JYP327683:JYP327684 KIL327683:KIL327684 KSH327683:KSH327684 LCD327683:LCD327684 LLZ327683:LLZ327684 LVV327683:LVV327684 MFR327683:MFR327684 MPN327683:MPN327684 MZJ327683:MZJ327684 NJF327683:NJF327684 NTB327683:NTB327684 OCX327683:OCX327684 OMT327683:OMT327684 OWP327683:OWP327684 PGL327683:PGL327684 PQH327683:PQH327684 QAD327683:QAD327684 QJZ327683:QJZ327684 QTV327683:QTV327684 RDR327683:RDR327684 RNN327683:RNN327684 RXJ327683:RXJ327684 SHF327683:SHF327684 SRB327683:SRB327684 TAX327683:TAX327684 TKT327683:TKT327684 TUP327683:TUP327684 UEL327683:UEL327684 UOH327683:UOH327684 UYD327683:UYD327684 VHZ327683:VHZ327684 VRV327683:VRV327684 WBR327683:WBR327684 WLN327683:WLN327684 WVJ327683:WVJ327684 P393220:P393221 IX393219:IX393220 ST393219:ST393220 ACP393219:ACP393220 AML393219:AML393220 AWH393219:AWH393220 BGD393219:BGD393220 BPZ393219:BPZ393220 BZV393219:BZV393220 CJR393219:CJR393220 CTN393219:CTN393220 DDJ393219:DDJ393220 DNF393219:DNF393220 DXB393219:DXB393220 EGX393219:EGX393220 EQT393219:EQT393220 FAP393219:FAP393220 FKL393219:FKL393220 FUH393219:FUH393220 GED393219:GED393220 GNZ393219:GNZ393220 GXV393219:GXV393220 HHR393219:HHR393220 HRN393219:HRN393220 IBJ393219:IBJ393220 ILF393219:ILF393220 IVB393219:IVB393220 JEX393219:JEX393220 JOT393219:JOT393220 JYP393219:JYP393220 KIL393219:KIL393220 KSH393219:KSH393220 LCD393219:LCD393220 LLZ393219:LLZ393220 LVV393219:LVV393220 MFR393219:MFR393220 MPN393219:MPN393220 MZJ393219:MZJ393220 NJF393219:NJF393220 NTB393219:NTB393220 OCX393219:OCX393220 OMT393219:OMT393220 OWP393219:OWP393220 PGL393219:PGL393220 PQH393219:PQH393220 QAD393219:QAD393220 QJZ393219:QJZ393220 QTV393219:QTV393220 RDR393219:RDR393220 RNN393219:RNN393220 RXJ393219:RXJ393220 SHF393219:SHF393220 SRB393219:SRB393220 TAX393219:TAX393220 TKT393219:TKT393220 TUP393219:TUP393220 UEL393219:UEL393220 UOH393219:UOH393220 UYD393219:UYD393220 VHZ393219:VHZ393220 VRV393219:VRV393220 WBR393219:WBR393220 WLN393219:WLN393220 WVJ393219:WVJ393220 P458756:P458757 IX458755:IX458756 ST458755:ST458756 ACP458755:ACP458756 AML458755:AML458756 AWH458755:AWH458756 BGD458755:BGD458756 BPZ458755:BPZ458756 BZV458755:BZV458756 CJR458755:CJR458756 CTN458755:CTN458756 DDJ458755:DDJ458756 DNF458755:DNF458756 DXB458755:DXB458756 EGX458755:EGX458756 EQT458755:EQT458756 FAP458755:FAP458756 FKL458755:FKL458756 FUH458755:FUH458756 GED458755:GED458756 GNZ458755:GNZ458756 GXV458755:GXV458756 HHR458755:HHR458756 HRN458755:HRN458756 IBJ458755:IBJ458756 ILF458755:ILF458756 IVB458755:IVB458756 JEX458755:JEX458756 JOT458755:JOT458756 JYP458755:JYP458756 KIL458755:KIL458756 KSH458755:KSH458756 LCD458755:LCD458756 LLZ458755:LLZ458756 LVV458755:LVV458756 MFR458755:MFR458756 MPN458755:MPN458756 MZJ458755:MZJ458756 NJF458755:NJF458756 NTB458755:NTB458756 OCX458755:OCX458756 OMT458755:OMT458756 OWP458755:OWP458756 PGL458755:PGL458756 PQH458755:PQH458756 QAD458755:QAD458756 QJZ458755:QJZ458756 QTV458755:QTV458756 RDR458755:RDR458756 RNN458755:RNN458756 RXJ458755:RXJ458756 SHF458755:SHF458756 SRB458755:SRB458756 TAX458755:TAX458756 TKT458755:TKT458756 TUP458755:TUP458756 UEL458755:UEL458756 UOH458755:UOH458756 UYD458755:UYD458756 VHZ458755:VHZ458756 VRV458755:VRV458756 WBR458755:WBR458756 WLN458755:WLN458756 WVJ458755:WVJ458756 P524292:P524293 IX524291:IX524292 ST524291:ST524292 ACP524291:ACP524292 AML524291:AML524292 AWH524291:AWH524292 BGD524291:BGD524292 BPZ524291:BPZ524292 BZV524291:BZV524292 CJR524291:CJR524292 CTN524291:CTN524292 DDJ524291:DDJ524292 DNF524291:DNF524292 DXB524291:DXB524292 EGX524291:EGX524292 EQT524291:EQT524292 FAP524291:FAP524292 FKL524291:FKL524292 FUH524291:FUH524292 GED524291:GED524292 GNZ524291:GNZ524292 GXV524291:GXV524292 HHR524291:HHR524292 HRN524291:HRN524292 IBJ524291:IBJ524292 ILF524291:ILF524292 IVB524291:IVB524292 JEX524291:JEX524292 JOT524291:JOT524292 JYP524291:JYP524292 KIL524291:KIL524292 KSH524291:KSH524292 LCD524291:LCD524292 LLZ524291:LLZ524292 LVV524291:LVV524292 MFR524291:MFR524292 MPN524291:MPN524292 MZJ524291:MZJ524292 NJF524291:NJF524292 NTB524291:NTB524292 OCX524291:OCX524292 OMT524291:OMT524292 OWP524291:OWP524292 PGL524291:PGL524292 PQH524291:PQH524292 QAD524291:QAD524292 QJZ524291:QJZ524292 QTV524291:QTV524292 RDR524291:RDR524292 RNN524291:RNN524292 RXJ524291:RXJ524292 SHF524291:SHF524292 SRB524291:SRB524292 TAX524291:TAX524292 TKT524291:TKT524292 TUP524291:TUP524292 UEL524291:UEL524292 UOH524291:UOH524292 UYD524291:UYD524292 VHZ524291:VHZ524292 VRV524291:VRV524292 WBR524291:WBR524292 WLN524291:WLN524292 WVJ524291:WVJ524292 P589828:P589829 IX589827:IX589828 ST589827:ST589828 ACP589827:ACP589828 AML589827:AML589828 AWH589827:AWH589828 BGD589827:BGD589828 BPZ589827:BPZ589828 BZV589827:BZV589828 CJR589827:CJR589828 CTN589827:CTN589828 DDJ589827:DDJ589828 DNF589827:DNF589828 DXB589827:DXB589828 EGX589827:EGX589828 EQT589827:EQT589828 FAP589827:FAP589828 FKL589827:FKL589828 FUH589827:FUH589828 GED589827:GED589828 GNZ589827:GNZ589828 GXV589827:GXV589828 HHR589827:HHR589828 HRN589827:HRN589828 IBJ589827:IBJ589828 ILF589827:ILF589828 IVB589827:IVB589828 JEX589827:JEX589828 JOT589827:JOT589828 JYP589827:JYP589828 KIL589827:KIL589828 KSH589827:KSH589828 LCD589827:LCD589828 LLZ589827:LLZ589828 LVV589827:LVV589828 MFR589827:MFR589828 MPN589827:MPN589828 MZJ589827:MZJ589828 NJF589827:NJF589828 NTB589827:NTB589828 OCX589827:OCX589828 OMT589827:OMT589828 OWP589827:OWP589828 PGL589827:PGL589828 PQH589827:PQH589828 QAD589827:QAD589828 QJZ589827:QJZ589828 QTV589827:QTV589828 RDR589827:RDR589828 RNN589827:RNN589828 RXJ589827:RXJ589828 SHF589827:SHF589828 SRB589827:SRB589828 TAX589827:TAX589828 TKT589827:TKT589828 TUP589827:TUP589828 UEL589827:UEL589828 UOH589827:UOH589828 UYD589827:UYD589828 VHZ589827:VHZ589828 VRV589827:VRV589828 WBR589827:WBR589828 WLN589827:WLN589828 WVJ589827:WVJ589828 P655364:P655365 IX655363:IX655364 ST655363:ST655364 ACP655363:ACP655364 AML655363:AML655364 AWH655363:AWH655364 BGD655363:BGD655364 BPZ655363:BPZ655364 BZV655363:BZV655364 CJR655363:CJR655364 CTN655363:CTN655364 DDJ655363:DDJ655364 DNF655363:DNF655364 DXB655363:DXB655364 EGX655363:EGX655364 EQT655363:EQT655364 FAP655363:FAP655364 FKL655363:FKL655364 FUH655363:FUH655364 GED655363:GED655364 GNZ655363:GNZ655364 GXV655363:GXV655364 HHR655363:HHR655364 HRN655363:HRN655364 IBJ655363:IBJ655364 ILF655363:ILF655364 IVB655363:IVB655364 JEX655363:JEX655364 JOT655363:JOT655364 JYP655363:JYP655364 KIL655363:KIL655364 KSH655363:KSH655364 LCD655363:LCD655364 LLZ655363:LLZ655364 LVV655363:LVV655364 MFR655363:MFR655364 MPN655363:MPN655364 MZJ655363:MZJ655364 NJF655363:NJF655364 NTB655363:NTB655364 OCX655363:OCX655364 OMT655363:OMT655364 OWP655363:OWP655364 PGL655363:PGL655364 PQH655363:PQH655364 QAD655363:QAD655364 QJZ655363:QJZ655364 QTV655363:QTV655364 RDR655363:RDR655364 RNN655363:RNN655364 RXJ655363:RXJ655364 SHF655363:SHF655364 SRB655363:SRB655364 TAX655363:TAX655364 TKT655363:TKT655364 TUP655363:TUP655364 UEL655363:UEL655364 UOH655363:UOH655364 UYD655363:UYD655364 VHZ655363:VHZ655364 VRV655363:VRV655364 WBR655363:WBR655364 WLN655363:WLN655364 WVJ655363:WVJ655364 P720900:P720901 IX720899:IX720900 ST720899:ST720900 ACP720899:ACP720900 AML720899:AML720900 AWH720899:AWH720900 BGD720899:BGD720900 BPZ720899:BPZ720900 BZV720899:BZV720900 CJR720899:CJR720900 CTN720899:CTN720900 DDJ720899:DDJ720900 DNF720899:DNF720900 DXB720899:DXB720900 EGX720899:EGX720900 EQT720899:EQT720900 FAP720899:FAP720900 FKL720899:FKL720900 FUH720899:FUH720900 GED720899:GED720900 GNZ720899:GNZ720900 GXV720899:GXV720900 HHR720899:HHR720900 HRN720899:HRN720900 IBJ720899:IBJ720900 ILF720899:ILF720900 IVB720899:IVB720900 JEX720899:JEX720900 JOT720899:JOT720900 JYP720899:JYP720900 KIL720899:KIL720900 KSH720899:KSH720900 LCD720899:LCD720900 LLZ720899:LLZ720900 LVV720899:LVV720900 MFR720899:MFR720900 MPN720899:MPN720900 MZJ720899:MZJ720900 NJF720899:NJF720900 NTB720899:NTB720900 OCX720899:OCX720900 OMT720899:OMT720900 OWP720899:OWP720900 PGL720899:PGL720900 PQH720899:PQH720900 QAD720899:QAD720900 QJZ720899:QJZ720900 QTV720899:QTV720900 RDR720899:RDR720900 RNN720899:RNN720900 RXJ720899:RXJ720900 SHF720899:SHF720900 SRB720899:SRB720900 TAX720899:TAX720900 TKT720899:TKT720900 TUP720899:TUP720900 UEL720899:UEL720900 UOH720899:UOH720900 UYD720899:UYD720900 VHZ720899:VHZ720900 VRV720899:VRV720900 WBR720899:WBR720900 WLN720899:WLN720900 WVJ720899:WVJ720900 P786436:P786437 IX786435:IX786436 ST786435:ST786436 ACP786435:ACP786436 AML786435:AML786436 AWH786435:AWH786436 BGD786435:BGD786436 BPZ786435:BPZ786436 BZV786435:BZV786436 CJR786435:CJR786436 CTN786435:CTN786436 DDJ786435:DDJ786436 DNF786435:DNF786436 DXB786435:DXB786436 EGX786435:EGX786436 EQT786435:EQT786436 FAP786435:FAP786436 FKL786435:FKL786436 FUH786435:FUH786436 GED786435:GED786436 GNZ786435:GNZ786436 GXV786435:GXV786436 HHR786435:HHR786436 HRN786435:HRN786436 IBJ786435:IBJ786436 ILF786435:ILF786436 IVB786435:IVB786436 JEX786435:JEX786436 JOT786435:JOT786436 JYP786435:JYP786436 KIL786435:KIL786436 KSH786435:KSH786436 LCD786435:LCD786436 LLZ786435:LLZ786436 LVV786435:LVV786436 MFR786435:MFR786436 MPN786435:MPN786436 MZJ786435:MZJ786436 NJF786435:NJF786436 NTB786435:NTB786436 OCX786435:OCX786436 OMT786435:OMT786436 OWP786435:OWP786436 PGL786435:PGL786436 PQH786435:PQH786436 QAD786435:QAD786436 QJZ786435:QJZ786436 QTV786435:QTV786436 RDR786435:RDR786436 RNN786435:RNN786436 RXJ786435:RXJ786436 SHF786435:SHF786436 SRB786435:SRB786436 TAX786435:TAX786436 TKT786435:TKT786436 TUP786435:TUP786436 UEL786435:UEL786436 UOH786435:UOH786436 UYD786435:UYD786436 VHZ786435:VHZ786436 VRV786435:VRV786436 WBR786435:WBR786436 WLN786435:WLN786436 WVJ786435:WVJ786436 P851972:P851973 IX851971:IX851972 ST851971:ST851972 ACP851971:ACP851972 AML851971:AML851972 AWH851971:AWH851972 BGD851971:BGD851972 BPZ851971:BPZ851972 BZV851971:BZV851972 CJR851971:CJR851972 CTN851971:CTN851972 DDJ851971:DDJ851972 DNF851971:DNF851972 DXB851971:DXB851972 EGX851971:EGX851972 EQT851971:EQT851972 FAP851971:FAP851972 FKL851971:FKL851972 FUH851971:FUH851972 GED851971:GED851972 GNZ851971:GNZ851972 GXV851971:GXV851972 HHR851971:HHR851972 HRN851971:HRN851972 IBJ851971:IBJ851972 ILF851971:ILF851972 IVB851971:IVB851972 JEX851971:JEX851972 JOT851971:JOT851972 JYP851971:JYP851972 KIL851971:KIL851972 KSH851971:KSH851972 LCD851971:LCD851972 LLZ851971:LLZ851972 LVV851971:LVV851972 MFR851971:MFR851972 MPN851971:MPN851972 MZJ851971:MZJ851972 NJF851971:NJF851972 NTB851971:NTB851972 OCX851971:OCX851972 OMT851971:OMT851972 OWP851971:OWP851972 PGL851971:PGL851972 PQH851971:PQH851972 QAD851971:QAD851972 QJZ851971:QJZ851972 QTV851971:QTV851972 RDR851971:RDR851972 RNN851971:RNN851972 RXJ851971:RXJ851972 SHF851971:SHF851972 SRB851971:SRB851972 TAX851971:TAX851972 TKT851971:TKT851972 TUP851971:TUP851972 UEL851971:UEL851972 UOH851971:UOH851972 UYD851971:UYD851972 VHZ851971:VHZ851972 VRV851971:VRV851972 WBR851971:WBR851972 WLN851971:WLN851972 WVJ851971:WVJ851972 P917508:P917509 IX917507:IX917508 ST917507:ST917508 ACP917507:ACP917508 AML917507:AML917508 AWH917507:AWH917508 BGD917507:BGD917508 BPZ917507:BPZ917508 BZV917507:BZV917508 CJR917507:CJR917508 CTN917507:CTN917508 DDJ917507:DDJ917508 DNF917507:DNF917508 DXB917507:DXB917508 EGX917507:EGX917508 EQT917507:EQT917508 FAP917507:FAP917508 FKL917507:FKL917508 FUH917507:FUH917508 GED917507:GED917508 GNZ917507:GNZ917508 GXV917507:GXV917508 HHR917507:HHR917508 HRN917507:HRN917508 IBJ917507:IBJ917508 ILF917507:ILF917508 IVB917507:IVB917508 JEX917507:JEX917508 JOT917507:JOT917508 JYP917507:JYP917508 KIL917507:KIL917508 KSH917507:KSH917508 LCD917507:LCD917508 LLZ917507:LLZ917508 LVV917507:LVV917508 MFR917507:MFR917508 MPN917507:MPN917508 MZJ917507:MZJ917508 NJF917507:NJF917508 NTB917507:NTB917508 OCX917507:OCX917508 OMT917507:OMT917508 OWP917507:OWP917508 PGL917507:PGL917508 PQH917507:PQH917508 QAD917507:QAD917508 QJZ917507:QJZ917508 QTV917507:QTV917508 RDR917507:RDR917508 RNN917507:RNN917508 RXJ917507:RXJ917508 SHF917507:SHF917508 SRB917507:SRB917508 TAX917507:TAX917508 TKT917507:TKT917508 TUP917507:TUP917508 UEL917507:UEL917508 UOH917507:UOH917508 UYD917507:UYD917508 VHZ917507:VHZ917508 VRV917507:VRV917508 WBR917507:WBR917508 WLN917507:WLN917508 WVJ917507:WVJ917508 P983044:P983045 IX983043:IX983044 ST983043:ST983044 ACP983043:ACP983044 AML983043:AML983044 AWH983043:AWH983044 BGD983043:BGD983044 BPZ983043:BPZ983044 BZV983043:BZV983044 CJR983043:CJR983044 CTN983043:CTN983044 DDJ983043:DDJ983044 DNF983043:DNF983044 DXB983043:DXB983044 EGX983043:EGX983044 EQT983043:EQT983044 FAP983043:FAP983044 FKL983043:FKL983044 FUH983043:FUH983044 GED983043:GED983044 GNZ983043:GNZ983044 GXV983043:GXV983044 HHR983043:HHR983044 HRN983043:HRN983044 IBJ983043:IBJ983044 ILF983043:ILF983044 IVB983043:IVB983044 JEX983043:JEX983044 JOT983043:JOT983044 JYP983043:JYP983044 KIL983043:KIL983044 KSH983043:KSH983044 LCD983043:LCD983044 LLZ983043:LLZ983044 LVV983043:LVV983044 MFR983043:MFR983044 MPN983043:MPN983044 MZJ983043:MZJ983044 NJF983043:NJF983044 NTB983043:NTB983044 OCX983043:OCX983044 OMT983043:OMT983044 OWP983043:OWP983044 PGL983043:PGL983044 PQH983043:PQH983044 QAD983043:QAD983044 QJZ983043:QJZ983044 QTV983043:QTV983044 RDR983043:RDR983044 RNN983043:RNN983044 RXJ983043:RXJ983044 SHF983043:SHF983044 SRB983043:SRB983044 TAX983043:TAX983044 TKT983043:TKT983044 TUP983043:TUP983044 UEL983043:UEL983044 UOH983043:UOH983044 UYD983043:UYD983044 VHZ983043:VHZ983044 VRV983043:VRV983044 WBR983043:WBR983044 WLN983043:WLN983044 WVJ983043:WVJ983044 R65540:R65541 JA65539:JA65540 SW65539:SW65540 ACS65539:ACS65540 AMO65539:AMO65540 AWK65539:AWK65540 BGG65539:BGG65540 BQC65539:BQC65540 BZY65539:BZY65540 CJU65539:CJU65540 CTQ65539:CTQ65540 DDM65539:DDM65540 DNI65539:DNI65540 DXE65539:DXE65540 EHA65539:EHA65540 EQW65539:EQW65540 FAS65539:FAS65540 FKO65539:FKO65540 FUK65539:FUK65540 GEG65539:GEG65540 GOC65539:GOC65540 GXY65539:GXY65540 HHU65539:HHU65540 HRQ65539:HRQ65540 IBM65539:IBM65540 ILI65539:ILI65540 IVE65539:IVE65540 JFA65539:JFA65540 JOW65539:JOW65540 JYS65539:JYS65540 KIO65539:KIO65540 KSK65539:KSK65540 LCG65539:LCG65540 LMC65539:LMC65540 LVY65539:LVY65540 MFU65539:MFU65540 MPQ65539:MPQ65540 MZM65539:MZM65540 NJI65539:NJI65540 NTE65539:NTE65540 ODA65539:ODA65540 OMW65539:OMW65540 OWS65539:OWS65540 PGO65539:PGO65540 PQK65539:PQK65540 QAG65539:QAG65540 QKC65539:QKC65540 QTY65539:QTY65540 RDU65539:RDU65540 RNQ65539:RNQ65540 RXM65539:RXM65540 SHI65539:SHI65540 SRE65539:SRE65540 TBA65539:TBA65540 TKW65539:TKW65540 TUS65539:TUS65540 UEO65539:UEO65540 UOK65539:UOK65540 UYG65539:UYG65540 VIC65539:VIC65540 VRY65539:VRY65540 WBU65539:WBU65540 WLQ65539:WLQ65540 WVM65539:WVM65540 R131076:R131077 JA131075:JA131076 SW131075:SW131076 ACS131075:ACS131076 AMO131075:AMO131076 AWK131075:AWK131076 BGG131075:BGG131076 BQC131075:BQC131076 BZY131075:BZY131076 CJU131075:CJU131076 CTQ131075:CTQ131076 DDM131075:DDM131076 DNI131075:DNI131076 DXE131075:DXE131076 EHA131075:EHA131076 EQW131075:EQW131076 FAS131075:FAS131076 FKO131075:FKO131076 FUK131075:FUK131076 GEG131075:GEG131076 GOC131075:GOC131076 GXY131075:GXY131076 HHU131075:HHU131076 HRQ131075:HRQ131076 IBM131075:IBM131076 ILI131075:ILI131076 IVE131075:IVE131076 JFA131075:JFA131076 JOW131075:JOW131076 JYS131075:JYS131076 KIO131075:KIO131076 KSK131075:KSK131076 LCG131075:LCG131076 LMC131075:LMC131076 LVY131075:LVY131076 MFU131075:MFU131076 MPQ131075:MPQ131076 MZM131075:MZM131076 NJI131075:NJI131076 NTE131075:NTE131076 ODA131075:ODA131076 OMW131075:OMW131076 OWS131075:OWS131076 PGO131075:PGO131076 PQK131075:PQK131076 QAG131075:QAG131076 QKC131075:QKC131076 QTY131075:QTY131076 RDU131075:RDU131076 RNQ131075:RNQ131076 RXM131075:RXM131076 SHI131075:SHI131076 SRE131075:SRE131076 TBA131075:TBA131076 TKW131075:TKW131076 TUS131075:TUS131076 UEO131075:UEO131076 UOK131075:UOK131076 UYG131075:UYG131076 VIC131075:VIC131076 VRY131075:VRY131076 WBU131075:WBU131076 WLQ131075:WLQ131076 WVM131075:WVM131076 R196612:R196613 JA196611:JA196612 SW196611:SW196612 ACS196611:ACS196612 AMO196611:AMO196612 AWK196611:AWK196612 BGG196611:BGG196612 BQC196611:BQC196612 BZY196611:BZY196612 CJU196611:CJU196612 CTQ196611:CTQ196612 DDM196611:DDM196612 DNI196611:DNI196612 DXE196611:DXE196612 EHA196611:EHA196612 EQW196611:EQW196612 FAS196611:FAS196612 FKO196611:FKO196612 FUK196611:FUK196612 GEG196611:GEG196612 GOC196611:GOC196612 GXY196611:GXY196612 HHU196611:HHU196612 HRQ196611:HRQ196612 IBM196611:IBM196612 ILI196611:ILI196612 IVE196611:IVE196612 JFA196611:JFA196612 JOW196611:JOW196612 JYS196611:JYS196612 KIO196611:KIO196612 KSK196611:KSK196612 LCG196611:LCG196612 LMC196611:LMC196612 LVY196611:LVY196612 MFU196611:MFU196612 MPQ196611:MPQ196612 MZM196611:MZM196612 NJI196611:NJI196612 NTE196611:NTE196612 ODA196611:ODA196612 OMW196611:OMW196612 OWS196611:OWS196612 PGO196611:PGO196612 PQK196611:PQK196612 QAG196611:QAG196612 QKC196611:QKC196612 QTY196611:QTY196612 RDU196611:RDU196612 RNQ196611:RNQ196612 RXM196611:RXM196612 SHI196611:SHI196612 SRE196611:SRE196612 TBA196611:TBA196612 TKW196611:TKW196612 TUS196611:TUS196612 UEO196611:UEO196612 UOK196611:UOK196612 UYG196611:UYG196612 VIC196611:VIC196612 VRY196611:VRY196612 WBU196611:WBU196612 WLQ196611:WLQ196612 WVM196611:WVM196612 R262148:R262149 JA262147:JA262148 SW262147:SW262148 ACS262147:ACS262148 AMO262147:AMO262148 AWK262147:AWK262148 BGG262147:BGG262148 BQC262147:BQC262148 BZY262147:BZY262148 CJU262147:CJU262148 CTQ262147:CTQ262148 DDM262147:DDM262148 DNI262147:DNI262148 DXE262147:DXE262148 EHA262147:EHA262148 EQW262147:EQW262148 FAS262147:FAS262148 FKO262147:FKO262148 FUK262147:FUK262148 GEG262147:GEG262148 GOC262147:GOC262148 GXY262147:GXY262148 HHU262147:HHU262148 HRQ262147:HRQ262148 IBM262147:IBM262148 ILI262147:ILI262148 IVE262147:IVE262148 JFA262147:JFA262148 JOW262147:JOW262148 JYS262147:JYS262148 KIO262147:KIO262148 KSK262147:KSK262148 LCG262147:LCG262148 LMC262147:LMC262148 LVY262147:LVY262148 MFU262147:MFU262148 MPQ262147:MPQ262148 MZM262147:MZM262148 NJI262147:NJI262148 NTE262147:NTE262148 ODA262147:ODA262148 OMW262147:OMW262148 OWS262147:OWS262148 PGO262147:PGO262148 PQK262147:PQK262148 QAG262147:QAG262148 QKC262147:QKC262148 QTY262147:QTY262148 RDU262147:RDU262148 RNQ262147:RNQ262148 RXM262147:RXM262148 SHI262147:SHI262148 SRE262147:SRE262148 TBA262147:TBA262148 TKW262147:TKW262148 TUS262147:TUS262148 UEO262147:UEO262148 UOK262147:UOK262148 UYG262147:UYG262148 VIC262147:VIC262148 VRY262147:VRY262148 WBU262147:WBU262148 WLQ262147:WLQ262148 WVM262147:WVM262148 R327684:R327685 JA327683:JA327684 SW327683:SW327684 ACS327683:ACS327684 AMO327683:AMO327684 AWK327683:AWK327684 BGG327683:BGG327684 BQC327683:BQC327684 BZY327683:BZY327684 CJU327683:CJU327684 CTQ327683:CTQ327684 DDM327683:DDM327684 DNI327683:DNI327684 DXE327683:DXE327684 EHA327683:EHA327684 EQW327683:EQW327684 FAS327683:FAS327684 FKO327683:FKO327684 FUK327683:FUK327684 GEG327683:GEG327684 GOC327683:GOC327684 GXY327683:GXY327684 HHU327683:HHU327684 HRQ327683:HRQ327684 IBM327683:IBM327684 ILI327683:ILI327684 IVE327683:IVE327684 JFA327683:JFA327684 JOW327683:JOW327684 JYS327683:JYS327684 KIO327683:KIO327684 KSK327683:KSK327684 LCG327683:LCG327684 LMC327683:LMC327684 LVY327683:LVY327684 MFU327683:MFU327684 MPQ327683:MPQ327684 MZM327683:MZM327684 NJI327683:NJI327684 NTE327683:NTE327684 ODA327683:ODA327684 OMW327683:OMW327684 OWS327683:OWS327684 PGO327683:PGO327684 PQK327683:PQK327684 QAG327683:QAG327684 QKC327683:QKC327684 QTY327683:QTY327684 RDU327683:RDU327684 RNQ327683:RNQ327684 RXM327683:RXM327684 SHI327683:SHI327684 SRE327683:SRE327684 TBA327683:TBA327684 TKW327683:TKW327684 TUS327683:TUS327684 UEO327683:UEO327684 UOK327683:UOK327684 UYG327683:UYG327684 VIC327683:VIC327684 VRY327683:VRY327684 WBU327683:WBU327684 WLQ327683:WLQ327684 WVM327683:WVM327684 R393220:R393221 JA393219:JA393220 SW393219:SW393220 ACS393219:ACS393220 AMO393219:AMO393220 AWK393219:AWK393220 BGG393219:BGG393220 BQC393219:BQC393220 BZY393219:BZY393220 CJU393219:CJU393220 CTQ393219:CTQ393220 DDM393219:DDM393220 DNI393219:DNI393220 DXE393219:DXE393220 EHA393219:EHA393220 EQW393219:EQW393220 FAS393219:FAS393220 FKO393219:FKO393220 FUK393219:FUK393220 GEG393219:GEG393220 GOC393219:GOC393220 GXY393219:GXY393220 HHU393219:HHU393220 HRQ393219:HRQ393220 IBM393219:IBM393220 ILI393219:ILI393220 IVE393219:IVE393220 JFA393219:JFA393220 JOW393219:JOW393220 JYS393219:JYS393220 KIO393219:KIO393220 KSK393219:KSK393220 LCG393219:LCG393220 LMC393219:LMC393220 LVY393219:LVY393220 MFU393219:MFU393220 MPQ393219:MPQ393220 MZM393219:MZM393220 NJI393219:NJI393220 NTE393219:NTE393220 ODA393219:ODA393220 OMW393219:OMW393220 OWS393219:OWS393220 PGO393219:PGO393220 PQK393219:PQK393220 QAG393219:QAG393220 QKC393219:QKC393220 QTY393219:QTY393220 RDU393219:RDU393220 RNQ393219:RNQ393220 RXM393219:RXM393220 SHI393219:SHI393220 SRE393219:SRE393220 TBA393219:TBA393220 TKW393219:TKW393220 TUS393219:TUS393220 UEO393219:UEO393220 UOK393219:UOK393220 UYG393219:UYG393220 VIC393219:VIC393220 VRY393219:VRY393220 WBU393219:WBU393220 WLQ393219:WLQ393220 WVM393219:WVM393220 R458756:R458757 JA458755:JA458756 SW458755:SW458756 ACS458755:ACS458756 AMO458755:AMO458756 AWK458755:AWK458756 BGG458755:BGG458756 BQC458755:BQC458756 BZY458755:BZY458756 CJU458755:CJU458756 CTQ458755:CTQ458756 DDM458755:DDM458756 DNI458755:DNI458756 DXE458755:DXE458756 EHA458755:EHA458756 EQW458755:EQW458756 FAS458755:FAS458756 FKO458755:FKO458756 FUK458755:FUK458756 GEG458755:GEG458756 GOC458755:GOC458756 GXY458755:GXY458756 HHU458755:HHU458756 HRQ458755:HRQ458756 IBM458755:IBM458756 ILI458755:ILI458756 IVE458755:IVE458756 JFA458755:JFA458756 JOW458755:JOW458756 JYS458755:JYS458756 KIO458755:KIO458756 KSK458755:KSK458756 LCG458755:LCG458756 LMC458755:LMC458756 LVY458755:LVY458756 MFU458755:MFU458756 MPQ458755:MPQ458756 MZM458755:MZM458756 NJI458755:NJI458756 NTE458755:NTE458756 ODA458755:ODA458756 OMW458755:OMW458756 OWS458755:OWS458756 PGO458755:PGO458756 PQK458755:PQK458756 QAG458755:QAG458756 QKC458755:QKC458756 QTY458755:QTY458756 RDU458755:RDU458756 RNQ458755:RNQ458756 RXM458755:RXM458756 SHI458755:SHI458756 SRE458755:SRE458756 TBA458755:TBA458756 TKW458755:TKW458756 TUS458755:TUS458756 UEO458755:UEO458756 UOK458755:UOK458756 UYG458755:UYG458756 VIC458755:VIC458756 VRY458755:VRY458756 WBU458755:WBU458756 WLQ458755:WLQ458756 WVM458755:WVM458756 R524292:R524293 JA524291:JA524292 SW524291:SW524292 ACS524291:ACS524292 AMO524291:AMO524292 AWK524291:AWK524292 BGG524291:BGG524292 BQC524291:BQC524292 BZY524291:BZY524292 CJU524291:CJU524292 CTQ524291:CTQ524292 DDM524291:DDM524292 DNI524291:DNI524292 DXE524291:DXE524292 EHA524291:EHA524292 EQW524291:EQW524292 FAS524291:FAS524292 FKO524291:FKO524292 FUK524291:FUK524292 GEG524291:GEG524292 GOC524291:GOC524292 GXY524291:GXY524292 HHU524291:HHU524292 HRQ524291:HRQ524292 IBM524291:IBM524292 ILI524291:ILI524292 IVE524291:IVE524292 JFA524291:JFA524292 JOW524291:JOW524292 JYS524291:JYS524292 KIO524291:KIO524292 KSK524291:KSK524292 LCG524291:LCG524292 LMC524291:LMC524292 LVY524291:LVY524292 MFU524291:MFU524292 MPQ524291:MPQ524292 MZM524291:MZM524292 NJI524291:NJI524292 NTE524291:NTE524292 ODA524291:ODA524292 OMW524291:OMW524292 OWS524291:OWS524292 PGO524291:PGO524292 PQK524291:PQK524292 QAG524291:QAG524292 QKC524291:QKC524292 QTY524291:QTY524292 RDU524291:RDU524292 RNQ524291:RNQ524292 RXM524291:RXM524292 SHI524291:SHI524292 SRE524291:SRE524292 TBA524291:TBA524292 TKW524291:TKW524292 TUS524291:TUS524292 UEO524291:UEO524292 UOK524291:UOK524292 UYG524291:UYG524292 VIC524291:VIC524292 VRY524291:VRY524292 WBU524291:WBU524292 WLQ524291:WLQ524292 WVM524291:WVM524292 R589828:R589829 JA589827:JA589828 SW589827:SW589828 ACS589827:ACS589828 AMO589827:AMO589828 AWK589827:AWK589828 BGG589827:BGG589828 BQC589827:BQC589828 BZY589827:BZY589828 CJU589827:CJU589828 CTQ589827:CTQ589828 DDM589827:DDM589828 DNI589827:DNI589828 DXE589827:DXE589828 EHA589827:EHA589828 EQW589827:EQW589828 FAS589827:FAS589828 FKO589827:FKO589828 FUK589827:FUK589828 GEG589827:GEG589828 GOC589827:GOC589828 GXY589827:GXY589828 HHU589827:HHU589828 HRQ589827:HRQ589828 IBM589827:IBM589828 ILI589827:ILI589828 IVE589827:IVE589828 JFA589827:JFA589828 JOW589827:JOW589828 JYS589827:JYS589828 KIO589827:KIO589828 KSK589827:KSK589828 LCG589827:LCG589828 LMC589827:LMC589828 LVY589827:LVY589828 MFU589827:MFU589828 MPQ589827:MPQ589828 MZM589827:MZM589828 NJI589827:NJI589828 NTE589827:NTE589828 ODA589827:ODA589828 OMW589827:OMW589828 OWS589827:OWS589828 PGO589827:PGO589828 PQK589827:PQK589828 QAG589827:QAG589828 QKC589827:QKC589828 QTY589827:QTY589828 RDU589827:RDU589828 RNQ589827:RNQ589828 RXM589827:RXM589828 SHI589827:SHI589828 SRE589827:SRE589828 TBA589827:TBA589828 TKW589827:TKW589828 TUS589827:TUS589828 UEO589827:UEO589828 UOK589827:UOK589828 UYG589827:UYG589828 VIC589827:VIC589828 VRY589827:VRY589828 WBU589827:WBU589828 WLQ589827:WLQ589828 WVM589827:WVM589828 R655364:R655365 JA655363:JA655364 SW655363:SW655364 ACS655363:ACS655364 AMO655363:AMO655364 AWK655363:AWK655364 BGG655363:BGG655364 BQC655363:BQC655364 BZY655363:BZY655364 CJU655363:CJU655364 CTQ655363:CTQ655364 DDM655363:DDM655364 DNI655363:DNI655364 DXE655363:DXE655364 EHA655363:EHA655364 EQW655363:EQW655364 FAS655363:FAS655364 FKO655363:FKO655364 FUK655363:FUK655364 GEG655363:GEG655364 GOC655363:GOC655364 GXY655363:GXY655364 HHU655363:HHU655364 HRQ655363:HRQ655364 IBM655363:IBM655364 ILI655363:ILI655364 IVE655363:IVE655364 JFA655363:JFA655364 JOW655363:JOW655364 JYS655363:JYS655364 KIO655363:KIO655364 KSK655363:KSK655364 LCG655363:LCG655364 LMC655363:LMC655364 LVY655363:LVY655364 MFU655363:MFU655364 MPQ655363:MPQ655364 MZM655363:MZM655364 NJI655363:NJI655364 NTE655363:NTE655364 ODA655363:ODA655364 OMW655363:OMW655364 OWS655363:OWS655364 PGO655363:PGO655364 PQK655363:PQK655364 QAG655363:QAG655364 QKC655363:QKC655364 QTY655363:QTY655364 RDU655363:RDU655364 RNQ655363:RNQ655364 RXM655363:RXM655364 SHI655363:SHI655364 SRE655363:SRE655364 TBA655363:TBA655364 TKW655363:TKW655364 TUS655363:TUS655364 UEO655363:UEO655364 UOK655363:UOK655364 UYG655363:UYG655364 VIC655363:VIC655364 VRY655363:VRY655364 WBU655363:WBU655364 WLQ655363:WLQ655364 WVM655363:WVM655364 R720900:R720901 JA720899:JA720900 SW720899:SW720900 ACS720899:ACS720900 AMO720899:AMO720900 AWK720899:AWK720900 BGG720899:BGG720900 BQC720899:BQC720900 BZY720899:BZY720900 CJU720899:CJU720900 CTQ720899:CTQ720900 DDM720899:DDM720900 DNI720899:DNI720900 DXE720899:DXE720900 EHA720899:EHA720900 EQW720899:EQW720900 FAS720899:FAS720900 FKO720899:FKO720900 FUK720899:FUK720900 GEG720899:GEG720900 GOC720899:GOC720900 GXY720899:GXY720900 HHU720899:HHU720900 HRQ720899:HRQ720900 IBM720899:IBM720900 ILI720899:ILI720900 IVE720899:IVE720900 JFA720899:JFA720900 JOW720899:JOW720900 JYS720899:JYS720900 KIO720899:KIO720900 KSK720899:KSK720900 LCG720899:LCG720900 LMC720899:LMC720900 LVY720899:LVY720900 MFU720899:MFU720900 MPQ720899:MPQ720900 MZM720899:MZM720900 NJI720899:NJI720900 NTE720899:NTE720900 ODA720899:ODA720900 OMW720899:OMW720900 OWS720899:OWS720900 PGO720899:PGO720900 PQK720899:PQK720900 QAG720899:QAG720900 QKC720899:QKC720900 QTY720899:QTY720900 RDU720899:RDU720900 RNQ720899:RNQ720900 RXM720899:RXM720900 SHI720899:SHI720900 SRE720899:SRE720900 TBA720899:TBA720900 TKW720899:TKW720900 TUS720899:TUS720900 UEO720899:UEO720900 UOK720899:UOK720900 UYG720899:UYG720900 VIC720899:VIC720900 VRY720899:VRY720900 WBU720899:WBU720900 WLQ720899:WLQ720900 WVM720899:WVM720900 R786436:R786437 JA786435:JA786436 SW786435:SW786436 ACS786435:ACS786436 AMO786435:AMO786436 AWK786435:AWK786436 BGG786435:BGG786436 BQC786435:BQC786436 BZY786435:BZY786436 CJU786435:CJU786436 CTQ786435:CTQ786436 DDM786435:DDM786436 DNI786435:DNI786436 DXE786435:DXE786436 EHA786435:EHA786436 EQW786435:EQW786436 FAS786435:FAS786436 FKO786435:FKO786436 FUK786435:FUK786436 GEG786435:GEG786436 GOC786435:GOC786436 GXY786435:GXY786436 HHU786435:HHU786436 HRQ786435:HRQ786436 IBM786435:IBM786436 ILI786435:ILI786436 IVE786435:IVE786436 JFA786435:JFA786436 JOW786435:JOW786436 JYS786435:JYS786436 KIO786435:KIO786436 KSK786435:KSK786436 LCG786435:LCG786436 LMC786435:LMC786436 LVY786435:LVY786436 MFU786435:MFU786436 MPQ786435:MPQ786436 MZM786435:MZM786436 NJI786435:NJI786436 NTE786435:NTE786436 ODA786435:ODA786436 OMW786435:OMW786436 OWS786435:OWS786436 PGO786435:PGO786436 PQK786435:PQK786436 QAG786435:QAG786436 QKC786435:QKC786436 QTY786435:QTY786436 RDU786435:RDU786436 RNQ786435:RNQ786436 RXM786435:RXM786436 SHI786435:SHI786436 SRE786435:SRE786436 TBA786435:TBA786436 TKW786435:TKW786436 TUS786435:TUS786436 UEO786435:UEO786436 UOK786435:UOK786436 UYG786435:UYG786436 VIC786435:VIC786436 VRY786435:VRY786436 WBU786435:WBU786436 WLQ786435:WLQ786436 WVM786435:WVM786436 R851972:R851973 JA851971:JA851972 SW851971:SW851972 ACS851971:ACS851972 AMO851971:AMO851972 AWK851971:AWK851972 BGG851971:BGG851972 BQC851971:BQC851972 BZY851971:BZY851972 CJU851971:CJU851972 CTQ851971:CTQ851972 DDM851971:DDM851972 DNI851971:DNI851972 DXE851971:DXE851972 EHA851971:EHA851972 EQW851971:EQW851972 FAS851971:FAS851972 FKO851971:FKO851972 FUK851971:FUK851972 GEG851971:GEG851972 GOC851971:GOC851972 GXY851971:GXY851972 HHU851971:HHU851972 HRQ851971:HRQ851972 IBM851971:IBM851972 ILI851971:ILI851972 IVE851971:IVE851972 JFA851971:JFA851972 JOW851971:JOW851972 JYS851971:JYS851972 KIO851971:KIO851972 KSK851971:KSK851972 LCG851971:LCG851972 LMC851971:LMC851972 LVY851971:LVY851972 MFU851971:MFU851972 MPQ851971:MPQ851972 MZM851971:MZM851972 NJI851971:NJI851972 NTE851971:NTE851972 ODA851971:ODA851972 OMW851971:OMW851972 OWS851971:OWS851972 PGO851971:PGO851972 PQK851971:PQK851972 QAG851971:QAG851972 QKC851971:QKC851972 QTY851971:QTY851972 RDU851971:RDU851972 RNQ851971:RNQ851972 RXM851971:RXM851972 SHI851971:SHI851972 SRE851971:SRE851972 TBA851971:TBA851972 TKW851971:TKW851972 TUS851971:TUS851972 UEO851971:UEO851972 UOK851971:UOK851972 UYG851971:UYG851972 VIC851971:VIC851972 VRY851971:VRY851972 WBU851971:WBU851972 WLQ851971:WLQ851972 WVM851971:WVM851972 R917508:R917509 JA917507:JA917508 SW917507:SW917508 ACS917507:ACS917508 AMO917507:AMO917508 AWK917507:AWK917508 BGG917507:BGG917508 BQC917507:BQC917508 BZY917507:BZY917508 CJU917507:CJU917508 CTQ917507:CTQ917508 DDM917507:DDM917508 DNI917507:DNI917508 DXE917507:DXE917508 EHA917507:EHA917508 EQW917507:EQW917508 FAS917507:FAS917508 FKO917507:FKO917508 FUK917507:FUK917508 GEG917507:GEG917508 GOC917507:GOC917508 GXY917507:GXY917508 HHU917507:HHU917508 HRQ917507:HRQ917508 IBM917507:IBM917508 ILI917507:ILI917508 IVE917507:IVE917508 JFA917507:JFA917508 JOW917507:JOW917508 JYS917507:JYS917508 KIO917507:KIO917508 KSK917507:KSK917508 LCG917507:LCG917508 LMC917507:LMC917508 LVY917507:LVY917508 MFU917507:MFU917508 MPQ917507:MPQ917508 MZM917507:MZM917508 NJI917507:NJI917508 NTE917507:NTE917508 ODA917507:ODA917508 OMW917507:OMW917508 OWS917507:OWS917508 PGO917507:PGO917508 PQK917507:PQK917508 QAG917507:QAG917508 QKC917507:QKC917508 QTY917507:QTY917508 RDU917507:RDU917508 RNQ917507:RNQ917508 RXM917507:RXM917508 SHI917507:SHI917508 SRE917507:SRE917508 TBA917507:TBA917508 TKW917507:TKW917508 TUS917507:TUS917508 UEO917507:UEO917508 UOK917507:UOK917508 UYG917507:UYG917508 VIC917507:VIC917508 VRY917507:VRY917508 WBU917507:WBU917508 WLQ917507:WLQ917508 WVM917507:WVM917508 R983044:R983045 JA983043:JA983044 SW983043:SW983044 ACS983043:ACS983044 AMO983043:AMO983044 AWK983043:AWK983044 BGG983043:BGG983044 BQC983043:BQC983044 BZY983043:BZY983044 CJU983043:CJU983044 CTQ983043:CTQ983044 DDM983043:DDM983044 DNI983043:DNI983044 DXE983043:DXE983044 EHA983043:EHA983044 EQW983043:EQW983044 FAS983043:FAS983044 FKO983043:FKO983044 FUK983043:FUK983044 GEG983043:GEG983044 GOC983043:GOC983044 GXY983043:GXY983044 HHU983043:HHU983044 HRQ983043:HRQ983044 IBM983043:IBM983044 ILI983043:ILI983044 IVE983043:IVE983044 JFA983043:JFA983044 JOW983043:JOW983044 JYS983043:JYS983044 KIO983043:KIO983044 KSK983043:KSK983044 LCG983043:LCG983044 LMC983043:LMC983044 LVY983043:LVY983044 MFU983043:MFU983044 MPQ983043:MPQ983044 MZM983043:MZM983044 NJI983043:NJI983044 NTE983043:NTE983044 ODA983043:ODA983044 OMW983043:OMW983044 OWS983043:OWS983044 PGO983043:PGO983044 PQK983043:PQK983044 QAG983043:QAG983044 QKC983043:QKC983044 QTY983043:QTY983044 RDU983043:RDU983044 RNQ983043:RNQ983044 RXM983043:RXM983044 SHI983043:SHI983044 SRE983043:SRE983044 TBA983043:TBA983044 TKW983043:TKW983044 TUS983043:TUS983044 UEO983043:UEO983044 UOK983043:UOK983044 UYG983043:UYG983044 VIC983043:VIC983044 VRY983043:VRY983044 WBU983043:WBU983044 WLQ983043:WLQ983044 WVM983043:WVM983044 T65540:T65541 JD65539:JD65540 SZ65539:SZ65540 ACV65539:ACV65540 AMR65539:AMR65540 AWN65539:AWN65540 BGJ65539:BGJ65540 BQF65539:BQF65540 CAB65539:CAB65540 CJX65539:CJX65540 CTT65539:CTT65540 DDP65539:DDP65540 DNL65539:DNL65540 DXH65539:DXH65540 EHD65539:EHD65540 EQZ65539:EQZ65540 FAV65539:FAV65540 FKR65539:FKR65540 FUN65539:FUN65540 GEJ65539:GEJ65540 GOF65539:GOF65540 GYB65539:GYB65540 HHX65539:HHX65540 HRT65539:HRT65540 IBP65539:IBP65540 ILL65539:ILL65540 IVH65539:IVH65540 JFD65539:JFD65540 JOZ65539:JOZ65540 JYV65539:JYV65540 KIR65539:KIR65540 KSN65539:KSN65540 LCJ65539:LCJ65540 LMF65539:LMF65540 LWB65539:LWB65540 MFX65539:MFX65540 MPT65539:MPT65540 MZP65539:MZP65540 NJL65539:NJL65540 NTH65539:NTH65540 ODD65539:ODD65540 OMZ65539:OMZ65540 OWV65539:OWV65540 PGR65539:PGR65540 PQN65539:PQN65540 QAJ65539:QAJ65540 QKF65539:QKF65540 QUB65539:QUB65540 RDX65539:RDX65540 RNT65539:RNT65540 RXP65539:RXP65540 SHL65539:SHL65540 SRH65539:SRH65540 TBD65539:TBD65540 TKZ65539:TKZ65540 TUV65539:TUV65540 UER65539:UER65540 UON65539:UON65540 UYJ65539:UYJ65540 VIF65539:VIF65540 VSB65539:VSB65540 WBX65539:WBX65540 WLT65539:WLT65540 WVP65539:WVP65540 T131076:T131077 JD131075:JD131076 SZ131075:SZ131076 ACV131075:ACV131076 AMR131075:AMR131076 AWN131075:AWN131076 BGJ131075:BGJ131076 BQF131075:BQF131076 CAB131075:CAB131076 CJX131075:CJX131076 CTT131075:CTT131076 DDP131075:DDP131076 DNL131075:DNL131076 DXH131075:DXH131076 EHD131075:EHD131076 EQZ131075:EQZ131076 FAV131075:FAV131076 FKR131075:FKR131076 FUN131075:FUN131076 GEJ131075:GEJ131076 GOF131075:GOF131076 GYB131075:GYB131076 HHX131075:HHX131076 HRT131075:HRT131076 IBP131075:IBP131076 ILL131075:ILL131076 IVH131075:IVH131076 JFD131075:JFD131076 JOZ131075:JOZ131076 JYV131075:JYV131076 KIR131075:KIR131076 KSN131075:KSN131076 LCJ131075:LCJ131076 LMF131075:LMF131076 LWB131075:LWB131076 MFX131075:MFX131076 MPT131075:MPT131076 MZP131075:MZP131076 NJL131075:NJL131076 NTH131075:NTH131076 ODD131075:ODD131076 OMZ131075:OMZ131076 OWV131075:OWV131076 PGR131075:PGR131076 PQN131075:PQN131076 QAJ131075:QAJ131076 QKF131075:QKF131076 QUB131075:QUB131076 RDX131075:RDX131076 RNT131075:RNT131076 RXP131075:RXP131076 SHL131075:SHL131076 SRH131075:SRH131076 TBD131075:TBD131076 TKZ131075:TKZ131076 TUV131075:TUV131076 UER131075:UER131076 UON131075:UON131076 UYJ131075:UYJ131076 VIF131075:VIF131076 VSB131075:VSB131076 WBX131075:WBX131076 WLT131075:WLT131076 WVP131075:WVP131076 T196612:T196613 JD196611:JD196612 SZ196611:SZ196612 ACV196611:ACV196612 AMR196611:AMR196612 AWN196611:AWN196612 BGJ196611:BGJ196612 BQF196611:BQF196612 CAB196611:CAB196612 CJX196611:CJX196612 CTT196611:CTT196612 DDP196611:DDP196612 DNL196611:DNL196612 DXH196611:DXH196612 EHD196611:EHD196612 EQZ196611:EQZ196612 FAV196611:FAV196612 FKR196611:FKR196612 FUN196611:FUN196612 GEJ196611:GEJ196612 GOF196611:GOF196612 GYB196611:GYB196612 HHX196611:HHX196612 HRT196611:HRT196612 IBP196611:IBP196612 ILL196611:ILL196612 IVH196611:IVH196612 JFD196611:JFD196612 JOZ196611:JOZ196612 JYV196611:JYV196612 KIR196611:KIR196612 KSN196611:KSN196612 LCJ196611:LCJ196612 LMF196611:LMF196612 LWB196611:LWB196612 MFX196611:MFX196612 MPT196611:MPT196612 MZP196611:MZP196612 NJL196611:NJL196612 NTH196611:NTH196612 ODD196611:ODD196612 OMZ196611:OMZ196612 OWV196611:OWV196612 PGR196611:PGR196612 PQN196611:PQN196612 QAJ196611:QAJ196612 QKF196611:QKF196612 QUB196611:QUB196612 RDX196611:RDX196612 RNT196611:RNT196612 RXP196611:RXP196612 SHL196611:SHL196612 SRH196611:SRH196612 TBD196611:TBD196612 TKZ196611:TKZ196612 TUV196611:TUV196612 UER196611:UER196612 UON196611:UON196612 UYJ196611:UYJ196612 VIF196611:VIF196612 VSB196611:VSB196612 WBX196611:WBX196612 WLT196611:WLT196612 WVP196611:WVP196612 T262148:T262149 JD262147:JD262148 SZ262147:SZ262148 ACV262147:ACV262148 AMR262147:AMR262148 AWN262147:AWN262148 BGJ262147:BGJ262148 BQF262147:BQF262148 CAB262147:CAB262148 CJX262147:CJX262148 CTT262147:CTT262148 DDP262147:DDP262148 DNL262147:DNL262148 DXH262147:DXH262148 EHD262147:EHD262148 EQZ262147:EQZ262148 FAV262147:FAV262148 FKR262147:FKR262148 FUN262147:FUN262148 GEJ262147:GEJ262148 GOF262147:GOF262148 GYB262147:GYB262148 HHX262147:HHX262148 HRT262147:HRT262148 IBP262147:IBP262148 ILL262147:ILL262148 IVH262147:IVH262148 JFD262147:JFD262148 JOZ262147:JOZ262148 JYV262147:JYV262148 KIR262147:KIR262148 KSN262147:KSN262148 LCJ262147:LCJ262148 LMF262147:LMF262148 LWB262147:LWB262148 MFX262147:MFX262148 MPT262147:MPT262148 MZP262147:MZP262148 NJL262147:NJL262148 NTH262147:NTH262148 ODD262147:ODD262148 OMZ262147:OMZ262148 OWV262147:OWV262148 PGR262147:PGR262148 PQN262147:PQN262148 QAJ262147:QAJ262148 QKF262147:QKF262148 QUB262147:QUB262148 RDX262147:RDX262148 RNT262147:RNT262148 RXP262147:RXP262148 SHL262147:SHL262148 SRH262147:SRH262148 TBD262147:TBD262148 TKZ262147:TKZ262148 TUV262147:TUV262148 UER262147:UER262148 UON262147:UON262148 UYJ262147:UYJ262148 VIF262147:VIF262148 VSB262147:VSB262148 WBX262147:WBX262148 WLT262147:WLT262148 WVP262147:WVP262148 T327684:T327685 JD327683:JD327684 SZ327683:SZ327684 ACV327683:ACV327684 AMR327683:AMR327684 AWN327683:AWN327684 BGJ327683:BGJ327684 BQF327683:BQF327684 CAB327683:CAB327684 CJX327683:CJX327684 CTT327683:CTT327684 DDP327683:DDP327684 DNL327683:DNL327684 DXH327683:DXH327684 EHD327683:EHD327684 EQZ327683:EQZ327684 FAV327683:FAV327684 FKR327683:FKR327684 FUN327683:FUN327684 GEJ327683:GEJ327684 GOF327683:GOF327684 GYB327683:GYB327684 HHX327683:HHX327684 HRT327683:HRT327684 IBP327683:IBP327684 ILL327683:ILL327684 IVH327683:IVH327684 JFD327683:JFD327684 JOZ327683:JOZ327684 JYV327683:JYV327684 KIR327683:KIR327684 KSN327683:KSN327684 LCJ327683:LCJ327684 LMF327683:LMF327684 LWB327683:LWB327684 MFX327683:MFX327684 MPT327683:MPT327684 MZP327683:MZP327684 NJL327683:NJL327684 NTH327683:NTH327684 ODD327683:ODD327684 OMZ327683:OMZ327684 OWV327683:OWV327684 PGR327683:PGR327684 PQN327683:PQN327684 QAJ327683:QAJ327684 QKF327683:QKF327684 QUB327683:QUB327684 RDX327683:RDX327684 RNT327683:RNT327684 RXP327683:RXP327684 SHL327683:SHL327684 SRH327683:SRH327684 TBD327683:TBD327684 TKZ327683:TKZ327684 TUV327683:TUV327684 UER327683:UER327684 UON327683:UON327684 UYJ327683:UYJ327684 VIF327683:VIF327684 VSB327683:VSB327684 WBX327683:WBX327684 WLT327683:WLT327684 WVP327683:WVP327684 T393220:T393221 JD393219:JD393220 SZ393219:SZ393220 ACV393219:ACV393220 AMR393219:AMR393220 AWN393219:AWN393220 BGJ393219:BGJ393220 BQF393219:BQF393220 CAB393219:CAB393220 CJX393219:CJX393220 CTT393219:CTT393220 DDP393219:DDP393220 DNL393219:DNL393220 DXH393219:DXH393220 EHD393219:EHD393220 EQZ393219:EQZ393220 FAV393219:FAV393220 FKR393219:FKR393220 FUN393219:FUN393220 GEJ393219:GEJ393220 GOF393219:GOF393220 GYB393219:GYB393220 HHX393219:HHX393220 HRT393219:HRT393220 IBP393219:IBP393220 ILL393219:ILL393220 IVH393219:IVH393220 JFD393219:JFD393220 JOZ393219:JOZ393220 JYV393219:JYV393220 KIR393219:KIR393220 KSN393219:KSN393220 LCJ393219:LCJ393220 LMF393219:LMF393220 LWB393219:LWB393220 MFX393219:MFX393220 MPT393219:MPT393220 MZP393219:MZP393220 NJL393219:NJL393220 NTH393219:NTH393220 ODD393219:ODD393220 OMZ393219:OMZ393220 OWV393219:OWV393220 PGR393219:PGR393220 PQN393219:PQN393220 QAJ393219:QAJ393220 QKF393219:QKF393220 QUB393219:QUB393220 RDX393219:RDX393220 RNT393219:RNT393220 RXP393219:RXP393220 SHL393219:SHL393220 SRH393219:SRH393220 TBD393219:TBD393220 TKZ393219:TKZ393220 TUV393219:TUV393220 UER393219:UER393220 UON393219:UON393220 UYJ393219:UYJ393220 VIF393219:VIF393220 VSB393219:VSB393220 WBX393219:WBX393220 WLT393219:WLT393220 WVP393219:WVP393220 T458756:T458757 JD458755:JD458756 SZ458755:SZ458756 ACV458755:ACV458756 AMR458755:AMR458756 AWN458755:AWN458756 BGJ458755:BGJ458756 BQF458755:BQF458756 CAB458755:CAB458756 CJX458755:CJX458756 CTT458755:CTT458756 DDP458755:DDP458756 DNL458755:DNL458756 DXH458755:DXH458756 EHD458755:EHD458756 EQZ458755:EQZ458756 FAV458755:FAV458756 FKR458755:FKR458756 FUN458755:FUN458756 GEJ458755:GEJ458756 GOF458755:GOF458756 GYB458755:GYB458756 HHX458755:HHX458756 HRT458755:HRT458756 IBP458755:IBP458756 ILL458755:ILL458756 IVH458755:IVH458756 JFD458755:JFD458756 JOZ458755:JOZ458756 JYV458755:JYV458756 KIR458755:KIR458756 KSN458755:KSN458756 LCJ458755:LCJ458756 LMF458755:LMF458756 LWB458755:LWB458756 MFX458755:MFX458756 MPT458755:MPT458756 MZP458755:MZP458756 NJL458755:NJL458756 NTH458755:NTH458756 ODD458755:ODD458756 OMZ458755:OMZ458756 OWV458755:OWV458756 PGR458755:PGR458756 PQN458755:PQN458756 QAJ458755:QAJ458756 QKF458755:QKF458756 QUB458755:QUB458756 RDX458755:RDX458756 RNT458755:RNT458756 RXP458755:RXP458756 SHL458755:SHL458756 SRH458755:SRH458756 TBD458755:TBD458756 TKZ458755:TKZ458756 TUV458755:TUV458756 UER458755:UER458756 UON458755:UON458756 UYJ458755:UYJ458756 VIF458755:VIF458756 VSB458755:VSB458756 WBX458755:WBX458756 WLT458755:WLT458756 WVP458755:WVP458756 T524292:T524293 JD524291:JD524292 SZ524291:SZ524292 ACV524291:ACV524292 AMR524291:AMR524292 AWN524291:AWN524292 BGJ524291:BGJ524292 BQF524291:BQF524292 CAB524291:CAB524292 CJX524291:CJX524292 CTT524291:CTT524292 DDP524291:DDP524292 DNL524291:DNL524292 DXH524291:DXH524292 EHD524291:EHD524292 EQZ524291:EQZ524292 FAV524291:FAV524292 FKR524291:FKR524292 FUN524291:FUN524292 GEJ524291:GEJ524292 GOF524291:GOF524292 GYB524291:GYB524292 HHX524291:HHX524292 HRT524291:HRT524292 IBP524291:IBP524292 ILL524291:ILL524292 IVH524291:IVH524292 JFD524291:JFD524292 JOZ524291:JOZ524292 JYV524291:JYV524292 KIR524291:KIR524292 KSN524291:KSN524292 LCJ524291:LCJ524292 LMF524291:LMF524292 LWB524291:LWB524292 MFX524291:MFX524292 MPT524291:MPT524292 MZP524291:MZP524292 NJL524291:NJL524292 NTH524291:NTH524292 ODD524291:ODD524292 OMZ524291:OMZ524292 OWV524291:OWV524292 PGR524291:PGR524292 PQN524291:PQN524292 QAJ524291:QAJ524292 QKF524291:QKF524292 QUB524291:QUB524292 RDX524291:RDX524292 RNT524291:RNT524292 RXP524291:RXP524292 SHL524291:SHL524292 SRH524291:SRH524292 TBD524291:TBD524292 TKZ524291:TKZ524292 TUV524291:TUV524292 UER524291:UER524292 UON524291:UON524292 UYJ524291:UYJ524292 VIF524291:VIF524292 VSB524291:VSB524292 WBX524291:WBX524292 WLT524291:WLT524292 WVP524291:WVP524292 T589828:T589829 JD589827:JD589828 SZ589827:SZ589828 ACV589827:ACV589828 AMR589827:AMR589828 AWN589827:AWN589828 BGJ589827:BGJ589828 BQF589827:BQF589828 CAB589827:CAB589828 CJX589827:CJX589828 CTT589827:CTT589828 DDP589827:DDP589828 DNL589827:DNL589828 DXH589827:DXH589828 EHD589827:EHD589828 EQZ589827:EQZ589828 FAV589827:FAV589828 FKR589827:FKR589828 FUN589827:FUN589828 GEJ589827:GEJ589828 GOF589827:GOF589828 GYB589827:GYB589828 HHX589827:HHX589828 HRT589827:HRT589828 IBP589827:IBP589828 ILL589827:ILL589828 IVH589827:IVH589828 JFD589827:JFD589828 JOZ589827:JOZ589828 JYV589827:JYV589828 KIR589827:KIR589828 KSN589827:KSN589828 LCJ589827:LCJ589828 LMF589827:LMF589828 LWB589827:LWB589828 MFX589827:MFX589828 MPT589827:MPT589828 MZP589827:MZP589828 NJL589827:NJL589828 NTH589827:NTH589828 ODD589827:ODD589828 OMZ589827:OMZ589828 OWV589827:OWV589828 PGR589827:PGR589828 PQN589827:PQN589828 QAJ589827:QAJ589828 QKF589827:QKF589828 QUB589827:QUB589828 RDX589827:RDX589828 RNT589827:RNT589828 RXP589827:RXP589828 SHL589827:SHL589828 SRH589827:SRH589828 TBD589827:TBD589828 TKZ589827:TKZ589828 TUV589827:TUV589828 UER589827:UER589828 UON589827:UON589828 UYJ589827:UYJ589828 VIF589827:VIF589828 VSB589827:VSB589828 WBX589827:WBX589828 WLT589827:WLT589828 WVP589827:WVP589828 T655364:T655365 JD655363:JD655364 SZ655363:SZ655364 ACV655363:ACV655364 AMR655363:AMR655364 AWN655363:AWN655364 BGJ655363:BGJ655364 BQF655363:BQF655364 CAB655363:CAB655364 CJX655363:CJX655364 CTT655363:CTT655364 DDP655363:DDP655364 DNL655363:DNL655364 DXH655363:DXH655364 EHD655363:EHD655364 EQZ655363:EQZ655364 FAV655363:FAV655364 FKR655363:FKR655364 FUN655363:FUN655364 GEJ655363:GEJ655364 GOF655363:GOF655364 GYB655363:GYB655364 HHX655363:HHX655364 HRT655363:HRT655364 IBP655363:IBP655364 ILL655363:ILL655364 IVH655363:IVH655364 JFD655363:JFD655364 JOZ655363:JOZ655364 JYV655363:JYV655364 KIR655363:KIR655364 KSN655363:KSN655364 LCJ655363:LCJ655364 LMF655363:LMF655364 LWB655363:LWB655364 MFX655363:MFX655364 MPT655363:MPT655364 MZP655363:MZP655364 NJL655363:NJL655364 NTH655363:NTH655364 ODD655363:ODD655364 OMZ655363:OMZ655364 OWV655363:OWV655364 PGR655363:PGR655364 PQN655363:PQN655364 QAJ655363:QAJ655364 QKF655363:QKF655364 QUB655363:QUB655364 RDX655363:RDX655364 RNT655363:RNT655364 RXP655363:RXP655364 SHL655363:SHL655364 SRH655363:SRH655364 TBD655363:TBD655364 TKZ655363:TKZ655364 TUV655363:TUV655364 UER655363:UER655364 UON655363:UON655364 UYJ655363:UYJ655364 VIF655363:VIF655364 VSB655363:VSB655364 WBX655363:WBX655364 WLT655363:WLT655364 WVP655363:WVP655364 T720900:T720901 JD720899:JD720900 SZ720899:SZ720900 ACV720899:ACV720900 AMR720899:AMR720900 AWN720899:AWN720900 BGJ720899:BGJ720900 BQF720899:BQF720900 CAB720899:CAB720900 CJX720899:CJX720900 CTT720899:CTT720900 DDP720899:DDP720900 DNL720899:DNL720900 DXH720899:DXH720900 EHD720899:EHD720900 EQZ720899:EQZ720900 FAV720899:FAV720900 FKR720899:FKR720900 FUN720899:FUN720900 GEJ720899:GEJ720900 GOF720899:GOF720900 GYB720899:GYB720900 HHX720899:HHX720900 HRT720899:HRT720900 IBP720899:IBP720900 ILL720899:ILL720900 IVH720899:IVH720900 JFD720899:JFD720900 JOZ720899:JOZ720900 JYV720899:JYV720900 KIR720899:KIR720900 KSN720899:KSN720900 LCJ720899:LCJ720900 LMF720899:LMF720900 LWB720899:LWB720900 MFX720899:MFX720900 MPT720899:MPT720900 MZP720899:MZP720900 NJL720899:NJL720900 NTH720899:NTH720900 ODD720899:ODD720900 OMZ720899:OMZ720900 OWV720899:OWV720900 PGR720899:PGR720900 PQN720899:PQN720900 QAJ720899:QAJ720900 QKF720899:QKF720900 QUB720899:QUB720900 RDX720899:RDX720900 RNT720899:RNT720900 RXP720899:RXP720900 SHL720899:SHL720900 SRH720899:SRH720900 TBD720899:TBD720900 TKZ720899:TKZ720900 TUV720899:TUV720900 UER720899:UER720900 UON720899:UON720900 UYJ720899:UYJ720900 VIF720899:VIF720900 VSB720899:VSB720900 WBX720899:WBX720900 WLT720899:WLT720900 WVP720899:WVP720900 T786436:T786437 JD786435:JD786436 SZ786435:SZ786436 ACV786435:ACV786436 AMR786435:AMR786436 AWN786435:AWN786436 BGJ786435:BGJ786436 BQF786435:BQF786436 CAB786435:CAB786436 CJX786435:CJX786436 CTT786435:CTT786436 DDP786435:DDP786436 DNL786435:DNL786436 DXH786435:DXH786436 EHD786435:EHD786436 EQZ786435:EQZ786436 FAV786435:FAV786436 FKR786435:FKR786436 FUN786435:FUN786436 GEJ786435:GEJ786436 GOF786435:GOF786436 GYB786435:GYB786436 HHX786435:HHX786436 HRT786435:HRT786436 IBP786435:IBP786436 ILL786435:ILL786436 IVH786435:IVH786436 JFD786435:JFD786436 JOZ786435:JOZ786436 JYV786435:JYV786436 KIR786435:KIR786436 KSN786435:KSN786436 LCJ786435:LCJ786436 LMF786435:LMF786436 LWB786435:LWB786436 MFX786435:MFX786436 MPT786435:MPT786436 MZP786435:MZP786436 NJL786435:NJL786436 NTH786435:NTH786436 ODD786435:ODD786436 OMZ786435:OMZ786436 OWV786435:OWV786436 PGR786435:PGR786436 PQN786435:PQN786436 QAJ786435:QAJ786436 QKF786435:QKF786436 QUB786435:QUB786436 RDX786435:RDX786436 RNT786435:RNT786436 RXP786435:RXP786436 SHL786435:SHL786436 SRH786435:SRH786436 TBD786435:TBD786436 TKZ786435:TKZ786436 TUV786435:TUV786436 UER786435:UER786436 UON786435:UON786436 UYJ786435:UYJ786436 VIF786435:VIF786436 VSB786435:VSB786436 WBX786435:WBX786436 WLT786435:WLT786436 WVP786435:WVP786436 T851972:T851973 JD851971:JD851972 SZ851971:SZ851972 ACV851971:ACV851972 AMR851971:AMR851972 AWN851971:AWN851972 BGJ851971:BGJ851972 BQF851971:BQF851972 CAB851971:CAB851972 CJX851971:CJX851972 CTT851971:CTT851972 DDP851971:DDP851972 DNL851971:DNL851972 DXH851971:DXH851972 EHD851971:EHD851972 EQZ851971:EQZ851972 FAV851971:FAV851972 FKR851971:FKR851972 FUN851971:FUN851972 GEJ851971:GEJ851972 GOF851971:GOF851972 GYB851971:GYB851972 HHX851971:HHX851972 HRT851971:HRT851972 IBP851971:IBP851972 ILL851971:ILL851972 IVH851971:IVH851972 JFD851971:JFD851972 JOZ851971:JOZ851972 JYV851971:JYV851972 KIR851971:KIR851972 KSN851971:KSN851972 LCJ851971:LCJ851972 LMF851971:LMF851972 LWB851971:LWB851972 MFX851971:MFX851972 MPT851971:MPT851972 MZP851971:MZP851972 NJL851971:NJL851972 NTH851971:NTH851972 ODD851971:ODD851972 OMZ851971:OMZ851972 OWV851971:OWV851972 PGR851971:PGR851972 PQN851971:PQN851972 QAJ851971:QAJ851972 QKF851971:QKF851972 QUB851971:QUB851972 RDX851971:RDX851972 RNT851971:RNT851972 RXP851971:RXP851972 SHL851971:SHL851972 SRH851971:SRH851972 TBD851971:TBD851972 TKZ851971:TKZ851972 TUV851971:TUV851972 UER851971:UER851972 UON851971:UON851972 UYJ851971:UYJ851972 VIF851971:VIF851972 VSB851971:VSB851972 WBX851971:WBX851972 WLT851971:WLT851972 WVP851971:WVP851972 T917508:T917509 JD917507:JD917508 SZ917507:SZ917508 ACV917507:ACV917508 AMR917507:AMR917508 AWN917507:AWN917508 BGJ917507:BGJ917508 BQF917507:BQF917508 CAB917507:CAB917508 CJX917507:CJX917508 CTT917507:CTT917508 DDP917507:DDP917508 DNL917507:DNL917508 DXH917507:DXH917508 EHD917507:EHD917508 EQZ917507:EQZ917508 FAV917507:FAV917508 FKR917507:FKR917508 FUN917507:FUN917508 GEJ917507:GEJ917508 GOF917507:GOF917508 GYB917507:GYB917508 HHX917507:HHX917508 HRT917507:HRT917508 IBP917507:IBP917508 ILL917507:ILL917508 IVH917507:IVH917508 JFD917507:JFD917508 JOZ917507:JOZ917508 JYV917507:JYV917508 KIR917507:KIR917508 KSN917507:KSN917508 LCJ917507:LCJ917508 LMF917507:LMF917508 LWB917507:LWB917508 MFX917507:MFX917508 MPT917507:MPT917508 MZP917507:MZP917508 NJL917507:NJL917508 NTH917507:NTH917508 ODD917507:ODD917508 OMZ917507:OMZ917508 OWV917507:OWV917508 PGR917507:PGR917508 PQN917507:PQN917508 QAJ917507:QAJ917508 QKF917507:QKF917508 QUB917507:QUB917508 RDX917507:RDX917508 RNT917507:RNT917508 RXP917507:RXP917508 SHL917507:SHL917508 SRH917507:SRH917508 TBD917507:TBD917508 TKZ917507:TKZ917508 TUV917507:TUV917508 UER917507:UER917508 UON917507:UON917508 UYJ917507:UYJ917508 VIF917507:VIF917508 VSB917507:VSB917508 WBX917507:WBX917508 WLT917507:WLT917508 WVP917507:WVP917508 T983044:T983045 JD983043:JD983044 SZ983043:SZ983044 ACV983043:ACV983044 AMR983043:AMR983044 AWN983043:AWN983044 BGJ983043:BGJ983044 BQF983043:BQF983044 CAB983043:CAB983044 CJX983043:CJX983044 CTT983043:CTT983044 DDP983043:DDP983044 DNL983043:DNL983044 DXH983043:DXH983044 EHD983043:EHD983044 EQZ983043:EQZ983044 FAV983043:FAV983044 FKR983043:FKR983044 FUN983043:FUN983044 GEJ983043:GEJ983044 GOF983043:GOF983044 GYB983043:GYB983044 HHX983043:HHX983044 HRT983043:HRT983044 IBP983043:IBP983044 ILL983043:ILL983044 IVH983043:IVH983044 JFD983043:JFD983044 JOZ983043:JOZ983044 JYV983043:JYV983044 KIR983043:KIR983044 KSN983043:KSN983044 LCJ983043:LCJ983044 LMF983043:LMF983044 LWB983043:LWB983044 MFX983043:MFX983044 MPT983043:MPT983044 MZP983043:MZP983044 NJL983043:NJL983044 NTH983043:NTH983044 ODD983043:ODD983044 OMZ983043:OMZ983044 OWV983043:OWV983044 PGR983043:PGR983044 PQN983043:PQN983044 QAJ983043:QAJ983044 QKF983043:QKF983044 QUB983043:QUB983044 RDX983043:RDX983044 RNT983043:RNT983044 RXP983043:RXP983044 SHL983043:SHL983044 SRH983043:SRH983044 TBD983043:TBD983044 TKZ983043:TKZ983044 TUV983043:TUV983044 UER983043:UER983044 UON983043:UON983044 UYJ983043:UYJ983044 VIF983043:VIF983044 VSB983043:VSB983044 WBX983043:WBX983044 WLT983043:WLT983044 WVP983043:WVP983044 V65540:V65541 JG65539:JG65540 TC65539:TC65540 ACY65539:ACY65540 AMU65539:AMU65540 AWQ65539:AWQ65540 BGM65539:BGM65540 BQI65539:BQI65540 CAE65539:CAE65540 CKA65539:CKA65540 CTW65539:CTW65540 DDS65539:DDS65540 DNO65539:DNO65540 DXK65539:DXK65540 EHG65539:EHG65540 ERC65539:ERC65540 FAY65539:FAY65540 FKU65539:FKU65540 FUQ65539:FUQ65540 GEM65539:GEM65540 GOI65539:GOI65540 GYE65539:GYE65540 HIA65539:HIA65540 HRW65539:HRW65540 IBS65539:IBS65540 ILO65539:ILO65540 IVK65539:IVK65540 JFG65539:JFG65540 JPC65539:JPC65540 JYY65539:JYY65540 KIU65539:KIU65540 KSQ65539:KSQ65540 LCM65539:LCM65540 LMI65539:LMI65540 LWE65539:LWE65540 MGA65539:MGA65540 MPW65539:MPW65540 MZS65539:MZS65540 NJO65539:NJO65540 NTK65539:NTK65540 ODG65539:ODG65540 ONC65539:ONC65540 OWY65539:OWY65540 PGU65539:PGU65540 PQQ65539:PQQ65540 QAM65539:QAM65540 QKI65539:QKI65540 QUE65539:QUE65540 REA65539:REA65540 RNW65539:RNW65540 RXS65539:RXS65540 SHO65539:SHO65540 SRK65539:SRK65540 TBG65539:TBG65540 TLC65539:TLC65540 TUY65539:TUY65540 UEU65539:UEU65540 UOQ65539:UOQ65540 UYM65539:UYM65540 VII65539:VII65540 VSE65539:VSE65540 WCA65539:WCA65540 WLW65539:WLW65540 WVS65539:WVS65540 V131076:V131077 JG131075:JG131076 TC131075:TC131076 ACY131075:ACY131076 AMU131075:AMU131076 AWQ131075:AWQ131076 BGM131075:BGM131076 BQI131075:BQI131076 CAE131075:CAE131076 CKA131075:CKA131076 CTW131075:CTW131076 DDS131075:DDS131076 DNO131075:DNO131076 DXK131075:DXK131076 EHG131075:EHG131076 ERC131075:ERC131076 FAY131075:FAY131076 FKU131075:FKU131076 FUQ131075:FUQ131076 GEM131075:GEM131076 GOI131075:GOI131076 GYE131075:GYE131076 HIA131075:HIA131076 HRW131075:HRW131076 IBS131075:IBS131076 ILO131075:ILO131076 IVK131075:IVK131076 JFG131075:JFG131076 JPC131075:JPC131076 JYY131075:JYY131076 KIU131075:KIU131076 KSQ131075:KSQ131076 LCM131075:LCM131076 LMI131075:LMI131076 LWE131075:LWE131076 MGA131075:MGA131076 MPW131075:MPW131076 MZS131075:MZS131076 NJO131075:NJO131076 NTK131075:NTK131076 ODG131075:ODG131076 ONC131075:ONC131076 OWY131075:OWY131076 PGU131075:PGU131076 PQQ131075:PQQ131076 QAM131075:QAM131076 QKI131075:QKI131076 QUE131075:QUE131076 REA131075:REA131076 RNW131075:RNW131076 RXS131075:RXS131076 SHO131075:SHO131076 SRK131075:SRK131076 TBG131075:TBG131076 TLC131075:TLC131076 TUY131075:TUY131076 UEU131075:UEU131076 UOQ131075:UOQ131076 UYM131075:UYM131076 VII131075:VII131076 VSE131075:VSE131076 WCA131075:WCA131076 WLW131075:WLW131076 WVS131075:WVS131076 V196612:V196613 JG196611:JG196612 TC196611:TC196612 ACY196611:ACY196612 AMU196611:AMU196612 AWQ196611:AWQ196612 BGM196611:BGM196612 BQI196611:BQI196612 CAE196611:CAE196612 CKA196611:CKA196612 CTW196611:CTW196612 DDS196611:DDS196612 DNO196611:DNO196612 DXK196611:DXK196612 EHG196611:EHG196612 ERC196611:ERC196612 FAY196611:FAY196612 FKU196611:FKU196612 FUQ196611:FUQ196612 GEM196611:GEM196612 GOI196611:GOI196612 GYE196611:GYE196612 HIA196611:HIA196612 HRW196611:HRW196612 IBS196611:IBS196612 ILO196611:ILO196612 IVK196611:IVK196612 JFG196611:JFG196612 JPC196611:JPC196612 JYY196611:JYY196612 KIU196611:KIU196612 KSQ196611:KSQ196612 LCM196611:LCM196612 LMI196611:LMI196612 LWE196611:LWE196612 MGA196611:MGA196612 MPW196611:MPW196612 MZS196611:MZS196612 NJO196611:NJO196612 NTK196611:NTK196612 ODG196611:ODG196612 ONC196611:ONC196612 OWY196611:OWY196612 PGU196611:PGU196612 PQQ196611:PQQ196612 QAM196611:QAM196612 QKI196611:QKI196612 QUE196611:QUE196612 REA196611:REA196612 RNW196611:RNW196612 RXS196611:RXS196612 SHO196611:SHO196612 SRK196611:SRK196612 TBG196611:TBG196612 TLC196611:TLC196612 TUY196611:TUY196612 UEU196611:UEU196612 UOQ196611:UOQ196612 UYM196611:UYM196612 VII196611:VII196612 VSE196611:VSE196612 WCA196611:WCA196612 WLW196611:WLW196612 WVS196611:WVS196612 V262148:V262149 JG262147:JG262148 TC262147:TC262148 ACY262147:ACY262148 AMU262147:AMU262148 AWQ262147:AWQ262148 BGM262147:BGM262148 BQI262147:BQI262148 CAE262147:CAE262148 CKA262147:CKA262148 CTW262147:CTW262148 DDS262147:DDS262148 DNO262147:DNO262148 DXK262147:DXK262148 EHG262147:EHG262148 ERC262147:ERC262148 FAY262147:FAY262148 FKU262147:FKU262148 FUQ262147:FUQ262148 GEM262147:GEM262148 GOI262147:GOI262148 GYE262147:GYE262148 HIA262147:HIA262148 HRW262147:HRW262148 IBS262147:IBS262148 ILO262147:ILO262148 IVK262147:IVK262148 JFG262147:JFG262148 JPC262147:JPC262148 JYY262147:JYY262148 KIU262147:KIU262148 KSQ262147:KSQ262148 LCM262147:LCM262148 LMI262147:LMI262148 LWE262147:LWE262148 MGA262147:MGA262148 MPW262147:MPW262148 MZS262147:MZS262148 NJO262147:NJO262148 NTK262147:NTK262148 ODG262147:ODG262148 ONC262147:ONC262148 OWY262147:OWY262148 PGU262147:PGU262148 PQQ262147:PQQ262148 QAM262147:QAM262148 QKI262147:QKI262148 QUE262147:QUE262148 REA262147:REA262148 RNW262147:RNW262148 RXS262147:RXS262148 SHO262147:SHO262148 SRK262147:SRK262148 TBG262147:TBG262148 TLC262147:TLC262148 TUY262147:TUY262148 UEU262147:UEU262148 UOQ262147:UOQ262148 UYM262147:UYM262148 VII262147:VII262148 VSE262147:VSE262148 WCA262147:WCA262148 WLW262147:WLW262148 WVS262147:WVS262148 V327684:V327685 JG327683:JG327684 TC327683:TC327684 ACY327683:ACY327684 AMU327683:AMU327684 AWQ327683:AWQ327684 BGM327683:BGM327684 BQI327683:BQI327684 CAE327683:CAE327684 CKA327683:CKA327684 CTW327683:CTW327684 DDS327683:DDS327684 DNO327683:DNO327684 DXK327683:DXK327684 EHG327683:EHG327684 ERC327683:ERC327684 FAY327683:FAY327684 FKU327683:FKU327684 FUQ327683:FUQ327684 GEM327683:GEM327684 GOI327683:GOI327684 GYE327683:GYE327684 HIA327683:HIA327684 HRW327683:HRW327684 IBS327683:IBS327684 ILO327683:ILO327684 IVK327683:IVK327684 JFG327683:JFG327684 JPC327683:JPC327684 JYY327683:JYY327684 KIU327683:KIU327684 KSQ327683:KSQ327684 LCM327683:LCM327684 LMI327683:LMI327684 LWE327683:LWE327684 MGA327683:MGA327684 MPW327683:MPW327684 MZS327683:MZS327684 NJO327683:NJO327684 NTK327683:NTK327684 ODG327683:ODG327684 ONC327683:ONC327684 OWY327683:OWY327684 PGU327683:PGU327684 PQQ327683:PQQ327684 QAM327683:QAM327684 QKI327683:QKI327684 QUE327683:QUE327684 REA327683:REA327684 RNW327683:RNW327684 RXS327683:RXS327684 SHO327683:SHO327684 SRK327683:SRK327684 TBG327683:TBG327684 TLC327683:TLC327684 TUY327683:TUY327684 UEU327683:UEU327684 UOQ327683:UOQ327684 UYM327683:UYM327684 VII327683:VII327684 VSE327683:VSE327684 WCA327683:WCA327684 WLW327683:WLW327684 WVS327683:WVS327684 V393220:V393221 JG393219:JG393220 TC393219:TC393220 ACY393219:ACY393220 AMU393219:AMU393220 AWQ393219:AWQ393220 BGM393219:BGM393220 BQI393219:BQI393220 CAE393219:CAE393220 CKA393219:CKA393220 CTW393219:CTW393220 DDS393219:DDS393220 DNO393219:DNO393220 DXK393219:DXK393220 EHG393219:EHG393220 ERC393219:ERC393220 FAY393219:FAY393220 FKU393219:FKU393220 FUQ393219:FUQ393220 GEM393219:GEM393220 GOI393219:GOI393220 GYE393219:GYE393220 HIA393219:HIA393220 HRW393219:HRW393220 IBS393219:IBS393220 ILO393219:ILO393220 IVK393219:IVK393220 JFG393219:JFG393220 JPC393219:JPC393220 JYY393219:JYY393220 KIU393219:KIU393220 KSQ393219:KSQ393220 LCM393219:LCM393220 LMI393219:LMI393220 LWE393219:LWE393220 MGA393219:MGA393220 MPW393219:MPW393220 MZS393219:MZS393220 NJO393219:NJO393220 NTK393219:NTK393220 ODG393219:ODG393220 ONC393219:ONC393220 OWY393219:OWY393220 PGU393219:PGU393220 PQQ393219:PQQ393220 QAM393219:QAM393220 QKI393219:QKI393220 QUE393219:QUE393220 REA393219:REA393220 RNW393219:RNW393220 RXS393219:RXS393220 SHO393219:SHO393220 SRK393219:SRK393220 TBG393219:TBG393220 TLC393219:TLC393220 TUY393219:TUY393220 UEU393219:UEU393220 UOQ393219:UOQ393220 UYM393219:UYM393220 VII393219:VII393220 VSE393219:VSE393220 WCA393219:WCA393220 WLW393219:WLW393220 WVS393219:WVS393220 V458756:V458757 JG458755:JG458756 TC458755:TC458756 ACY458755:ACY458756 AMU458755:AMU458756 AWQ458755:AWQ458756 BGM458755:BGM458756 BQI458755:BQI458756 CAE458755:CAE458756 CKA458755:CKA458756 CTW458755:CTW458756 DDS458755:DDS458756 DNO458755:DNO458756 DXK458755:DXK458756 EHG458755:EHG458756 ERC458755:ERC458756 FAY458755:FAY458756 FKU458755:FKU458756 FUQ458755:FUQ458756 GEM458755:GEM458756 GOI458755:GOI458756 GYE458755:GYE458756 HIA458755:HIA458756 HRW458755:HRW458756 IBS458755:IBS458756 ILO458755:ILO458756 IVK458755:IVK458756 JFG458755:JFG458756 JPC458755:JPC458756 JYY458755:JYY458756 KIU458755:KIU458756 KSQ458755:KSQ458756 LCM458755:LCM458756 LMI458755:LMI458756 LWE458755:LWE458756 MGA458755:MGA458756 MPW458755:MPW458756 MZS458755:MZS458756 NJO458755:NJO458756 NTK458755:NTK458756 ODG458755:ODG458756 ONC458755:ONC458756 OWY458755:OWY458756 PGU458755:PGU458756 PQQ458755:PQQ458756 QAM458755:QAM458756 QKI458755:QKI458756 QUE458755:QUE458756 REA458755:REA458756 RNW458755:RNW458756 RXS458755:RXS458756 SHO458755:SHO458756 SRK458755:SRK458756 TBG458755:TBG458756 TLC458755:TLC458756 TUY458755:TUY458756 UEU458755:UEU458756 UOQ458755:UOQ458756 UYM458755:UYM458756 VII458755:VII458756 VSE458755:VSE458756 WCA458755:WCA458756 WLW458755:WLW458756 WVS458755:WVS458756 V524292:V524293 JG524291:JG524292 TC524291:TC524292 ACY524291:ACY524292 AMU524291:AMU524292 AWQ524291:AWQ524292 BGM524291:BGM524292 BQI524291:BQI524292 CAE524291:CAE524292 CKA524291:CKA524292 CTW524291:CTW524292 DDS524291:DDS524292 DNO524291:DNO524292 DXK524291:DXK524292 EHG524291:EHG524292 ERC524291:ERC524292 FAY524291:FAY524292 FKU524291:FKU524292 FUQ524291:FUQ524292 GEM524291:GEM524292 GOI524291:GOI524292 GYE524291:GYE524292 HIA524291:HIA524292 HRW524291:HRW524292 IBS524291:IBS524292 ILO524291:ILO524292 IVK524291:IVK524292 JFG524291:JFG524292 JPC524291:JPC524292 JYY524291:JYY524292 KIU524291:KIU524292 KSQ524291:KSQ524292 LCM524291:LCM524292 LMI524291:LMI524292 LWE524291:LWE524292 MGA524291:MGA524292 MPW524291:MPW524292 MZS524291:MZS524292 NJO524291:NJO524292 NTK524291:NTK524292 ODG524291:ODG524292 ONC524291:ONC524292 OWY524291:OWY524292 PGU524291:PGU524292 PQQ524291:PQQ524292 QAM524291:QAM524292 QKI524291:QKI524292 QUE524291:QUE524292 REA524291:REA524292 RNW524291:RNW524292 RXS524291:RXS524292 SHO524291:SHO524292 SRK524291:SRK524292 TBG524291:TBG524292 TLC524291:TLC524292 TUY524291:TUY524292 UEU524291:UEU524292 UOQ524291:UOQ524292 UYM524291:UYM524292 VII524291:VII524292 VSE524291:VSE524292 WCA524291:WCA524292 WLW524291:WLW524292 WVS524291:WVS524292 V589828:V589829 JG589827:JG589828 TC589827:TC589828 ACY589827:ACY589828 AMU589827:AMU589828 AWQ589827:AWQ589828 BGM589827:BGM589828 BQI589827:BQI589828 CAE589827:CAE589828 CKA589827:CKA589828 CTW589827:CTW589828 DDS589827:DDS589828 DNO589827:DNO589828 DXK589827:DXK589828 EHG589827:EHG589828 ERC589827:ERC589828 FAY589827:FAY589828 FKU589827:FKU589828 FUQ589827:FUQ589828 GEM589827:GEM589828 GOI589827:GOI589828 GYE589827:GYE589828 HIA589827:HIA589828 HRW589827:HRW589828 IBS589827:IBS589828 ILO589827:ILO589828 IVK589827:IVK589828 JFG589827:JFG589828 JPC589827:JPC589828 JYY589827:JYY589828 KIU589827:KIU589828 KSQ589827:KSQ589828 LCM589827:LCM589828 LMI589827:LMI589828 LWE589827:LWE589828 MGA589827:MGA589828 MPW589827:MPW589828 MZS589827:MZS589828 NJO589827:NJO589828 NTK589827:NTK589828 ODG589827:ODG589828 ONC589827:ONC589828 OWY589827:OWY589828 PGU589827:PGU589828 PQQ589827:PQQ589828 QAM589827:QAM589828 QKI589827:QKI589828 QUE589827:QUE589828 REA589827:REA589828 RNW589827:RNW589828 RXS589827:RXS589828 SHO589827:SHO589828 SRK589827:SRK589828 TBG589827:TBG589828 TLC589827:TLC589828 TUY589827:TUY589828 UEU589827:UEU589828 UOQ589827:UOQ589828 UYM589827:UYM589828 VII589827:VII589828 VSE589827:VSE589828 WCA589827:WCA589828 WLW589827:WLW589828 WVS589827:WVS589828 V655364:V655365 JG655363:JG655364 TC655363:TC655364 ACY655363:ACY655364 AMU655363:AMU655364 AWQ655363:AWQ655364 BGM655363:BGM655364 BQI655363:BQI655364 CAE655363:CAE655364 CKA655363:CKA655364 CTW655363:CTW655364 DDS655363:DDS655364 DNO655363:DNO655364 DXK655363:DXK655364 EHG655363:EHG655364 ERC655363:ERC655364 FAY655363:FAY655364 FKU655363:FKU655364 FUQ655363:FUQ655364 GEM655363:GEM655364 GOI655363:GOI655364 GYE655363:GYE655364 HIA655363:HIA655364 HRW655363:HRW655364 IBS655363:IBS655364 ILO655363:ILO655364 IVK655363:IVK655364 JFG655363:JFG655364 JPC655363:JPC655364 JYY655363:JYY655364 KIU655363:KIU655364 KSQ655363:KSQ655364 LCM655363:LCM655364 LMI655363:LMI655364 LWE655363:LWE655364 MGA655363:MGA655364 MPW655363:MPW655364 MZS655363:MZS655364 NJO655363:NJO655364 NTK655363:NTK655364 ODG655363:ODG655364 ONC655363:ONC655364 OWY655363:OWY655364 PGU655363:PGU655364 PQQ655363:PQQ655364 QAM655363:QAM655364 QKI655363:QKI655364 QUE655363:QUE655364 REA655363:REA655364 RNW655363:RNW655364 RXS655363:RXS655364 SHO655363:SHO655364 SRK655363:SRK655364 TBG655363:TBG655364 TLC655363:TLC655364 TUY655363:TUY655364 UEU655363:UEU655364 UOQ655363:UOQ655364 UYM655363:UYM655364 VII655363:VII655364 VSE655363:VSE655364 WCA655363:WCA655364 WLW655363:WLW655364 WVS655363:WVS655364 V720900:V720901 JG720899:JG720900 TC720899:TC720900 ACY720899:ACY720900 AMU720899:AMU720900 AWQ720899:AWQ720900 BGM720899:BGM720900 BQI720899:BQI720900 CAE720899:CAE720900 CKA720899:CKA720900 CTW720899:CTW720900 DDS720899:DDS720900 DNO720899:DNO720900 DXK720899:DXK720900 EHG720899:EHG720900 ERC720899:ERC720900 FAY720899:FAY720900 FKU720899:FKU720900 FUQ720899:FUQ720900 GEM720899:GEM720900 GOI720899:GOI720900 GYE720899:GYE720900 HIA720899:HIA720900 HRW720899:HRW720900 IBS720899:IBS720900 ILO720899:ILO720900 IVK720899:IVK720900 JFG720899:JFG720900 JPC720899:JPC720900 JYY720899:JYY720900 KIU720899:KIU720900 KSQ720899:KSQ720900 LCM720899:LCM720900 LMI720899:LMI720900 LWE720899:LWE720900 MGA720899:MGA720900 MPW720899:MPW720900 MZS720899:MZS720900 NJO720899:NJO720900 NTK720899:NTK720900 ODG720899:ODG720900 ONC720899:ONC720900 OWY720899:OWY720900 PGU720899:PGU720900 PQQ720899:PQQ720900 QAM720899:QAM720900 QKI720899:QKI720900 QUE720899:QUE720900 REA720899:REA720900 RNW720899:RNW720900 RXS720899:RXS720900 SHO720899:SHO720900 SRK720899:SRK720900 TBG720899:TBG720900 TLC720899:TLC720900 TUY720899:TUY720900 UEU720899:UEU720900 UOQ720899:UOQ720900 UYM720899:UYM720900 VII720899:VII720900 VSE720899:VSE720900 WCA720899:WCA720900 WLW720899:WLW720900 WVS720899:WVS720900 V786436:V786437 JG786435:JG786436 TC786435:TC786436 ACY786435:ACY786436 AMU786435:AMU786436 AWQ786435:AWQ786436 BGM786435:BGM786436 BQI786435:BQI786436 CAE786435:CAE786436 CKA786435:CKA786436 CTW786435:CTW786436 DDS786435:DDS786436 DNO786435:DNO786436 DXK786435:DXK786436 EHG786435:EHG786436 ERC786435:ERC786436 FAY786435:FAY786436 FKU786435:FKU786436 FUQ786435:FUQ786436 GEM786435:GEM786436 GOI786435:GOI786436 GYE786435:GYE786436 HIA786435:HIA786436 HRW786435:HRW786436 IBS786435:IBS786436 ILO786435:ILO786436 IVK786435:IVK786436 JFG786435:JFG786436 JPC786435:JPC786436 JYY786435:JYY786436 KIU786435:KIU786436 KSQ786435:KSQ786436 LCM786435:LCM786436 LMI786435:LMI786436 LWE786435:LWE786436 MGA786435:MGA786436 MPW786435:MPW786436 MZS786435:MZS786436 NJO786435:NJO786436 NTK786435:NTK786436 ODG786435:ODG786436 ONC786435:ONC786436 OWY786435:OWY786436 PGU786435:PGU786436 PQQ786435:PQQ786436 QAM786435:QAM786436 QKI786435:QKI786436 QUE786435:QUE786436 REA786435:REA786436 RNW786435:RNW786436 RXS786435:RXS786436 SHO786435:SHO786436 SRK786435:SRK786436 TBG786435:TBG786436 TLC786435:TLC786436 TUY786435:TUY786436 UEU786435:UEU786436 UOQ786435:UOQ786436 UYM786435:UYM786436 VII786435:VII786436 VSE786435:VSE786436 WCA786435:WCA786436 WLW786435:WLW786436 WVS786435:WVS786436 V851972:V851973 JG851971:JG851972 TC851971:TC851972 ACY851971:ACY851972 AMU851971:AMU851972 AWQ851971:AWQ851972 BGM851971:BGM851972 BQI851971:BQI851972 CAE851971:CAE851972 CKA851971:CKA851972 CTW851971:CTW851972 DDS851971:DDS851972 DNO851971:DNO851972 DXK851971:DXK851972 EHG851971:EHG851972 ERC851971:ERC851972 FAY851971:FAY851972 FKU851971:FKU851972 FUQ851971:FUQ851972 GEM851971:GEM851972 GOI851971:GOI851972 GYE851971:GYE851972 HIA851971:HIA851972 HRW851971:HRW851972 IBS851971:IBS851972 ILO851971:ILO851972 IVK851971:IVK851972 JFG851971:JFG851972 JPC851971:JPC851972 JYY851971:JYY851972 KIU851971:KIU851972 KSQ851971:KSQ851972 LCM851971:LCM851972 LMI851971:LMI851972 LWE851971:LWE851972 MGA851971:MGA851972 MPW851971:MPW851972 MZS851971:MZS851972 NJO851971:NJO851972 NTK851971:NTK851972 ODG851971:ODG851972 ONC851971:ONC851972 OWY851971:OWY851972 PGU851971:PGU851972 PQQ851971:PQQ851972 QAM851971:QAM851972 QKI851971:QKI851972 QUE851971:QUE851972 REA851971:REA851972 RNW851971:RNW851972 RXS851971:RXS851972 SHO851971:SHO851972 SRK851971:SRK851972 TBG851971:TBG851972 TLC851971:TLC851972 TUY851971:TUY851972 UEU851971:UEU851972 UOQ851971:UOQ851972 UYM851971:UYM851972 VII851971:VII851972 VSE851971:VSE851972 WCA851971:WCA851972 WLW851971:WLW851972 WVS851971:WVS851972 V917508:V917509 JG917507:JG917508 TC917507:TC917508 ACY917507:ACY917508 AMU917507:AMU917508 AWQ917507:AWQ917508 BGM917507:BGM917508 BQI917507:BQI917508 CAE917507:CAE917508 CKA917507:CKA917508 CTW917507:CTW917508 DDS917507:DDS917508 DNO917507:DNO917508 DXK917507:DXK917508 EHG917507:EHG917508 ERC917507:ERC917508 FAY917507:FAY917508 FKU917507:FKU917508 FUQ917507:FUQ917508 GEM917507:GEM917508 GOI917507:GOI917508 GYE917507:GYE917508 HIA917507:HIA917508 HRW917507:HRW917508 IBS917507:IBS917508 ILO917507:ILO917508 IVK917507:IVK917508 JFG917507:JFG917508 JPC917507:JPC917508 JYY917507:JYY917508 KIU917507:KIU917508 KSQ917507:KSQ917508 LCM917507:LCM917508 LMI917507:LMI917508 LWE917507:LWE917508 MGA917507:MGA917508 MPW917507:MPW917508 MZS917507:MZS917508 NJO917507:NJO917508 NTK917507:NTK917508 ODG917507:ODG917508 ONC917507:ONC917508 OWY917507:OWY917508 PGU917507:PGU917508 PQQ917507:PQQ917508 QAM917507:QAM917508 QKI917507:QKI917508 QUE917507:QUE917508 REA917507:REA917508 RNW917507:RNW917508 RXS917507:RXS917508 SHO917507:SHO917508 SRK917507:SRK917508 TBG917507:TBG917508 TLC917507:TLC917508 TUY917507:TUY917508 UEU917507:UEU917508 UOQ917507:UOQ917508 UYM917507:UYM917508 VII917507:VII917508 VSE917507:VSE917508 WCA917507:WCA917508 WLW917507:WLW917508 WVS917507:WVS917508 V983044:V983045 JG983043:JG983044 TC983043:TC983044 ACY983043:ACY983044 AMU983043:AMU983044 AWQ983043:AWQ983044 BGM983043:BGM983044 BQI983043:BQI983044 CAE983043:CAE983044 CKA983043:CKA983044 CTW983043:CTW983044 DDS983043:DDS983044 DNO983043:DNO983044 DXK983043:DXK983044 EHG983043:EHG983044 ERC983043:ERC983044 FAY983043:FAY983044 FKU983043:FKU983044 FUQ983043:FUQ983044 GEM983043:GEM983044 GOI983043:GOI983044 GYE983043:GYE983044 HIA983043:HIA983044 HRW983043:HRW983044 IBS983043:IBS983044 ILO983043:ILO983044 IVK983043:IVK983044 JFG983043:JFG983044 JPC983043:JPC983044 JYY983043:JYY983044 KIU983043:KIU983044 KSQ983043:KSQ983044 LCM983043:LCM983044 LMI983043:LMI983044 LWE983043:LWE983044 MGA983043:MGA983044 MPW983043:MPW983044 MZS983043:MZS983044 NJO983043:NJO983044 NTK983043:NTK983044 ODG983043:ODG983044 ONC983043:ONC983044 OWY983043:OWY983044 PGU983043:PGU983044 PQQ983043:PQQ983044 QAM983043:QAM983044 QKI983043:QKI983044 QUE983043:QUE983044 REA983043:REA983044 RNW983043:RNW983044 RXS983043:RXS983044 SHO983043:SHO983044 SRK983043:SRK983044 TBG983043:TBG983044 TLC983043:TLC983044 TUY983043:TUY983044 UEU983043:UEU983044 UOQ983043:UOQ983044 UYM983043:UYM983044 VII983043:VII983044 VSE983043:VSE983044 WCA983043:WCA983044 WLW983043:WLW983044 WVS983043:WVS983044 X65539:X65540 JJ65539:JJ65540 TF65539:TF65540 ADB65539:ADB65540 AMX65539:AMX65540 AWT65539:AWT65540 BGP65539:BGP65540 BQL65539:BQL65540 CAH65539:CAH65540 CKD65539:CKD65540 CTZ65539:CTZ65540 DDV65539:DDV65540 DNR65539:DNR65540 DXN65539:DXN65540 EHJ65539:EHJ65540 ERF65539:ERF65540 FBB65539:FBB65540 FKX65539:FKX65540 FUT65539:FUT65540 GEP65539:GEP65540 GOL65539:GOL65540 GYH65539:GYH65540 HID65539:HID65540 HRZ65539:HRZ65540 IBV65539:IBV65540 ILR65539:ILR65540 IVN65539:IVN65540 JFJ65539:JFJ65540 JPF65539:JPF65540 JZB65539:JZB65540 KIX65539:KIX65540 KST65539:KST65540 LCP65539:LCP65540 LML65539:LML65540 LWH65539:LWH65540 MGD65539:MGD65540 MPZ65539:MPZ65540 MZV65539:MZV65540 NJR65539:NJR65540 NTN65539:NTN65540 ODJ65539:ODJ65540 ONF65539:ONF65540 OXB65539:OXB65540 PGX65539:PGX65540 PQT65539:PQT65540 QAP65539:QAP65540 QKL65539:QKL65540 QUH65539:QUH65540 RED65539:RED65540 RNZ65539:RNZ65540 RXV65539:RXV65540 SHR65539:SHR65540 SRN65539:SRN65540 TBJ65539:TBJ65540 TLF65539:TLF65540 TVB65539:TVB65540 UEX65539:UEX65540 UOT65539:UOT65540 UYP65539:UYP65540 VIL65539:VIL65540 VSH65539:VSH65540 WCD65539:WCD65540 WLZ65539:WLZ65540 WVV65539:WVV65540 X131075:X131076 JJ131075:JJ131076 TF131075:TF131076 ADB131075:ADB131076 AMX131075:AMX131076 AWT131075:AWT131076 BGP131075:BGP131076 BQL131075:BQL131076 CAH131075:CAH131076 CKD131075:CKD131076 CTZ131075:CTZ131076 DDV131075:DDV131076 DNR131075:DNR131076 DXN131075:DXN131076 EHJ131075:EHJ131076 ERF131075:ERF131076 FBB131075:FBB131076 FKX131075:FKX131076 FUT131075:FUT131076 GEP131075:GEP131076 GOL131075:GOL131076 GYH131075:GYH131076 HID131075:HID131076 HRZ131075:HRZ131076 IBV131075:IBV131076 ILR131075:ILR131076 IVN131075:IVN131076 JFJ131075:JFJ131076 JPF131075:JPF131076 JZB131075:JZB131076 KIX131075:KIX131076 KST131075:KST131076 LCP131075:LCP131076 LML131075:LML131076 LWH131075:LWH131076 MGD131075:MGD131076 MPZ131075:MPZ131076 MZV131075:MZV131076 NJR131075:NJR131076 NTN131075:NTN131076 ODJ131075:ODJ131076 ONF131075:ONF131076 OXB131075:OXB131076 PGX131075:PGX131076 PQT131075:PQT131076 QAP131075:QAP131076 QKL131075:QKL131076 QUH131075:QUH131076 RED131075:RED131076 RNZ131075:RNZ131076 RXV131075:RXV131076 SHR131075:SHR131076 SRN131075:SRN131076 TBJ131075:TBJ131076 TLF131075:TLF131076 TVB131075:TVB131076 UEX131075:UEX131076 UOT131075:UOT131076 UYP131075:UYP131076 VIL131075:VIL131076 VSH131075:VSH131076 WCD131075:WCD131076 WLZ131075:WLZ131076 WVV131075:WVV131076 X196611:X196612 JJ196611:JJ196612 TF196611:TF196612 ADB196611:ADB196612 AMX196611:AMX196612 AWT196611:AWT196612 BGP196611:BGP196612 BQL196611:BQL196612 CAH196611:CAH196612 CKD196611:CKD196612 CTZ196611:CTZ196612 DDV196611:DDV196612 DNR196611:DNR196612 DXN196611:DXN196612 EHJ196611:EHJ196612 ERF196611:ERF196612 FBB196611:FBB196612 FKX196611:FKX196612 FUT196611:FUT196612 GEP196611:GEP196612 GOL196611:GOL196612 GYH196611:GYH196612 HID196611:HID196612 HRZ196611:HRZ196612 IBV196611:IBV196612 ILR196611:ILR196612 IVN196611:IVN196612 JFJ196611:JFJ196612 JPF196611:JPF196612 JZB196611:JZB196612 KIX196611:KIX196612 KST196611:KST196612 LCP196611:LCP196612 LML196611:LML196612 LWH196611:LWH196612 MGD196611:MGD196612 MPZ196611:MPZ196612 MZV196611:MZV196612 NJR196611:NJR196612 NTN196611:NTN196612 ODJ196611:ODJ196612 ONF196611:ONF196612 OXB196611:OXB196612 PGX196611:PGX196612 PQT196611:PQT196612 QAP196611:QAP196612 QKL196611:QKL196612 QUH196611:QUH196612 RED196611:RED196612 RNZ196611:RNZ196612 RXV196611:RXV196612 SHR196611:SHR196612 SRN196611:SRN196612 TBJ196611:TBJ196612 TLF196611:TLF196612 TVB196611:TVB196612 UEX196611:UEX196612 UOT196611:UOT196612 UYP196611:UYP196612 VIL196611:VIL196612 VSH196611:VSH196612 WCD196611:WCD196612 WLZ196611:WLZ196612 WVV196611:WVV196612 X262147:X262148 JJ262147:JJ262148 TF262147:TF262148 ADB262147:ADB262148 AMX262147:AMX262148 AWT262147:AWT262148 BGP262147:BGP262148 BQL262147:BQL262148 CAH262147:CAH262148 CKD262147:CKD262148 CTZ262147:CTZ262148 DDV262147:DDV262148 DNR262147:DNR262148 DXN262147:DXN262148 EHJ262147:EHJ262148 ERF262147:ERF262148 FBB262147:FBB262148 FKX262147:FKX262148 FUT262147:FUT262148 GEP262147:GEP262148 GOL262147:GOL262148 GYH262147:GYH262148 HID262147:HID262148 HRZ262147:HRZ262148 IBV262147:IBV262148 ILR262147:ILR262148 IVN262147:IVN262148 JFJ262147:JFJ262148 JPF262147:JPF262148 JZB262147:JZB262148 KIX262147:KIX262148 KST262147:KST262148 LCP262147:LCP262148 LML262147:LML262148 LWH262147:LWH262148 MGD262147:MGD262148 MPZ262147:MPZ262148 MZV262147:MZV262148 NJR262147:NJR262148 NTN262147:NTN262148 ODJ262147:ODJ262148 ONF262147:ONF262148 OXB262147:OXB262148 PGX262147:PGX262148 PQT262147:PQT262148 QAP262147:QAP262148 QKL262147:QKL262148 QUH262147:QUH262148 RED262147:RED262148 RNZ262147:RNZ262148 RXV262147:RXV262148 SHR262147:SHR262148 SRN262147:SRN262148 TBJ262147:TBJ262148 TLF262147:TLF262148 TVB262147:TVB262148 UEX262147:UEX262148 UOT262147:UOT262148 UYP262147:UYP262148 VIL262147:VIL262148 VSH262147:VSH262148 WCD262147:WCD262148 WLZ262147:WLZ262148 WVV262147:WVV262148 X327683:X327684 JJ327683:JJ327684 TF327683:TF327684 ADB327683:ADB327684 AMX327683:AMX327684 AWT327683:AWT327684 BGP327683:BGP327684 BQL327683:BQL327684 CAH327683:CAH327684 CKD327683:CKD327684 CTZ327683:CTZ327684 DDV327683:DDV327684 DNR327683:DNR327684 DXN327683:DXN327684 EHJ327683:EHJ327684 ERF327683:ERF327684 FBB327683:FBB327684 FKX327683:FKX327684 FUT327683:FUT327684 GEP327683:GEP327684 GOL327683:GOL327684 GYH327683:GYH327684 HID327683:HID327684 HRZ327683:HRZ327684 IBV327683:IBV327684 ILR327683:ILR327684 IVN327683:IVN327684 JFJ327683:JFJ327684 JPF327683:JPF327684 JZB327683:JZB327684 KIX327683:KIX327684 KST327683:KST327684 LCP327683:LCP327684 LML327683:LML327684 LWH327683:LWH327684 MGD327683:MGD327684 MPZ327683:MPZ327684 MZV327683:MZV327684 NJR327683:NJR327684 NTN327683:NTN327684 ODJ327683:ODJ327684 ONF327683:ONF327684 OXB327683:OXB327684 PGX327683:PGX327684 PQT327683:PQT327684 QAP327683:QAP327684 QKL327683:QKL327684 QUH327683:QUH327684 RED327683:RED327684 RNZ327683:RNZ327684 RXV327683:RXV327684 SHR327683:SHR327684 SRN327683:SRN327684 TBJ327683:TBJ327684 TLF327683:TLF327684 TVB327683:TVB327684 UEX327683:UEX327684 UOT327683:UOT327684 UYP327683:UYP327684 VIL327683:VIL327684 VSH327683:VSH327684 WCD327683:WCD327684 WLZ327683:WLZ327684 WVV327683:WVV327684 X393219:X393220 JJ393219:JJ393220 TF393219:TF393220 ADB393219:ADB393220 AMX393219:AMX393220 AWT393219:AWT393220 BGP393219:BGP393220 BQL393219:BQL393220 CAH393219:CAH393220 CKD393219:CKD393220 CTZ393219:CTZ393220 DDV393219:DDV393220 DNR393219:DNR393220 DXN393219:DXN393220 EHJ393219:EHJ393220 ERF393219:ERF393220 FBB393219:FBB393220 FKX393219:FKX393220 FUT393219:FUT393220 GEP393219:GEP393220 GOL393219:GOL393220 GYH393219:GYH393220 HID393219:HID393220 HRZ393219:HRZ393220 IBV393219:IBV393220 ILR393219:ILR393220 IVN393219:IVN393220 JFJ393219:JFJ393220 JPF393219:JPF393220 JZB393219:JZB393220 KIX393219:KIX393220 KST393219:KST393220 LCP393219:LCP393220 LML393219:LML393220 LWH393219:LWH393220 MGD393219:MGD393220 MPZ393219:MPZ393220 MZV393219:MZV393220 NJR393219:NJR393220 NTN393219:NTN393220 ODJ393219:ODJ393220 ONF393219:ONF393220 OXB393219:OXB393220 PGX393219:PGX393220 PQT393219:PQT393220 QAP393219:QAP393220 QKL393219:QKL393220 QUH393219:QUH393220 RED393219:RED393220 RNZ393219:RNZ393220 RXV393219:RXV393220 SHR393219:SHR393220 SRN393219:SRN393220 TBJ393219:TBJ393220 TLF393219:TLF393220 TVB393219:TVB393220 UEX393219:UEX393220 UOT393219:UOT393220 UYP393219:UYP393220 VIL393219:VIL393220 VSH393219:VSH393220 WCD393219:WCD393220 WLZ393219:WLZ393220 WVV393219:WVV393220 X458755:X458756 JJ458755:JJ458756 TF458755:TF458756 ADB458755:ADB458756 AMX458755:AMX458756 AWT458755:AWT458756 BGP458755:BGP458756 BQL458755:BQL458756 CAH458755:CAH458756 CKD458755:CKD458756 CTZ458755:CTZ458756 DDV458755:DDV458756 DNR458755:DNR458756 DXN458755:DXN458756 EHJ458755:EHJ458756 ERF458755:ERF458756 FBB458755:FBB458756 FKX458755:FKX458756 FUT458755:FUT458756 GEP458755:GEP458756 GOL458755:GOL458756 GYH458755:GYH458756 HID458755:HID458756 HRZ458755:HRZ458756 IBV458755:IBV458756 ILR458755:ILR458756 IVN458755:IVN458756 JFJ458755:JFJ458756 JPF458755:JPF458756 JZB458755:JZB458756 KIX458755:KIX458756 KST458755:KST458756 LCP458755:LCP458756 LML458755:LML458756 LWH458755:LWH458756 MGD458755:MGD458756 MPZ458755:MPZ458756 MZV458755:MZV458756 NJR458755:NJR458756 NTN458755:NTN458756 ODJ458755:ODJ458756 ONF458755:ONF458756 OXB458755:OXB458756 PGX458755:PGX458756 PQT458755:PQT458756 QAP458755:QAP458756 QKL458755:QKL458756 QUH458755:QUH458756 RED458755:RED458756 RNZ458755:RNZ458756 RXV458755:RXV458756 SHR458755:SHR458756 SRN458755:SRN458756 TBJ458755:TBJ458756 TLF458755:TLF458756 TVB458755:TVB458756 UEX458755:UEX458756 UOT458755:UOT458756 UYP458755:UYP458756 VIL458755:VIL458756 VSH458755:VSH458756 WCD458755:WCD458756 WLZ458755:WLZ458756 WVV458755:WVV458756 X524291:X524292 JJ524291:JJ524292 TF524291:TF524292 ADB524291:ADB524292 AMX524291:AMX524292 AWT524291:AWT524292 BGP524291:BGP524292 BQL524291:BQL524292 CAH524291:CAH524292 CKD524291:CKD524292 CTZ524291:CTZ524292 DDV524291:DDV524292 DNR524291:DNR524292 DXN524291:DXN524292 EHJ524291:EHJ524292 ERF524291:ERF524292 FBB524291:FBB524292 FKX524291:FKX524292 FUT524291:FUT524292 GEP524291:GEP524292 GOL524291:GOL524292 GYH524291:GYH524292 HID524291:HID524292 HRZ524291:HRZ524292 IBV524291:IBV524292 ILR524291:ILR524292 IVN524291:IVN524292 JFJ524291:JFJ524292 JPF524291:JPF524292 JZB524291:JZB524292 KIX524291:KIX524292 KST524291:KST524292 LCP524291:LCP524292 LML524291:LML524292 LWH524291:LWH524292 MGD524291:MGD524292 MPZ524291:MPZ524292 MZV524291:MZV524292 NJR524291:NJR524292 NTN524291:NTN524292 ODJ524291:ODJ524292 ONF524291:ONF524292 OXB524291:OXB524292 PGX524291:PGX524292 PQT524291:PQT524292 QAP524291:QAP524292 QKL524291:QKL524292 QUH524291:QUH524292 RED524291:RED524292 RNZ524291:RNZ524292 RXV524291:RXV524292 SHR524291:SHR524292 SRN524291:SRN524292 TBJ524291:TBJ524292 TLF524291:TLF524292 TVB524291:TVB524292 UEX524291:UEX524292 UOT524291:UOT524292 UYP524291:UYP524292 VIL524291:VIL524292 VSH524291:VSH524292 WCD524291:WCD524292 WLZ524291:WLZ524292 WVV524291:WVV524292 X589827:X589828 JJ589827:JJ589828 TF589827:TF589828 ADB589827:ADB589828 AMX589827:AMX589828 AWT589827:AWT589828 BGP589827:BGP589828 BQL589827:BQL589828 CAH589827:CAH589828 CKD589827:CKD589828 CTZ589827:CTZ589828 DDV589827:DDV589828 DNR589827:DNR589828 DXN589827:DXN589828 EHJ589827:EHJ589828 ERF589827:ERF589828 FBB589827:FBB589828 FKX589827:FKX589828 FUT589827:FUT589828 GEP589827:GEP589828 GOL589827:GOL589828 GYH589827:GYH589828 HID589827:HID589828 HRZ589827:HRZ589828 IBV589827:IBV589828 ILR589827:ILR589828 IVN589827:IVN589828 JFJ589827:JFJ589828 JPF589827:JPF589828 JZB589827:JZB589828 KIX589827:KIX589828 KST589827:KST589828 LCP589827:LCP589828 LML589827:LML589828 LWH589827:LWH589828 MGD589827:MGD589828 MPZ589827:MPZ589828 MZV589827:MZV589828 NJR589827:NJR589828 NTN589827:NTN589828 ODJ589827:ODJ589828 ONF589827:ONF589828 OXB589827:OXB589828 PGX589827:PGX589828 PQT589827:PQT589828 QAP589827:QAP589828 QKL589827:QKL589828 QUH589827:QUH589828 RED589827:RED589828 RNZ589827:RNZ589828 RXV589827:RXV589828 SHR589827:SHR589828 SRN589827:SRN589828 TBJ589827:TBJ589828 TLF589827:TLF589828 TVB589827:TVB589828 UEX589827:UEX589828 UOT589827:UOT589828 UYP589827:UYP589828 VIL589827:VIL589828 VSH589827:VSH589828 WCD589827:WCD589828 WLZ589827:WLZ589828 WVV589827:WVV589828 X655363:X655364 JJ655363:JJ655364 TF655363:TF655364 ADB655363:ADB655364 AMX655363:AMX655364 AWT655363:AWT655364 BGP655363:BGP655364 BQL655363:BQL655364 CAH655363:CAH655364 CKD655363:CKD655364 CTZ655363:CTZ655364 DDV655363:DDV655364 DNR655363:DNR655364 DXN655363:DXN655364 EHJ655363:EHJ655364 ERF655363:ERF655364 FBB655363:FBB655364 FKX655363:FKX655364 FUT655363:FUT655364 GEP655363:GEP655364 GOL655363:GOL655364 GYH655363:GYH655364 HID655363:HID655364 HRZ655363:HRZ655364 IBV655363:IBV655364 ILR655363:ILR655364 IVN655363:IVN655364 JFJ655363:JFJ655364 JPF655363:JPF655364 JZB655363:JZB655364 KIX655363:KIX655364 KST655363:KST655364 LCP655363:LCP655364 LML655363:LML655364 LWH655363:LWH655364 MGD655363:MGD655364 MPZ655363:MPZ655364 MZV655363:MZV655364 NJR655363:NJR655364 NTN655363:NTN655364 ODJ655363:ODJ655364 ONF655363:ONF655364 OXB655363:OXB655364 PGX655363:PGX655364 PQT655363:PQT655364 QAP655363:QAP655364 QKL655363:QKL655364 QUH655363:QUH655364 RED655363:RED655364 RNZ655363:RNZ655364 RXV655363:RXV655364 SHR655363:SHR655364 SRN655363:SRN655364 TBJ655363:TBJ655364 TLF655363:TLF655364 TVB655363:TVB655364 UEX655363:UEX655364 UOT655363:UOT655364 UYP655363:UYP655364 VIL655363:VIL655364 VSH655363:VSH655364 WCD655363:WCD655364 WLZ655363:WLZ655364 WVV655363:WVV655364 X720899:X720900 JJ720899:JJ720900 TF720899:TF720900 ADB720899:ADB720900 AMX720899:AMX720900 AWT720899:AWT720900 BGP720899:BGP720900 BQL720899:BQL720900 CAH720899:CAH720900 CKD720899:CKD720900 CTZ720899:CTZ720900 DDV720899:DDV720900 DNR720899:DNR720900 DXN720899:DXN720900 EHJ720899:EHJ720900 ERF720899:ERF720900 FBB720899:FBB720900 FKX720899:FKX720900 FUT720899:FUT720900 GEP720899:GEP720900 GOL720899:GOL720900 GYH720899:GYH720900 HID720899:HID720900 HRZ720899:HRZ720900 IBV720899:IBV720900 ILR720899:ILR720900 IVN720899:IVN720900 JFJ720899:JFJ720900 JPF720899:JPF720900 JZB720899:JZB720900 KIX720899:KIX720900 KST720899:KST720900 LCP720899:LCP720900 LML720899:LML720900 LWH720899:LWH720900 MGD720899:MGD720900 MPZ720899:MPZ720900 MZV720899:MZV720900 NJR720899:NJR720900 NTN720899:NTN720900 ODJ720899:ODJ720900 ONF720899:ONF720900 OXB720899:OXB720900 PGX720899:PGX720900 PQT720899:PQT720900 QAP720899:QAP720900 QKL720899:QKL720900 QUH720899:QUH720900 RED720899:RED720900 RNZ720899:RNZ720900 RXV720899:RXV720900 SHR720899:SHR720900 SRN720899:SRN720900 TBJ720899:TBJ720900 TLF720899:TLF720900 TVB720899:TVB720900 UEX720899:UEX720900 UOT720899:UOT720900 UYP720899:UYP720900 VIL720899:VIL720900 VSH720899:VSH720900 WCD720899:WCD720900 WLZ720899:WLZ720900 WVV720899:WVV720900 X786435:X786436 JJ786435:JJ786436 TF786435:TF786436 ADB786435:ADB786436 AMX786435:AMX786436 AWT786435:AWT786436 BGP786435:BGP786436 BQL786435:BQL786436 CAH786435:CAH786436 CKD786435:CKD786436 CTZ786435:CTZ786436 DDV786435:DDV786436 DNR786435:DNR786436 DXN786435:DXN786436 EHJ786435:EHJ786436 ERF786435:ERF786436 FBB786435:FBB786436 FKX786435:FKX786436 FUT786435:FUT786436 GEP786435:GEP786436 GOL786435:GOL786436 GYH786435:GYH786436 HID786435:HID786436 HRZ786435:HRZ786436 IBV786435:IBV786436 ILR786435:ILR786436 IVN786435:IVN786436 JFJ786435:JFJ786436 JPF786435:JPF786436 JZB786435:JZB786436 KIX786435:KIX786436 KST786435:KST786436 LCP786435:LCP786436 LML786435:LML786436 LWH786435:LWH786436 MGD786435:MGD786436 MPZ786435:MPZ786436 MZV786435:MZV786436 NJR786435:NJR786436 NTN786435:NTN786436 ODJ786435:ODJ786436 ONF786435:ONF786436 OXB786435:OXB786436 PGX786435:PGX786436 PQT786435:PQT786436 QAP786435:QAP786436 QKL786435:QKL786436 QUH786435:QUH786436 RED786435:RED786436 RNZ786435:RNZ786436 RXV786435:RXV786436 SHR786435:SHR786436 SRN786435:SRN786436 TBJ786435:TBJ786436 TLF786435:TLF786436 TVB786435:TVB786436 UEX786435:UEX786436 UOT786435:UOT786436 UYP786435:UYP786436 VIL786435:VIL786436 VSH786435:VSH786436 WCD786435:WCD786436 WLZ786435:WLZ786436 WVV786435:WVV786436 X851971:X851972 JJ851971:JJ851972 TF851971:TF851972 ADB851971:ADB851972 AMX851971:AMX851972 AWT851971:AWT851972 BGP851971:BGP851972 BQL851971:BQL851972 CAH851971:CAH851972 CKD851971:CKD851972 CTZ851971:CTZ851972 DDV851971:DDV851972 DNR851971:DNR851972 DXN851971:DXN851972 EHJ851971:EHJ851972 ERF851971:ERF851972 FBB851971:FBB851972 FKX851971:FKX851972 FUT851971:FUT851972 GEP851971:GEP851972 GOL851971:GOL851972 GYH851971:GYH851972 HID851971:HID851972 HRZ851971:HRZ851972 IBV851971:IBV851972 ILR851971:ILR851972 IVN851971:IVN851972 JFJ851971:JFJ851972 JPF851971:JPF851972 JZB851971:JZB851972 KIX851971:KIX851972 KST851971:KST851972 LCP851971:LCP851972 LML851971:LML851972 LWH851971:LWH851972 MGD851971:MGD851972 MPZ851971:MPZ851972 MZV851971:MZV851972 NJR851971:NJR851972 NTN851971:NTN851972 ODJ851971:ODJ851972 ONF851971:ONF851972 OXB851971:OXB851972 PGX851971:PGX851972 PQT851971:PQT851972 QAP851971:QAP851972 QKL851971:QKL851972 QUH851971:QUH851972 RED851971:RED851972 RNZ851971:RNZ851972 RXV851971:RXV851972 SHR851971:SHR851972 SRN851971:SRN851972 TBJ851971:TBJ851972 TLF851971:TLF851972 TVB851971:TVB851972 UEX851971:UEX851972 UOT851971:UOT851972 UYP851971:UYP851972 VIL851971:VIL851972 VSH851971:VSH851972 WCD851971:WCD851972 WLZ851971:WLZ851972 WVV851971:WVV851972 X917507:X917508 JJ917507:JJ917508 TF917507:TF917508 ADB917507:ADB917508 AMX917507:AMX917508 AWT917507:AWT917508 BGP917507:BGP917508 BQL917507:BQL917508 CAH917507:CAH917508 CKD917507:CKD917508 CTZ917507:CTZ917508 DDV917507:DDV917508 DNR917507:DNR917508 DXN917507:DXN917508 EHJ917507:EHJ917508 ERF917507:ERF917508 FBB917507:FBB917508 FKX917507:FKX917508 FUT917507:FUT917508 GEP917507:GEP917508 GOL917507:GOL917508 GYH917507:GYH917508 HID917507:HID917508 HRZ917507:HRZ917508 IBV917507:IBV917508 ILR917507:ILR917508 IVN917507:IVN917508 JFJ917507:JFJ917508 JPF917507:JPF917508 JZB917507:JZB917508 KIX917507:KIX917508 KST917507:KST917508 LCP917507:LCP917508 LML917507:LML917508 LWH917507:LWH917508 MGD917507:MGD917508 MPZ917507:MPZ917508 MZV917507:MZV917508 NJR917507:NJR917508 NTN917507:NTN917508 ODJ917507:ODJ917508 ONF917507:ONF917508 OXB917507:OXB917508 PGX917507:PGX917508 PQT917507:PQT917508 QAP917507:QAP917508 QKL917507:QKL917508 QUH917507:QUH917508 RED917507:RED917508 RNZ917507:RNZ917508 RXV917507:RXV917508 SHR917507:SHR917508 SRN917507:SRN917508 TBJ917507:TBJ917508 TLF917507:TLF917508 TVB917507:TVB917508 UEX917507:UEX917508 UOT917507:UOT917508 UYP917507:UYP917508 VIL917507:VIL917508 VSH917507:VSH917508 WCD917507:WCD917508 WLZ917507:WLZ917508 WVV917507:WVV917508 X983043:X983044 JJ983043:JJ983044 TF983043:TF983044 ADB983043:ADB983044 AMX983043:AMX983044 AWT983043:AWT983044 BGP983043:BGP983044 BQL983043:BQL983044 CAH983043:CAH983044 CKD983043:CKD983044 CTZ983043:CTZ983044 DDV983043:DDV983044 DNR983043:DNR983044 DXN983043:DXN983044 EHJ983043:EHJ983044 ERF983043:ERF983044 FBB983043:FBB983044 FKX983043:FKX983044 FUT983043:FUT983044 GEP983043:GEP983044 GOL983043:GOL983044 GYH983043:GYH983044 HID983043:HID983044 HRZ983043:HRZ983044 IBV983043:IBV983044 ILR983043:ILR983044 IVN983043:IVN983044 JFJ983043:JFJ983044 JPF983043:JPF983044 JZB983043:JZB983044 KIX983043:KIX983044 KST983043:KST983044 LCP983043:LCP983044 LML983043:LML983044 LWH983043:LWH983044 MGD983043:MGD983044 MPZ983043:MPZ983044 MZV983043:MZV983044 NJR983043:NJR983044 NTN983043:NTN983044 ODJ983043:ODJ983044 ONF983043:ONF983044 OXB983043:OXB983044 PGX983043:PGX983044 PQT983043:PQT983044 QAP983043:QAP983044 QKL983043:QKL983044 QUH983043:QUH983044 RED983043:RED983044 RNZ983043:RNZ983044 RXV983043:RXV983044 SHR983043:SHR983044 SRN983043:SRN983044 TBJ983043:TBJ983044 TLF983043:TLF983044 TVB983043:TVB983044 UEX983043:UEX983044 UOT983043:UOT983044 UYP983043:UYP983044 VIL983043:VIL983044 VSH983043:VSH983044 WCD983043:WCD983044 WLZ983043:WLZ983044 WVV983043:WVV983044 Z65539:Z65540 JM65539:JM65540 TI65539:TI65540 ADE65539:ADE65540 ANA65539:ANA65540 AWW65539:AWW65540 BGS65539:BGS65540 BQO65539:BQO65540 CAK65539:CAK65540 CKG65539:CKG65540 CUC65539:CUC65540 DDY65539:DDY65540 DNU65539:DNU65540 DXQ65539:DXQ65540 EHM65539:EHM65540 ERI65539:ERI65540 FBE65539:FBE65540 FLA65539:FLA65540 FUW65539:FUW65540 GES65539:GES65540 GOO65539:GOO65540 GYK65539:GYK65540 HIG65539:HIG65540 HSC65539:HSC65540 IBY65539:IBY65540 ILU65539:ILU65540 IVQ65539:IVQ65540 JFM65539:JFM65540 JPI65539:JPI65540 JZE65539:JZE65540 KJA65539:KJA65540 KSW65539:KSW65540 LCS65539:LCS65540 LMO65539:LMO65540 LWK65539:LWK65540 MGG65539:MGG65540 MQC65539:MQC65540 MZY65539:MZY65540 NJU65539:NJU65540 NTQ65539:NTQ65540 ODM65539:ODM65540 ONI65539:ONI65540 OXE65539:OXE65540 PHA65539:PHA65540 PQW65539:PQW65540 QAS65539:QAS65540 QKO65539:QKO65540 QUK65539:QUK65540 REG65539:REG65540 ROC65539:ROC65540 RXY65539:RXY65540 SHU65539:SHU65540 SRQ65539:SRQ65540 TBM65539:TBM65540 TLI65539:TLI65540 TVE65539:TVE65540 UFA65539:UFA65540 UOW65539:UOW65540 UYS65539:UYS65540 VIO65539:VIO65540 VSK65539:VSK65540 WCG65539:WCG65540 WMC65539:WMC65540 WVY65539:WVY65540 Z131075:Z131076 JM131075:JM131076 TI131075:TI131076 ADE131075:ADE131076 ANA131075:ANA131076 AWW131075:AWW131076 BGS131075:BGS131076 BQO131075:BQO131076 CAK131075:CAK131076 CKG131075:CKG131076 CUC131075:CUC131076 DDY131075:DDY131076 DNU131075:DNU131076 DXQ131075:DXQ131076 EHM131075:EHM131076 ERI131075:ERI131076 FBE131075:FBE131076 FLA131075:FLA131076 FUW131075:FUW131076 GES131075:GES131076 GOO131075:GOO131076 GYK131075:GYK131076 HIG131075:HIG131076 HSC131075:HSC131076 IBY131075:IBY131076 ILU131075:ILU131076 IVQ131075:IVQ131076 JFM131075:JFM131076 JPI131075:JPI131076 JZE131075:JZE131076 KJA131075:KJA131076 KSW131075:KSW131076 LCS131075:LCS131076 LMO131075:LMO131076 LWK131075:LWK131076 MGG131075:MGG131076 MQC131075:MQC131076 MZY131075:MZY131076 NJU131075:NJU131076 NTQ131075:NTQ131076 ODM131075:ODM131076 ONI131075:ONI131076 OXE131075:OXE131076 PHA131075:PHA131076 PQW131075:PQW131076 QAS131075:QAS131076 QKO131075:QKO131076 QUK131075:QUK131076 REG131075:REG131076 ROC131075:ROC131076 RXY131075:RXY131076 SHU131075:SHU131076 SRQ131075:SRQ131076 TBM131075:TBM131076 TLI131075:TLI131076 TVE131075:TVE131076 UFA131075:UFA131076 UOW131075:UOW131076 UYS131075:UYS131076 VIO131075:VIO131076 VSK131075:VSK131076 WCG131075:WCG131076 WMC131075:WMC131076 WVY131075:WVY131076 Z196611:Z196612 JM196611:JM196612 TI196611:TI196612 ADE196611:ADE196612 ANA196611:ANA196612 AWW196611:AWW196612 BGS196611:BGS196612 BQO196611:BQO196612 CAK196611:CAK196612 CKG196611:CKG196612 CUC196611:CUC196612 DDY196611:DDY196612 DNU196611:DNU196612 DXQ196611:DXQ196612 EHM196611:EHM196612 ERI196611:ERI196612 FBE196611:FBE196612 FLA196611:FLA196612 FUW196611:FUW196612 GES196611:GES196612 GOO196611:GOO196612 GYK196611:GYK196612 HIG196611:HIG196612 HSC196611:HSC196612 IBY196611:IBY196612 ILU196611:ILU196612 IVQ196611:IVQ196612 JFM196611:JFM196612 JPI196611:JPI196612 JZE196611:JZE196612 KJA196611:KJA196612 KSW196611:KSW196612 LCS196611:LCS196612 LMO196611:LMO196612 LWK196611:LWK196612 MGG196611:MGG196612 MQC196611:MQC196612 MZY196611:MZY196612 NJU196611:NJU196612 NTQ196611:NTQ196612 ODM196611:ODM196612 ONI196611:ONI196612 OXE196611:OXE196612 PHA196611:PHA196612 PQW196611:PQW196612 QAS196611:QAS196612 QKO196611:QKO196612 QUK196611:QUK196612 REG196611:REG196612 ROC196611:ROC196612 RXY196611:RXY196612 SHU196611:SHU196612 SRQ196611:SRQ196612 TBM196611:TBM196612 TLI196611:TLI196612 TVE196611:TVE196612 UFA196611:UFA196612 UOW196611:UOW196612 UYS196611:UYS196612 VIO196611:VIO196612 VSK196611:VSK196612 WCG196611:WCG196612 WMC196611:WMC196612 WVY196611:WVY196612 Z262147:Z262148 JM262147:JM262148 TI262147:TI262148 ADE262147:ADE262148 ANA262147:ANA262148 AWW262147:AWW262148 BGS262147:BGS262148 BQO262147:BQO262148 CAK262147:CAK262148 CKG262147:CKG262148 CUC262147:CUC262148 DDY262147:DDY262148 DNU262147:DNU262148 DXQ262147:DXQ262148 EHM262147:EHM262148 ERI262147:ERI262148 FBE262147:FBE262148 FLA262147:FLA262148 FUW262147:FUW262148 GES262147:GES262148 GOO262147:GOO262148 GYK262147:GYK262148 HIG262147:HIG262148 HSC262147:HSC262148 IBY262147:IBY262148 ILU262147:ILU262148 IVQ262147:IVQ262148 JFM262147:JFM262148 JPI262147:JPI262148 JZE262147:JZE262148 KJA262147:KJA262148 KSW262147:KSW262148 LCS262147:LCS262148 LMO262147:LMO262148 LWK262147:LWK262148 MGG262147:MGG262148 MQC262147:MQC262148 MZY262147:MZY262148 NJU262147:NJU262148 NTQ262147:NTQ262148 ODM262147:ODM262148 ONI262147:ONI262148 OXE262147:OXE262148 PHA262147:PHA262148 PQW262147:PQW262148 QAS262147:QAS262148 QKO262147:QKO262148 QUK262147:QUK262148 REG262147:REG262148 ROC262147:ROC262148 RXY262147:RXY262148 SHU262147:SHU262148 SRQ262147:SRQ262148 TBM262147:TBM262148 TLI262147:TLI262148 TVE262147:TVE262148 UFA262147:UFA262148 UOW262147:UOW262148 UYS262147:UYS262148 VIO262147:VIO262148 VSK262147:VSK262148 WCG262147:WCG262148 WMC262147:WMC262148 WVY262147:WVY262148 Z327683:Z327684 JM327683:JM327684 TI327683:TI327684 ADE327683:ADE327684 ANA327683:ANA327684 AWW327683:AWW327684 BGS327683:BGS327684 BQO327683:BQO327684 CAK327683:CAK327684 CKG327683:CKG327684 CUC327683:CUC327684 DDY327683:DDY327684 DNU327683:DNU327684 DXQ327683:DXQ327684 EHM327683:EHM327684 ERI327683:ERI327684 FBE327683:FBE327684 FLA327683:FLA327684 FUW327683:FUW327684 GES327683:GES327684 GOO327683:GOO327684 GYK327683:GYK327684 HIG327683:HIG327684 HSC327683:HSC327684 IBY327683:IBY327684 ILU327683:ILU327684 IVQ327683:IVQ327684 JFM327683:JFM327684 JPI327683:JPI327684 JZE327683:JZE327684 KJA327683:KJA327684 KSW327683:KSW327684 LCS327683:LCS327684 LMO327683:LMO327684 LWK327683:LWK327684 MGG327683:MGG327684 MQC327683:MQC327684 MZY327683:MZY327684 NJU327683:NJU327684 NTQ327683:NTQ327684 ODM327683:ODM327684 ONI327683:ONI327684 OXE327683:OXE327684 PHA327683:PHA327684 PQW327683:PQW327684 QAS327683:QAS327684 QKO327683:QKO327684 QUK327683:QUK327684 REG327683:REG327684 ROC327683:ROC327684 RXY327683:RXY327684 SHU327683:SHU327684 SRQ327683:SRQ327684 TBM327683:TBM327684 TLI327683:TLI327684 TVE327683:TVE327684 UFA327683:UFA327684 UOW327683:UOW327684 UYS327683:UYS327684 VIO327683:VIO327684 VSK327683:VSK327684 WCG327683:WCG327684 WMC327683:WMC327684 WVY327683:WVY327684 Z393219:Z393220 JM393219:JM393220 TI393219:TI393220 ADE393219:ADE393220 ANA393219:ANA393220 AWW393219:AWW393220 BGS393219:BGS393220 BQO393219:BQO393220 CAK393219:CAK393220 CKG393219:CKG393220 CUC393219:CUC393220 DDY393219:DDY393220 DNU393219:DNU393220 DXQ393219:DXQ393220 EHM393219:EHM393220 ERI393219:ERI393220 FBE393219:FBE393220 FLA393219:FLA393220 FUW393219:FUW393220 GES393219:GES393220 GOO393219:GOO393220 GYK393219:GYK393220 HIG393219:HIG393220 HSC393219:HSC393220 IBY393219:IBY393220 ILU393219:ILU393220 IVQ393219:IVQ393220 JFM393219:JFM393220 JPI393219:JPI393220 JZE393219:JZE393220 KJA393219:KJA393220 KSW393219:KSW393220 LCS393219:LCS393220 LMO393219:LMO393220 LWK393219:LWK393220 MGG393219:MGG393220 MQC393219:MQC393220 MZY393219:MZY393220 NJU393219:NJU393220 NTQ393219:NTQ393220 ODM393219:ODM393220 ONI393219:ONI393220 OXE393219:OXE393220 PHA393219:PHA393220 PQW393219:PQW393220 QAS393219:QAS393220 QKO393219:QKO393220 QUK393219:QUK393220 REG393219:REG393220 ROC393219:ROC393220 RXY393219:RXY393220 SHU393219:SHU393220 SRQ393219:SRQ393220 TBM393219:TBM393220 TLI393219:TLI393220 TVE393219:TVE393220 UFA393219:UFA393220 UOW393219:UOW393220 UYS393219:UYS393220 VIO393219:VIO393220 VSK393219:VSK393220 WCG393219:WCG393220 WMC393219:WMC393220 WVY393219:WVY393220 Z458755:Z458756 JM458755:JM458756 TI458755:TI458756 ADE458755:ADE458756 ANA458755:ANA458756 AWW458755:AWW458756 BGS458755:BGS458756 BQO458755:BQO458756 CAK458755:CAK458756 CKG458755:CKG458756 CUC458755:CUC458756 DDY458755:DDY458756 DNU458755:DNU458756 DXQ458755:DXQ458756 EHM458755:EHM458756 ERI458755:ERI458756 FBE458755:FBE458756 FLA458755:FLA458756 FUW458755:FUW458756 GES458755:GES458756 GOO458755:GOO458756 GYK458755:GYK458756 HIG458755:HIG458756 HSC458755:HSC458756 IBY458755:IBY458756 ILU458755:ILU458756 IVQ458755:IVQ458756 JFM458755:JFM458756 JPI458755:JPI458756 JZE458755:JZE458756 KJA458755:KJA458756 KSW458755:KSW458756 LCS458755:LCS458756 LMO458755:LMO458756 LWK458755:LWK458756 MGG458755:MGG458756 MQC458755:MQC458756 MZY458755:MZY458756 NJU458755:NJU458756 NTQ458755:NTQ458756 ODM458755:ODM458756 ONI458755:ONI458756 OXE458755:OXE458756 PHA458755:PHA458756 PQW458755:PQW458756 QAS458755:QAS458756 QKO458755:QKO458756 QUK458755:QUK458756 REG458755:REG458756 ROC458755:ROC458756 RXY458755:RXY458756 SHU458755:SHU458756 SRQ458755:SRQ458756 TBM458755:TBM458756 TLI458755:TLI458756 TVE458755:TVE458756 UFA458755:UFA458756 UOW458755:UOW458756 UYS458755:UYS458756 VIO458755:VIO458756 VSK458755:VSK458756 WCG458755:WCG458756 WMC458755:WMC458756 WVY458755:WVY458756 Z524291:Z524292 JM524291:JM524292 TI524291:TI524292 ADE524291:ADE524292 ANA524291:ANA524292 AWW524291:AWW524292 BGS524291:BGS524292 BQO524291:BQO524292 CAK524291:CAK524292 CKG524291:CKG524292 CUC524291:CUC524292 DDY524291:DDY524292 DNU524291:DNU524292 DXQ524291:DXQ524292 EHM524291:EHM524292 ERI524291:ERI524292 FBE524291:FBE524292 FLA524291:FLA524292 FUW524291:FUW524292 GES524291:GES524292 GOO524291:GOO524292 GYK524291:GYK524292 HIG524291:HIG524292 HSC524291:HSC524292 IBY524291:IBY524292 ILU524291:ILU524292 IVQ524291:IVQ524292 JFM524291:JFM524292 JPI524291:JPI524292 JZE524291:JZE524292 KJA524291:KJA524292 KSW524291:KSW524292 LCS524291:LCS524292 LMO524291:LMO524292 LWK524291:LWK524292 MGG524291:MGG524292 MQC524291:MQC524292 MZY524291:MZY524292 NJU524291:NJU524292 NTQ524291:NTQ524292 ODM524291:ODM524292 ONI524291:ONI524292 OXE524291:OXE524292 PHA524291:PHA524292 PQW524291:PQW524292 QAS524291:QAS524292 QKO524291:QKO524292 QUK524291:QUK524292 REG524291:REG524292 ROC524291:ROC524292 RXY524291:RXY524292 SHU524291:SHU524292 SRQ524291:SRQ524292 TBM524291:TBM524292 TLI524291:TLI524292 TVE524291:TVE524292 UFA524291:UFA524292 UOW524291:UOW524292 UYS524291:UYS524292 VIO524291:VIO524292 VSK524291:VSK524292 WCG524291:WCG524292 WMC524291:WMC524292 WVY524291:WVY524292 Z589827:Z589828 JM589827:JM589828 TI589827:TI589828 ADE589827:ADE589828 ANA589827:ANA589828 AWW589827:AWW589828 BGS589827:BGS589828 BQO589827:BQO589828 CAK589827:CAK589828 CKG589827:CKG589828 CUC589827:CUC589828 DDY589827:DDY589828 DNU589827:DNU589828 DXQ589827:DXQ589828 EHM589827:EHM589828 ERI589827:ERI589828 FBE589827:FBE589828 FLA589827:FLA589828 FUW589827:FUW589828 GES589827:GES589828 GOO589827:GOO589828 GYK589827:GYK589828 HIG589827:HIG589828 HSC589827:HSC589828 IBY589827:IBY589828 ILU589827:ILU589828 IVQ589827:IVQ589828 JFM589827:JFM589828 JPI589827:JPI589828 JZE589827:JZE589828 KJA589827:KJA589828 KSW589827:KSW589828 LCS589827:LCS589828 LMO589827:LMO589828 LWK589827:LWK589828 MGG589827:MGG589828 MQC589827:MQC589828 MZY589827:MZY589828 NJU589827:NJU589828 NTQ589827:NTQ589828 ODM589827:ODM589828 ONI589827:ONI589828 OXE589827:OXE589828 PHA589827:PHA589828 PQW589827:PQW589828 QAS589827:QAS589828 QKO589827:QKO589828 QUK589827:QUK589828 REG589827:REG589828 ROC589827:ROC589828 RXY589827:RXY589828 SHU589827:SHU589828 SRQ589827:SRQ589828 TBM589827:TBM589828 TLI589827:TLI589828 TVE589827:TVE589828 UFA589827:UFA589828 UOW589827:UOW589828 UYS589827:UYS589828 VIO589827:VIO589828 VSK589827:VSK589828 WCG589827:WCG589828 WMC589827:WMC589828 WVY589827:WVY589828 Z655363:Z655364 JM655363:JM655364 TI655363:TI655364 ADE655363:ADE655364 ANA655363:ANA655364 AWW655363:AWW655364 BGS655363:BGS655364 BQO655363:BQO655364 CAK655363:CAK655364 CKG655363:CKG655364 CUC655363:CUC655364 DDY655363:DDY655364 DNU655363:DNU655364 DXQ655363:DXQ655364 EHM655363:EHM655364 ERI655363:ERI655364 FBE655363:FBE655364 FLA655363:FLA655364 FUW655363:FUW655364 GES655363:GES655364 GOO655363:GOO655364 GYK655363:GYK655364 HIG655363:HIG655364 HSC655363:HSC655364 IBY655363:IBY655364 ILU655363:ILU655364 IVQ655363:IVQ655364 JFM655363:JFM655364 JPI655363:JPI655364 JZE655363:JZE655364 KJA655363:KJA655364 KSW655363:KSW655364 LCS655363:LCS655364 LMO655363:LMO655364 LWK655363:LWK655364 MGG655363:MGG655364 MQC655363:MQC655364 MZY655363:MZY655364 NJU655363:NJU655364 NTQ655363:NTQ655364 ODM655363:ODM655364 ONI655363:ONI655364 OXE655363:OXE655364 PHA655363:PHA655364 PQW655363:PQW655364 QAS655363:QAS655364 QKO655363:QKO655364 QUK655363:QUK655364 REG655363:REG655364 ROC655363:ROC655364 RXY655363:RXY655364 SHU655363:SHU655364 SRQ655363:SRQ655364 TBM655363:TBM655364 TLI655363:TLI655364 TVE655363:TVE655364 UFA655363:UFA655364 UOW655363:UOW655364 UYS655363:UYS655364 VIO655363:VIO655364 VSK655363:VSK655364 WCG655363:WCG655364 WMC655363:WMC655364 WVY655363:WVY655364 Z720899:Z720900 JM720899:JM720900 TI720899:TI720900 ADE720899:ADE720900 ANA720899:ANA720900 AWW720899:AWW720900 BGS720899:BGS720900 BQO720899:BQO720900 CAK720899:CAK720900 CKG720899:CKG720900 CUC720899:CUC720900 DDY720899:DDY720900 DNU720899:DNU720900 DXQ720899:DXQ720900 EHM720899:EHM720900 ERI720899:ERI720900 FBE720899:FBE720900 FLA720899:FLA720900 FUW720899:FUW720900 GES720899:GES720900 GOO720899:GOO720900 GYK720899:GYK720900 HIG720899:HIG720900 HSC720899:HSC720900 IBY720899:IBY720900 ILU720899:ILU720900 IVQ720899:IVQ720900 JFM720899:JFM720900 JPI720899:JPI720900 JZE720899:JZE720900 KJA720899:KJA720900 KSW720899:KSW720900 LCS720899:LCS720900 LMO720899:LMO720900 LWK720899:LWK720900 MGG720899:MGG720900 MQC720899:MQC720900 MZY720899:MZY720900 NJU720899:NJU720900 NTQ720899:NTQ720900 ODM720899:ODM720900 ONI720899:ONI720900 OXE720899:OXE720900 PHA720899:PHA720900 PQW720899:PQW720900 QAS720899:QAS720900 QKO720899:QKO720900 QUK720899:QUK720900 REG720899:REG720900 ROC720899:ROC720900 RXY720899:RXY720900 SHU720899:SHU720900 SRQ720899:SRQ720900 TBM720899:TBM720900 TLI720899:TLI720900 TVE720899:TVE720900 UFA720899:UFA720900 UOW720899:UOW720900 UYS720899:UYS720900 VIO720899:VIO720900 VSK720899:VSK720900 WCG720899:WCG720900 WMC720899:WMC720900 WVY720899:WVY720900 Z786435:Z786436 JM786435:JM786436 TI786435:TI786436 ADE786435:ADE786436 ANA786435:ANA786436 AWW786435:AWW786436 BGS786435:BGS786436 BQO786435:BQO786436 CAK786435:CAK786436 CKG786435:CKG786436 CUC786435:CUC786436 DDY786435:DDY786436 DNU786435:DNU786436 DXQ786435:DXQ786436 EHM786435:EHM786436 ERI786435:ERI786436 FBE786435:FBE786436 FLA786435:FLA786436 FUW786435:FUW786436 GES786435:GES786436 GOO786435:GOO786436 GYK786435:GYK786436 HIG786435:HIG786436 HSC786435:HSC786436 IBY786435:IBY786436 ILU786435:ILU786436 IVQ786435:IVQ786436 JFM786435:JFM786436 JPI786435:JPI786436 JZE786435:JZE786436 KJA786435:KJA786436 KSW786435:KSW786436 LCS786435:LCS786436 LMO786435:LMO786436 LWK786435:LWK786436 MGG786435:MGG786436 MQC786435:MQC786436 MZY786435:MZY786436 NJU786435:NJU786436 NTQ786435:NTQ786436 ODM786435:ODM786436 ONI786435:ONI786436 OXE786435:OXE786436 PHA786435:PHA786436 PQW786435:PQW786436 QAS786435:QAS786436 QKO786435:QKO786436 QUK786435:QUK786436 REG786435:REG786436 ROC786435:ROC786436 RXY786435:RXY786436 SHU786435:SHU786436 SRQ786435:SRQ786436 TBM786435:TBM786436 TLI786435:TLI786436 TVE786435:TVE786436 UFA786435:UFA786436 UOW786435:UOW786436 UYS786435:UYS786436 VIO786435:VIO786436 VSK786435:VSK786436 WCG786435:WCG786436 WMC786435:WMC786436 WVY786435:WVY786436 Z851971:Z851972 JM851971:JM851972 TI851971:TI851972 ADE851971:ADE851972 ANA851971:ANA851972 AWW851971:AWW851972 BGS851971:BGS851972 BQO851971:BQO851972 CAK851971:CAK851972 CKG851971:CKG851972 CUC851971:CUC851972 DDY851971:DDY851972 DNU851971:DNU851972 DXQ851971:DXQ851972 EHM851971:EHM851972 ERI851971:ERI851972 FBE851971:FBE851972 FLA851971:FLA851972 FUW851971:FUW851972 GES851971:GES851972 GOO851971:GOO851972 GYK851971:GYK851972 HIG851971:HIG851972 HSC851971:HSC851972 IBY851971:IBY851972 ILU851971:ILU851972 IVQ851971:IVQ851972 JFM851971:JFM851972 JPI851971:JPI851972 JZE851971:JZE851972 KJA851971:KJA851972 KSW851971:KSW851972 LCS851971:LCS851972 LMO851971:LMO851972 LWK851971:LWK851972 MGG851971:MGG851972 MQC851971:MQC851972 MZY851971:MZY851972 NJU851971:NJU851972 NTQ851971:NTQ851972 ODM851971:ODM851972 ONI851971:ONI851972 OXE851971:OXE851972 PHA851971:PHA851972 PQW851971:PQW851972 QAS851971:QAS851972 QKO851971:QKO851972 QUK851971:QUK851972 REG851971:REG851972 ROC851971:ROC851972 RXY851971:RXY851972 SHU851971:SHU851972 SRQ851971:SRQ851972 TBM851971:TBM851972 TLI851971:TLI851972 TVE851971:TVE851972 UFA851971:UFA851972 UOW851971:UOW851972 UYS851971:UYS851972 VIO851971:VIO851972 VSK851971:VSK851972 WCG851971:WCG851972 WMC851971:WMC851972 WVY851971:WVY851972 Z917507:Z917508 JM917507:JM917508 TI917507:TI917508 ADE917507:ADE917508 ANA917507:ANA917508 AWW917507:AWW917508 BGS917507:BGS917508 BQO917507:BQO917508 CAK917507:CAK917508 CKG917507:CKG917508 CUC917507:CUC917508 DDY917507:DDY917508 DNU917507:DNU917508 DXQ917507:DXQ917508 EHM917507:EHM917508 ERI917507:ERI917508 FBE917507:FBE917508 FLA917507:FLA917508 FUW917507:FUW917508 GES917507:GES917508 GOO917507:GOO917508 GYK917507:GYK917508 HIG917507:HIG917508 HSC917507:HSC917508 IBY917507:IBY917508 ILU917507:ILU917508 IVQ917507:IVQ917508 JFM917507:JFM917508 JPI917507:JPI917508 JZE917507:JZE917508 KJA917507:KJA917508 KSW917507:KSW917508 LCS917507:LCS917508 LMO917507:LMO917508 LWK917507:LWK917508 MGG917507:MGG917508 MQC917507:MQC917508 MZY917507:MZY917508 NJU917507:NJU917508 NTQ917507:NTQ917508 ODM917507:ODM917508 ONI917507:ONI917508 OXE917507:OXE917508 PHA917507:PHA917508 PQW917507:PQW917508 QAS917507:QAS917508 QKO917507:QKO917508 QUK917507:QUK917508 REG917507:REG917508 ROC917507:ROC917508 RXY917507:RXY917508 SHU917507:SHU917508 SRQ917507:SRQ917508 TBM917507:TBM917508 TLI917507:TLI917508 TVE917507:TVE917508 UFA917507:UFA917508 UOW917507:UOW917508 UYS917507:UYS917508 VIO917507:VIO917508 VSK917507:VSK917508 WCG917507:WCG917508 WMC917507:WMC917508 WVY917507:WVY917508 Z983043:Z983044 JM983043:JM983044 TI983043:TI983044 ADE983043:ADE983044 ANA983043:ANA983044 AWW983043:AWW983044 BGS983043:BGS983044 BQO983043:BQO983044 CAK983043:CAK983044 CKG983043:CKG983044 CUC983043:CUC983044 DDY983043:DDY983044 DNU983043:DNU983044 DXQ983043:DXQ983044 EHM983043:EHM983044 ERI983043:ERI983044 FBE983043:FBE983044 FLA983043:FLA983044 FUW983043:FUW983044 GES983043:GES983044 GOO983043:GOO983044 GYK983043:GYK983044 HIG983043:HIG983044 HSC983043:HSC983044 IBY983043:IBY983044 ILU983043:ILU983044 IVQ983043:IVQ983044 JFM983043:JFM983044 JPI983043:JPI983044 JZE983043:JZE983044 KJA983043:KJA983044 KSW983043:KSW983044 LCS983043:LCS983044 LMO983043:LMO983044 LWK983043:LWK983044 MGG983043:MGG983044 MQC983043:MQC983044 MZY983043:MZY983044 NJU983043:NJU983044 NTQ983043:NTQ983044 ODM983043:ODM983044 ONI983043:ONI983044 OXE983043:OXE983044 PHA983043:PHA983044 PQW983043:PQW983044 QAS983043:QAS983044 QKO983043:QKO983044 QUK983043:QUK983044 REG983043:REG983044 ROC983043:ROC983044 RXY983043:RXY983044 SHU983043:SHU983044 SRQ983043:SRQ983044 TBM983043:TBM983044 TLI983043:TLI983044 TVE983043:TVE983044 UFA983043:UFA983044 UOW983043:UOW983044 UYS983043:UYS983044 VIO983043:VIO983044 VSK983043:VSK983044 WCG983043:WCG983044 WMC983043:WMC983044 WVY983043:WVY983044 AB65539:AB65540 JP65539:JP65540 TL65539:TL65540 ADH65539:ADH65540 AND65539:AND65540 AWZ65539:AWZ65540 BGV65539:BGV65540 BQR65539:BQR65540 CAN65539:CAN65540 CKJ65539:CKJ65540 CUF65539:CUF65540 DEB65539:DEB65540 DNX65539:DNX65540 DXT65539:DXT65540 EHP65539:EHP65540 ERL65539:ERL65540 FBH65539:FBH65540 FLD65539:FLD65540 FUZ65539:FUZ65540 GEV65539:GEV65540 GOR65539:GOR65540 GYN65539:GYN65540 HIJ65539:HIJ65540 HSF65539:HSF65540 ICB65539:ICB65540 ILX65539:ILX65540 IVT65539:IVT65540 JFP65539:JFP65540 JPL65539:JPL65540 JZH65539:JZH65540 KJD65539:KJD65540 KSZ65539:KSZ65540 LCV65539:LCV65540 LMR65539:LMR65540 LWN65539:LWN65540 MGJ65539:MGJ65540 MQF65539:MQF65540 NAB65539:NAB65540 NJX65539:NJX65540 NTT65539:NTT65540 ODP65539:ODP65540 ONL65539:ONL65540 OXH65539:OXH65540 PHD65539:PHD65540 PQZ65539:PQZ65540 QAV65539:QAV65540 QKR65539:QKR65540 QUN65539:QUN65540 REJ65539:REJ65540 ROF65539:ROF65540 RYB65539:RYB65540 SHX65539:SHX65540 SRT65539:SRT65540 TBP65539:TBP65540 TLL65539:TLL65540 TVH65539:TVH65540 UFD65539:UFD65540 UOZ65539:UOZ65540 UYV65539:UYV65540 VIR65539:VIR65540 VSN65539:VSN65540 WCJ65539:WCJ65540 WMF65539:WMF65540 WWB65539:WWB65540 AB131075:AB131076 JP131075:JP131076 TL131075:TL131076 ADH131075:ADH131076 AND131075:AND131076 AWZ131075:AWZ131076 BGV131075:BGV131076 BQR131075:BQR131076 CAN131075:CAN131076 CKJ131075:CKJ131076 CUF131075:CUF131076 DEB131075:DEB131076 DNX131075:DNX131076 DXT131075:DXT131076 EHP131075:EHP131076 ERL131075:ERL131076 FBH131075:FBH131076 FLD131075:FLD131076 FUZ131075:FUZ131076 GEV131075:GEV131076 GOR131075:GOR131076 GYN131075:GYN131076 HIJ131075:HIJ131076 HSF131075:HSF131076 ICB131075:ICB131076 ILX131075:ILX131076 IVT131075:IVT131076 JFP131075:JFP131076 JPL131075:JPL131076 JZH131075:JZH131076 KJD131075:KJD131076 KSZ131075:KSZ131076 LCV131075:LCV131076 LMR131075:LMR131076 LWN131075:LWN131076 MGJ131075:MGJ131076 MQF131075:MQF131076 NAB131075:NAB131076 NJX131075:NJX131076 NTT131075:NTT131076 ODP131075:ODP131076 ONL131075:ONL131076 OXH131075:OXH131076 PHD131075:PHD131076 PQZ131075:PQZ131076 QAV131075:QAV131076 QKR131075:QKR131076 QUN131075:QUN131076 REJ131075:REJ131076 ROF131075:ROF131076 RYB131075:RYB131076 SHX131075:SHX131076 SRT131075:SRT131076 TBP131075:TBP131076 TLL131075:TLL131076 TVH131075:TVH131076 UFD131075:UFD131076 UOZ131075:UOZ131076 UYV131075:UYV131076 VIR131075:VIR131076 VSN131075:VSN131076 WCJ131075:WCJ131076 WMF131075:WMF131076 WWB131075:WWB131076 AB196611:AB196612 JP196611:JP196612 TL196611:TL196612 ADH196611:ADH196612 AND196611:AND196612 AWZ196611:AWZ196612 BGV196611:BGV196612 BQR196611:BQR196612 CAN196611:CAN196612 CKJ196611:CKJ196612 CUF196611:CUF196612 DEB196611:DEB196612 DNX196611:DNX196612 DXT196611:DXT196612 EHP196611:EHP196612 ERL196611:ERL196612 FBH196611:FBH196612 FLD196611:FLD196612 FUZ196611:FUZ196612 GEV196611:GEV196612 GOR196611:GOR196612 GYN196611:GYN196612 HIJ196611:HIJ196612 HSF196611:HSF196612 ICB196611:ICB196612 ILX196611:ILX196612 IVT196611:IVT196612 JFP196611:JFP196612 JPL196611:JPL196612 JZH196611:JZH196612 KJD196611:KJD196612 KSZ196611:KSZ196612 LCV196611:LCV196612 LMR196611:LMR196612 LWN196611:LWN196612 MGJ196611:MGJ196612 MQF196611:MQF196612 NAB196611:NAB196612 NJX196611:NJX196612 NTT196611:NTT196612 ODP196611:ODP196612 ONL196611:ONL196612 OXH196611:OXH196612 PHD196611:PHD196612 PQZ196611:PQZ196612 QAV196611:QAV196612 QKR196611:QKR196612 QUN196611:QUN196612 REJ196611:REJ196612 ROF196611:ROF196612 RYB196611:RYB196612 SHX196611:SHX196612 SRT196611:SRT196612 TBP196611:TBP196612 TLL196611:TLL196612 TVH196611:TVH196612 UFD196611:UFD196612 UOZ196611:UOZ196612 UYV196611:UYV196612 VIR196611:VIR196612 VSN196611:VSN196612 WCJ196611:WCJ196612 WMF196611:WMF196612 WWB196611:WWB196612 AB262147:AB262148 JP262147:JP262148 TL262147:TL262148 ADH262147:ADH262148 AND262147:AND262148 AWZ262147:AWZ262148 BGV262147:BGV262148 BQR262147:BQR262148 CAN262147:CAN262148 CKJ262147:CKJ262148 CUF262147:CUF262148 DEB262147:DEB262148 DNX262147:DNX262148 DXT262147:DXT262148 EHP262147:EHP262148 ERL262147:ERL262148 FBH262147:FBH262148 FLD262147:FLD262148 FUZ262147:FUZ262148 GEV262147:GEV262148 GOR262147:GOR262148 GYN262147:GYN262148 HIJ262147:HIJ262148 HSF262147:HSF262148 ICB262147:ICB262148 ILX262147:ILX262148 IVT262147:IVT262148 JFP262147:JFP262148 JPL262147:JPL262148 JZH262147:JZH262148 KJD262147:KJD262148 KSZ262147:KSZ262148 LCV262147:LCV262148 LMR262147:LMR262148 LWN262147:LWN262148 MGJ262147:MGJ262148 MQF262147:MQF262148 NAB262147:NAB262148 NJX262147:NJX262148 NTT262147:NTT262148 ODP262147:ODP262148 ONL262147:ONL262148 OXH262147:OXH262148 PHD262147:PHD262148 PQZ262147:PQZ262148 QAV262147:QAV262148 QKR262147:QKR262148 QUN262147:QUN262148 REJ262147:REJ262148 ROF262147:ROF262148 RYB262147:RYB262148 SHX262147:SHX262148 SRT262147:SRT262148 TBP262147:TBP262148 TLL262147:TLL262148 TVH262147:TVH262148 UFD262147:UFD262148 UOZ262147:UOZ262148 UYV262147:UYV262148 VIR262147:VIR262148 VSN262147:VSN262148 WCJ262147:WCJ262148 WMF262147:WMF262148 WWB262147:WWB262148 AB327683:AB327684 JP327683:JP327684 TL327683:TL327684 ADH327683:ADH327684 AND327683:AND327684 AWZ327683:AWZ327684 BGV327683:BGV327684 BQR327683:BQR327684 CAN327683:CAN327684 CKJ327683:CKJ327684 CUF327683:CUF327684 DEB327683:DEB327684 DNX327683:DNX327684 DXT327683:DXT327684 EHP327683:EHP327684 ERL327683:ERL327684 FBH327683:FBH327684 FLD327683:FLD327684 FUZ327683:FUZ327684 GEV327683:GEV327684 GOR327683:GOR327684 GYN327683:GYN327684 HIJ327683:HIJ327684 HSF327683:HSF327684 ICB327683:ICB327684 ILX327683:ILX327684 IVT327683:IVT327684 JFP327683:JFP327684 JPL327683:JPL327684 JZH327683:JZH327684 KJD327683:KJD327684 KSZ327683:KSZ327684 LCV327683:LCV327684 LMR327683:LMR327684 LWN327683:LWN327684 MGJ327683:MGJ327684 MQF327683:MQF327684 NAB327683:NAB327684 NJX327683:NJX327684 NTT327683:NTT327684 ODP327683:ODP327684 ONL327683:ONL327684 OXH327683:OXH327684 PHD327683:PHD327684 PQZ327683:PQZ327684 QAV327683:QAV327684 QKR327683:QKR327684 QUN327683:QUN327684 REJ327683:REJ327684 ROF327683:ROF327684 RYB327683:RYB327684 SHX327683:SHX327684 SRT327683:SRT327684 TBP327683:TBP327684 TLL327683:TLL327684 TVH327683:TVH327684 UFD327683:UFD327684 UOZ327683:UOZ327684 UYV327683:UYV327684 VIR327683:VIR327684 VSN327683:VSN327684 WCJ327683:WCJ327684 WMF327683:WMF327684 WWB327683:WWB327684 AB393219:AB393220 JP393219:JP393220 TL393219:TL393220 ADH393219:ADH393220 AND393219:AND393220 AWZ393219:AWZ393220 BGV393219:BGV393220 BQR393219:BQR393220 CAN393219:CAN393220 CKJ393219:CKJ393220 CUF393219:CUF393220 DEB393219:DEB393220 DNX393219:DNX393220 DXT393219:DXT393220 EHP393219:EHP393220 ERL393219:ERL393220 FBH393219:FBH393220 FLD393219:FLD393220 FUZ393219:FUZ393220 GEV393219:GEV393220 GOR393219:GOR393220 GYN393219:GYN393220 HIJ393219:HIJ393220 HSF393219:HSF393220 ICB393219:ICB393220 ILX393219:ILX393220 IVT393219:IVT393220 JFP393219:JFP393220 JPL393219:JPL393220 JZH393219:JZH393220 KJD393219:KJD393220 KSZ393219:KSZ393220 LCV393219:LCV393220 LMR393219:LMR393220 LWN393219:LWN393220 MGJ393219:MGJ393220 MQF393219:MQF393220 NAB393219:NAB393220 NJX393219:NJX393220 NTT393219:NTT393220 ODP393219:ODP393220 ONL393219:ONL393220 OXH393219:OXH393220 PHD393219:PHD393220 PQZ393219:PQZ393220 QAV393219:QAV393220 QKR393219:QKR393220 QUN393219:QUN393220 REJ393219:REJ393220 ROF393219:ROF393220 RYB393219:RYB393220 SHX393219:SHX393220 SRT393219:SRT393220 TBP393219:TBP393220 TLL393219:TLL393220 TVH393219:TVH393220 UFD393219:UFD393220 UOZ393219:UOZ393220 UYV393219:UYV393220 VIR393219:VIR393220 VSN393219:VSN393220 WCJ393219:WCJ393220 WMF393219:WMF393220 WWB393219:WWB393220 AB458755:AB458756 JP458755:JP458756 TL458755:TL458756 ADH458755:ADH458756 AND458755:AND458756 AWZ458755:AWZ458756 BGV458755:BGV458756 BQR458755:BQR458756 CAN458755:CAN458756 CKJ458755:CKJ458756 CUF458755:CUF458756 DEB458755:DEB458756 DNX458755:DNX458756 DXT458755:DXT458756 EHP458755:EHP458756 ERL458755:ERL458756 FBH458755:FBH458756 FLD458755:FLD458756 FUZ458755:FUZ458756 GEV458755:GEV458756 GOR458755:GOR458756 GYN458755:GYN458756 HIJ458755:HIJ458756 HSF458755:HSF458756 ICB458755:ICB458756 ILX458755:ILX458756 IVT458755:IVT458756 JFP458755:JFP458756 JPL458755:JPL458756 JZH458755:JZH458756 KJD458755:KJD458756 KSZ458755:KSZ458756 LCV458755:LCV458756 LMR458755:LMR458756 LWN458755:LWN458756 MGJ458755:MGJ458756 MQF458755:MQF458756 NAB458755:NAB458756 NJX458755:NJX458756 NTT458755:NTT458756 ODP458755:ODP458756 ONL458755:ONL458756 OXH458755:OXH458756 PHD458755:PHD458756 PQZ458755:PQZ458756 QAV458755:QAV458756 QKR458755:QKR458756 QUN458755:QUN458756 REJ458755:REJ458756 ROF458755:ROF458756 RYB458755:RYB458756 SHX458755:SHX458756 SRT458755:SRT458756 TBP458755:TBP458756 TLL458755:TLL458756 TVH458755:TVH458756 UFD458755:UFD458756 UOZ458755:UOZ458756 UYV458755:UYV458756 VIR458755:VIR458756 VSN458755:VSN458756 WCJ458755:WCJ458756 WMF458755:WMF458756 WWB458755:WWB458756 AB524291:AB524292 JP524291:JP524292 TL524291:TL524292 ADH524291:ADH524292 AND524291:AND524292 AWZ524291:AWZ524292 BGV524291:BGV524292 BQR524291:BQR524292 CAN524291:CAN524292 CKJ524291:CKJ524292 CUF524291:CUF524292 DEB524291:DEB524292 DNX524291:DNX524292 DXT524291:DXT524292 EHP524291:EHP524292 ERL524291:ERL524292 FBH524291:FBH524292 FLD524291:FLD524292 FUZ524291:FUZ524292 GEV524291:GEV524292 GOR524291:GOR524292 GYN524291:GYN524292 HIJ524291:HIJ524292 HSF524291:HSF524292 ICB524291:ICB524292 ILX524291:ILX524292 IVT524291:IVT524292 JFP524291:JFP524292 JPL524291:JPL524292 JZH524291:JZH524292 KJD524291:KJD524292 KSZ524291:KSZ524292 LCV524291:LCV524292 LMR524291:LMR524292 LWN524291:LWN524292 MGJ524291:MGJ524292 MQF524291:MQF524292 NAB524291:NAB524292 NJX524291:NJX524292 NTT524291:NTT524292 ODP524291:ODP524292 ONL524291:ONL524292 OXH524291:OXH524292 PHD524291:PHD524292 PQZ524291:PQZ524292 QAV524291:QAV524292 QKR524291:QKR524292 QUN524291:QUN524292 REJ524291:REJ524292 ROF524291:ROF524292 RYB524291:RYB524292 SHX524291:SHX524292 SRT524291:SRT524292 TBP524291:TBP524292 TLL524291:TLL524292 TVH524291:TVH524292 UFD524291:UFD524292 UOZ524291:UOZ524292 UYV524291:UYV524292 VIR524291:VIR524292 VSN524291:VSN524292 WCJ524291:WCJ524292 WMF524291:WMF524292 WWB524291:WWB524292 AB589827:AB589828 JP589827:JP589828 TL589827:TL589828 ADH589827:ADH589828 AND589827:AND589828 AWZ589827:AWZ589828 BGV589827:BGV589828 BQR589827:BQR589828 CAN589827:CAN589828 CKJ589827:CKJ589828 CUF589827:CUF589828 DEB589827:DEB589828 DNX589827:DNX589828 DXT589827:DXT589828 EHP589827:EHP589828 ERL589827:ERL589828 FBH589827:FBH589828 FLD589827:FLD589828 FUZ589827:FUZ589828 GEV589827:GEV589828 GOR589827:GOR589828 GYN589827:GYN589828 HIJ589827:HIJ589828 HSF589827:HSF589828 ICB589827:ICB589828 ILX589827:ILX589828 IVT589827:IVT589828 JFP589827:JFP589828 JPL589827:JPL589828 JZH589827:JZH589828 KJD589827:KJD589828 KSZ589827:KSZ589828 LCV589827:LCV589828 LMR589827:LMR589828 LWN589827:LWN589828 MGJ589827:MGJ589828 MQF589827:MQF589828 NAB589827:NAB589828 NJX589827:NJX589828 NTT589827:NTT589828 ODP589827:ODP589828 ONL589827:ONL589828 OXH589827:OXH589828 PHD589827:PHD589828 PQZ589827:PQZ589828 QAV589827:QAV589828 QKR589827:QKR589828 QUN589827:QUN589828 REJ589827:REJ589828 ROF589827:ROF589828 RYB589827:RYB589828 SHX589827:SHX589828 SRT589827:SRT589828 TBP589827:TBP589828 TLL589827:TLL589828 TVH589827:TVH589828 UFD589827:UFD589828 UOZ589827:UOZ589828 UYV589827:UYV589828 VIR589827:VIR589828 VSN589827:VSN589828 WCJ589827:WCJ589828 WMF589827:WMF589828 WWB589827:WWB589828 AB655363:AB655364 JP655363:JP655364 TL655363:TL655364 ADH655363:ADH655364 AND655363:AND655364 AWZ655363:AWZ655364 BGV655363:BGV655364 BQR655363:BQR655364 CAN655363:CAN655364 CKJ655363:CKJ655364 CUF655363:CUF655364 DEB655363:DEB655364 DNX655363:DNX655364 DXT655363:DXT655364 EHP655363:EHP655364 ERL655363:ERL655364 FBH655363:FBH655364 FLD655363:FLD655364 FUZ655363:FUZ655364 GEV655363:GEV655364 GOR655363:GOR655364 GYN655363:GYN655364 HIJ655363:HIJ655364 HSF655363:HSF655364 ICB655363:ICB655364 ILX655363:ILX655364 IVT655363:IVT655364 JFP655363:JFP655364 JPL655363:JPL655364 JZH655363:JZH655364 KJD655363:KJD655364 KSZ655363:KSZ655364 LCV655363:LCV655364 LMR655363:LMR655364 LWN655363:LWN655364 MGJ655363:MGJ655364 MQF655363:MQF655364 NAB655363:NAB655364 NJX655363:NJX655364 NTT655363:NTT655364 ODP655363:ODP655364 ONL655363:ONL655364 OXH655363:OXH655364 PHD655363:PHD655364 PQZ655363:PQZ655364 QAV655363:QAV655364 QKR655363:QKR655364 QUN655363:QUN655364 REJ655363:REJ655364 ROF655363:ROF655364 RYB655363:RYB655364 SHX655363:SHX655364 SRT655363:SRT655364 TBP655363:TBP655364 TLL655363:TLL655364 TVH655363:TVH655364 UFD655363:UFD655364 UOZ655363:UOZ655364 UYV655363:UYV655364 VIR655363:VIR655364 VSN655363:VSN655364 WCJ655363:WCJ655364 WMF655363:WMF655364 WWB655363:WWB655364 AB720899:AB720900 JP720899:JP720900 TL720899:TL720900 ADH720899:ADH720900 AND720899:AND720900 AWZ720899:AWZ720900 BGV720899:BGV720900 BQR720899:BQR720900 CAN720899:CAN720900 CKJ720899:CKJ720900 CUF720899:CUF720900 DEB720899:DEB720900 DNX720899:DNX720900 DXT720899:DXT720900 EHP720899:EHP720900 ERL720899:ERL720900 FBH720899:FBH720900 FLD720899:FLD720900 FUZ720899:FUZ720900 GEV720899:GEV720900 GOR720899:GOR720900 GYN720899:GYN720900 HIJ720899:HIJ720900 HSF720899:HSF720900 ICB720899:ICB720900 ILX720899:ILX720900 IVT720899:IVT720900 JFP720899:JFP720900 JPL720899:JPL720900 JZH720899:JZH720900 KJD720899:KJD720900 KSZ720899:KSZ720900 LCV720899:LCV720900 LMR720899:LMR720900 LWN720899:LWN720900 MGJ720899:MGJ720900 MQF720899:MQF720900 NAB720899:NAB720900 NJX720899:NJX720900 NTT720899:NTT720900 ODP720899:ODP720900 ONL720899:ONL720900 OXH720899:OXH720900 PHD720899:PHD720900 PQZ720899:PQZ720900 QAV720899:QAV720900 QKR720899:QKR720900 QUN720899:QUN720900 REJ720899:REJ720900 ROF720899:ROF720900 RYB720899:RYB720900 SHX720899:SHX720900 SRT720899:SRT720900 TBP720899:TBP720900 TLL720899:TLL720900 TVH720899:TVH720900 UFD720899:UFD720900 UOZ720899:UOZ720900 UYV720899:UYV720900 VIR720899:VIR720900 VSN720899:VSN720900 WCJ720899:WCJ720900 WMF720899:WMF720900 WWB720899:WWB720900 AB786435:AB786436 JP786435:JP786436 TL786435:TL786436 ADH786435:ADH786436 AND786435:AND786436 AWZ786435:AWZ786436 BGV786435:BGV786436 BQR786435:BQR786436 CAN786435:CAN786436 CKJ786435:CKJ786436 CUF786435:CUF786436 DEB786435:DEB786436 DNX786435:DNX786436 DXT786435:DXT786436 EHP786435:EHP786436 ERL786435:ERL786436 FBH786435:FBH786436 FLD786435:FLD786436 FUZ786435:FUZ786436 GEV786435:GEV786436 GOR786435:GOR786436 GYN786435:GYN786436 HIJ786435:HIJ786436 HSF786435:HSF786436 ICB786435:ICB786436 ILX786435:ILX786436 IVT786435:IVT786436 JFP786435:JFP786436 JPL786435:JPL786436 JZH786435:JZH786436 KJD786435:KJD786436 KSZ786435:KSZ786436 LCV786435:LCV786436 LMR786435:LMR786436 LWN786435:LWN786436 MGJ786435:MGJ786436 MQF786435:MQF786436 NAB786435:NAB786436 NJX786435:NJX786436 NTT786435:NTT786436 ODP786435:ODP786436 ONL786435:ONL786436 OXH786435:OXH786436 PHD786435:PHD786436 PQZ786435:PQZ786436 QAV786435:QAV786436 QKR786435:QKR786436 QUN786435:QUN786436 REJ786435:REJ786436 ROF786435:ROF786436 RYB786435:RYB786436 SHX786435:SHX786436 SRT786435:SRT786436 TBP786435:TBP786436 TLL786435:TLL786436 TVH786435:TVH786436 UFD786435:UFD786436 UOZ786435:UOZ786436 UYV786435:UYV786436 VIR786435:VIR786436 VSN786435:VSN786436 WCJ786435:WCJ786436 WMF786435:WMF786436 WWB786435:WWB786436 AB851971:AB851972 JP851971:JP851972 TL851971:TL851972 ADH851971:ADH851972 AND851971:AND851972 AWZ851971:AWZ851972 BGV851971:BGV851972 BQR851971:BQR851972 CAN851971:CAN851972 CKJ851971:CKJ851972 CUF851971:CUF851972 DEB851971:DEB851972 DNX851971:DNX851972 DXT851971:DXT851972 EHP851971:EHP851972 ERL851971:ERL851972 FBH851971:FBH851972 FLD851971:FLD851972 FUZ851971:FUZ851972 GEV851971:GEV851972 GOR851971:GOR851972 GYN851971:GYN851972 HIJ851971:HIJ851972 HSF851971:HSF851972 ICB851971:ICB851972 ILX851971:ILX851972 IVT851971:IVT851972 JFP851971:JFP851972 JPL851971:JPL851972 JZH851971:JZH851972 KJD851971:KJD851972 KSZ851971:KSZ851972 LCV851971:LCV851972 LMR851971:LMR851972 LWN851971:LWN851972 MGJ851971:MGJ851972 MQF851971:MQF851972 NAB851971:NAB851972 NJX851971:NJX851972 NTT851971:NTT851972 ODP851971:ODP851972 ONL851971:ONL851972 OXH851971:OXH851972 PHD851971:PHD851972 PQZ851971:PQZ851972 QAV851971:QAV851972 QKR851971:QKR851972 QUN851971:QUN851972 REJ851971:REJ851972 ROF851971:ROF851972 RYB851971:RYB851972 SHX851971:SHX851972 SRT851971:SRT851972 TBP851971:TBP851972 TLL851971:TLL851972 TVH851971:TVH851972 UFD851971:UFD851972 UOZ851971:UOZ851972 UYV851971:UYV851972 VIR851971:VIR851972 VSN851971:VSN851972 WCJ851971:WCJ851972 WMF851971:WMF851972 WWB851971:WWB851972 AB917507:AB917508 JP917507:JP917508 TL917507:TL917508 ADH917507:ADH917508 AND917507:AND917508 AWZ917507:AWZ917508 BGV917507:BGV917508 BQR917507:BQR917508 CAN917507:CAN917508 CKJ917507:CKJ917508 CUF917507:CUF917508 DEB917507:DEB917508 DNX917507:DNX917508 DXT917507:DXT917508 EHP917507:EHP917508 ERL917507:ERL917508 FBH917507:FBH917508 FLD917507:FLD917508 FUZ917507:FUZ917508 GEV917507:GEV917508 GOR917507:GOR917508 GYN917507:GYN917508 HIJ917507:HIJ917508 HSF917507:HSF917508 ICB917507:ICB917508 ILX917507:ILX917508 IVT917507:IVT917508 JFP917507:JFP917508 JPL917507:JPL917508 JZH917507:JZH917508 KJD917507:KJD917508 KSZ917507:KSZ917508 LCV917507:LCV917508 LMR917507:LMR917508 LWN917507:LWN917508 MGJ917507:MGJ917508 MQF917507:MQF917508 NAB917507:NAB917508 NJX917507:NJX917508 NTT917507:NTT917508 ODP917507:ODP917508 ONL917507:ONL917508 OXH917507:OXH917508 PHD917507:PHD917508 PQZ917507:PQZ917508 QAV917507:QAV917508 QKR917507:QKR917508 QUN917507:QUN917508 REJ917507:REJ917508 ROF917507:ROF917508 RYB917507:RYB917508 SHX917507:SHX917508 SRT917507:SRT917508 TBP917507:TBP917508 TLL917507:TLL917508 TVH917507:TVH917508 UFD917507:UFD917508 UOZ917507:UOZ917508 UYV917507:UYV917508 VIR917507:VIR917508 VSN917507:VSN917508 WCJ917507:WCJ917508 WMF917507:WMF917508 WWB917507:WWB917508 AB983043:AB983044 JP983043:JP983044 TL983043:TL983044 ADH983043:ADH983044 AND983043:AND983044 AWZ983043:AWZ983044 BGV983043:BGV983044 BQR983043:BQR983044 CAN983043:CAN983044 CKJ983043:CKJ983044 CUF983043:CUF983044 DEB983043:DEB983044 DNX983043:DNX983044 DXT983043:DXT983044 EHP983043:EHP983044 ERL983043:ERL983044 FBH983043:FBH983044 FLD983043:FLD983044 FUZ983043:FUZ983044 GEV983043:GEV983044 GOR983043:GOR983044 GYN983043:GYN983044 HIJ983043:HIJ983044 HSF983043:HSF983044 ICB983043:ICB983044 ILX983043:ILX983044 IVT983043:IVT983044 JFP983043:JFP983044 JPL983043:JPL983044 JZH983043:JZH983044 KJD983043:KJD983044 KSZ983043:KSZ983044 LCV983043:LCV983044 LMR983043:LMR983044 LWN983043:LWN983044 MGJ983043:MGJ983044 MQF983043:MQF983044 NAB983043:NAB983044 NJX983043:NJX983044 NTT983043:NTT983044 ODP983043:ODP983044 ONL983043:ONL983044 OXH983043:OXH983044 PHD983043:PHD983044 PQZ983043:PQZ983044 QAV983043:QAV983044 QKR983043:QKR983044 QUN983043:QUN983044 REJ983043:REJ983044 ROF983043:ROF983044 RYB983043:RYB983044 SHX983043:SHX983044 SRT983043:SRT983044 TBP983043:TBP983044 TLL983043:TLL983044 TVH983043:TVH983044 UFD983043:UFD983044 UOZ983043:UOZ983044 UYV983043:UYV983044 VIR983043:VIR983044 VSN983043:VSN983044 WCJ983043:WCJ983044 WMF983043:WMF983044 WWB983043:WWB983044 AD65539:AD65540 JS65539:JS65540 TO65539:TO65540 ADK65539:ADK65540 ANG65539:ANG65540 AXC65539:AXC65540 BGY65539:BGY65540 BQU65539:BQU65540 CAQ65539:CAQ65540 CKM65539:CKM65540 CUI65539:CUI65540 DEE65539:DEE65540 DOA65539:DOA65540 DXW65539:DXW65540 EHS65539:EHS65540 ERO65539:ERO65540 FBK65539:FBK65540 FLG65539:FLG65540 FVC65539:FVC65540 GEY65539:GEY65540 GOU65539:GOU65540 GYQ65539:GYQ65540 HIM65539:HIM65540 HSI65539:HSI65540 ICE65539:ICE65540 IMA65539:IMA65540 IVW65539:IVW65540 JFS65539:JFS65540 JPO65539:JPO65540 JZK65539:JZK65540 KJG65539:KJG65540 KTC65539:KTC65540 LCY65539:LCY65540 LMU65539:LMU65540 LWQ65539:LWQ65540 MGM65539:MGM65540 MQI65539:MQI65540 NAE65539:NAE65540 NKA65539:NKA65540 NTW65539:NTW65540 ODS65539:ODS65540 ONO65539:ONO65540 OXK65539:OXK65540 PHG65539:PHG65540 PRC65539:PRC65540 QAY65539:QAY65540 QKU65539:QKU65540 QUQ65539:QUQ65540 REM65539:REM65540 ROI65539:ROI65540 RYE65539:RYE65540 SIA65539:SIA65540 SRW65539:SRW65540 TBS65539:TBS65540 TLO65539:TLO65540 TVK65539:TVK65540 UFG65539:UFG65540 UPC65539:UPC65540 UYY65539:UYY65540 VIU65539:VIU65540 VSQ65539:VSQ65540 WCM65539:WCM65540 WMI65539:WMI65540 WWE65539:WWE65540 AD131075:AD131076 JS131075:JS131076 TO131075:TO131076 ADK131075:ADK131076 ANG131075:ANG131076 AXC131075:AXC131076 BGY131075:BGY131076 BQU131075:BQU131076 CAQ131075:CAQ131076 CKM131075:CKM131076 CUI131075:CUI131076 DEE131075:DEE131076 DOA131075:DOA131076 DXW131075:DXW131076 EHS131075:EHS131076 ERO131075:ERO131076 FBK131075:FBK131076 FLG131075:FLG131076 FVC131075:FVC131076 GEY131075:GEY131076 GOU131075:GOU131076 GYQ131075:GYQ131076 HIM131075:HIM131076 HSI131075:HSI131076 ICE131075:ICE131076 IMA131075:IMA131076 IVW131075:IVW131076 JFS131075:JFS131076 JPO131075:JPO131076 JZK131075:JZK131076 KJG131075:KJG131076 KTC131075:KTC131076 LCY131075:LCY131076 LMU131075:LMU131076 LWQ131075:LWQ131076 MGM131075:MGM131076 MQI131075:MQI131076 NAE131075:NAE131076 NKA131075:NKA131076 NTW131075:NTW131076 ODS131075:ODS131076 ONO131075:ONO131076 OXK131075:OXK131076 PHG131075:PHG131076 PRC131075:PRC131076 QAY131075:QAY131076 QKU131075:QKU131076 QUQ131075:QUQ131076 REM131075:REM131076 ROI131075:ROI131076 RYE131075:RYE131076 SIA131075:SIA131076 SRW131075:SRW131076 TBS131075:TBS131076 TLO131075:TLO131076 TVK131075:TVK131076 UFG131075:UFG131076 UPC131075:UPC131076 UYY131075:UYY131076 VIU131075:VIU131076 VSQ131075:VSQ131076 WCM131075:WCM131076 WMI131075:WMI131076 WWE131075:WWE131076 AD196611:AD196612 JS196611:JS196612 TO196611:TO196612 ADK196611:ADK196612 ANG196611:ANG196612 AXC196611:AXC196612 BGY196611:BGY196612 BQU196611:BQU196612 CAQ196611:CAQ196612 CKM196611:CKM196612 CUI196611:CUI196612 DEE196611:DEE196612 DOA196611:DOA196612 DXW196611:DXW196612 EHS196611:EHS196612 ERO196611:ERO196612 FBK196611:FBK196612 FLG196611:FLG196612 FVC196611:FVC196612 GEY196611:GEY196612 GOU196611:GOU196612 GYQ196611:GYQ196612 HIM196611:HIM196612 HSI196611:HSI196612 ICE196611:ICE196612 IMA196611:IMA196612 IVW196611:IVW196612 JFS196611:JFS196612 JPO196611:JPO196612 JZK196611:JZK196612 KJG196611:KJG196612 KTC196611:KTC196612 LCY196611:LCY196612 LMU196611:LMU196612 LWQ196611:LWQ196612 MGM196611:MGM196612 MQI196611:MQI196612 NAE196611:NAE196612 NKA196611:NKA196612 NTW196611:NTW196612 ODS196611:ODS196612 ONO196611:ONO196612 OXK196611:OXK196612 PHG196611:PHG196612 PRC196611:PRC196612 QAY196611:QAY196612 QKU196611:QKU196612 QUQ196611:QUQ196612 REM196611:REM196612 ROI196611:ROI196612 RYE196611:RYE196612 SIA196611:SIA196612 SRW196611:SRW196612 TBS196611:TBS196612 TLO196611:TLO196612 TVK196611:TVK196612 UFG196611:UFG196612 UPC196611:UPC196612 UYY196611:UYY196612 VIU196611:VIU196612 VSQ196611:VSQ196612 WCM196611:WCM196612 WMI196611:WMI196612 WWE196611:WWE196612 AD262147:AD262148 JS262147:JS262148 TO262147:TO262148 ADK262147:ADK262148 ANG262147:ANG262148 AXC262147:AXC262148 BGY262147:BGY262148 BQU262147:BQU262148 CAQ262147:CAQ262148 CKM262147:CKM262148 CUI262147:CUI262148 DEE262147:DEE262148 DOA262147:DOA262148 DXW262147:DXW262148 EHS262147:EHS262148 ERO262147:ERO262148 FBK262147:FBK262148 FLG262147:FLG262148 FVC262147:FVC262148 GEY262147:GEY262148 GOU262147:GOU262148 GYQ262147:GYQ262148 HIM262147:HIM262148 HSI262147:HSI262148 ICE262147:ICE262148 IMA262147:IMA262148 IVW262147:IVW262148 JFS262147:JFS262148 JPO262147:JPO262148 JZK262147:JZK262148 KJG262147:KJG262148 KTC262147:KTC262148 LCY262147:LCY262148 LMU262147:LMU262148 LWQ262147:LWQ262148 MGM262147:MGM262148 MQI262147:MQI262148 NAE262147:NAE262148 NKA262147:NKA262148 NTW262147:NTW262148 ODS262147:ODS262148 ONO262147:ONO262148 OXK262147:OXK262148 PHG262147:PHG262148 PRC262147:PRC262148 QAY262147:QAY262148 QKU262147:QKU262148 QUQ262147:QUQ262148 REM262147:REM262148 ROI262147:ROI262148 RYE262147:RYE262148 SIA262147:SIA262148 SRW262147:SRW262148 TBS262147:TBS262148 TLO262147:TLO262148 TVK262147:TVK262148 UFG262147:UFG262148 UPC262147:UPC262148 UYY262147:UYY262148 VIU262147:VIU262148 VSQ262147:VSQ262148 WCM262147:WCM262148 WMI262147:WMI262148 WWE262147:WWE262148 AD327683:AD327684 JS327683:JS327684 TO327683:TO327684 ADK327683:ADK327684 ANG327683:ANG327684 AXC327683:AXC327684 BGY327683:BGY327684 BQU327683:BQU327684 CAQ327683:CAQ327684 CKM327683:CKM327684 CUI327683:CUI327684 DEE327683:DEE327684 DOA327683:DOA327684 DXW327683:DXW327684 EHS327683:EHS327684 ERO327683:ERO327684 FBK327683:FBK327684 FLG327683:FLG327684 FVC327683:FVC327684 GEY327683:GEY327684 GOU327683:GOU327684 GYQ327683:GYQ327684 HIM327683:HIM327684 HSI327683:HSI327684 ICE327683:ICE327684 IMA327683:IMA327684 IVW327683:IVW327684 JFS327683:JFS327684 JPO327683:JPO327684 JZK327683:JZK327684 KJG327683:KJG327684 KTC327683:KTC327684 LCY327683:LCY327684 LMU327683:LMU327684 LWQ327683:LWQ327684 MGM327683:MGM327684 MQI327683:MQI327684 NAE327683:NAE327684 NKA327683:NKA327684 NTW327683:NTW327684 ODS327683:ODS327684 ONO327683:ONO327684 OXK327683:OXK327684 PHG327683:PHG327684 PRC327683:PRC327684 QAY327683:QAY327684 QKU327683:QKU327684 QUQ327683:QUQ327684 REM327683:REM327684 ROI327683:ROI327684 RYE327683:RYE327684 SIA327683:SIA327684 SRW327683:SRW327684 TBS327683:TBS327684 TLO327683:TLO327684 TVK327683:TVK327684 UFG327683:UFG327684 UPC327683:UPC327684 UYY327683:UYY327684 VIU327683:VIU327684 VSQ327683:VSQ327684 WCM327683:WCM327684 WMI327683:WMI327684 WWE327683:WWE327684 AD393219:AD393220 JS393219:JS393220 TO393219:TO393220 ADK393219:ADK393220 ANG393219:ANG393220 AXC393219:AXC393220 BGY393219:BGY393220 BQU393219:BQU393220 CAQ393219:CAQ393220 CKM393219:CKM393220 CUI393219:CUI393220 DEE393219:DEE393220 DOA393219:DOA393220 DXW393219:DXW393220 EHS393219:EHS393220 ERO393219:ERO393220 FBK393219:FBK393220 FLG393219:FLG393220 FVC393219:FVC393220 GEY393219:GEY393220 GOU393219:GOU393220 GYQ393219:GYQ393220 HIM393219:HIM393220 HSI393219:HSI393220 ICE393219:ICE393220 IMA393219:IMA393220 IVW393219:IVW393220 JFS393219:JFS393220 JPO393219:JPO393220 JZK393219:JZK393220 KJG393219:KJG393220 KTC393219:KTC393220 LCY393219:LCY393220 LMU393219:LMU393220 LWQ393219:LWQ393220 MGM393219:MGM393220 MQI393219:MQI393220 NAE393219:NAE393220 NKA393219:NKA393220 NTW393219:NTW393220 ODS393219:ODS393220 ONO393219:ONO393220 OXK393219:OXK393220 PHG393219:PHG393220 PRC393219:PRC393220 QAY393219:QAY393220 QKU393219:QKU393220 QUQ393219:QUQ393220 REM393219:REM393220 ROI393219:ROI393220 RYE393219:RYE393220 SIA393219:SIA393220 SRW393219:SRW393220 TBS393219:TBS393220 TLO393219:TLO393220 TVK393219:TVK393220 UFG393219:UFG393220 UPC393219:UPC393220 UYY393219:UYY393220 VIU393219:VIU393220 VSQ393219:VSQ393220 WCM393219:WCM393220 WMI393219:WMI393220 WWE393219:WWE393220 AD458755:AD458756 JS458755:JS458756 TO458755:TO458756 ADK458755:ADK458756 ANG458755:ANG458756 AXC458755:AXC458756 BGY458755:BGY458756 BQU458755:BQU458756 CAQ458755:CAQ458756 CKM458755:CKM458756 CUI458755:CUI458756 DEE458755:DEE458756 DOA458755:DOA458756 DXW458755:DXW458756 EHS458755:EHS458756 ERO458755:ERO458756 FBK458755:FBK458756 FLG458755:FLG458756 FVC458755:FVC458756 GEY458755:GEY458756 GOU458755:GOU458756 GYQ458755:GYQ458756 HIM458755:HIM458756 HSI458755:HSI458756 ICE458755:ICE458756 IMA458755:IMA458756 IVW458755:IVW458756 JFS458755:JFS458756 JPO458755:JPO458756 JZK458755:JZK458756 KJG458755:KJG458756 KTC458755:KTC458756 LCY458755:LCY458756 LMU458755:LMU458756 LWQ458755:LWQ458756 MGM458755:MGM458756 MQI458755:MQI458756 NAE458755:NAE458756 NKA458755:NKA458756 NTW458755:NTW458756 ODS458755:ODS458756 ONO458755:ONO458756 OXK458755:OXK458756 PHG458755:PHG458756 PRC458755:PRC458756 QAY458755:QAY458756 QKU458755:QKU458756 QUQ458755:QUQ458756 REM458755:REM458756 ROI458755:ROI458756 RYE458755:RYE458756 SIA458755:SIA458756 SRW458755:SRW458756 TBS458755:TBS458756 TLO458755:TLO458756 TVK458755:TVK458756 UFG458755:UFG458756 UPC458755:UPC458756 UYY458755:UYY458756 VIU458755:VIU458756 VSQ458755:VSQ458756 WCM458755:WCM458756 WMI458755:WMI458756 WWE458755:WWE458756 AD524291:AD524292 JS524291:JS524292 TO524291:TO524292 ADK524291:ADK524292 ANG524291:ANG524292 AXC524291:AXC524292 BGY524291:BGY524292 BQU524291:BQU524292 CAQ524291:CAQ524292 CKM524291:CKM524292 CUI524291:CUI524292 DEE524291:DEE524292 DOA524291:DOA524292 DXW524291:DXW524292 EHS524291:EHS524292 ERO524291:ERO524292 FBK524291:FBK524292 FLG524291:FLG524292 FVC524291:FVC524292 GEY524291:GEY524292 GOU524291:GOU524292 GYQ524291:GYQ524292 HIM524291:HIM524292 HSI524291:HSI524292 ICE524291:ICE524292 IMA524291:IMA524292 IVW524291:IVW524292 JFS524291:JFS524292 JPO524291:JPO524292 JZK524291:JZK524292 KJG524291:KJG524292 KTC524291:KTC524292 LCY524291:LCY524292 LMU524291:LMU524292 LWQ524291:LWQ524292 MGM524291:MGM524292 MQI524291:MQI524292 NAE524291:NAE524292 NKA524291:NKA524292 NTW524291:NTW524292 ODS524291:ODS524292 ONO524291:ONO524292 OXK524291:OXK524292 PHG524291:PHG524292 PRC524291:PRC524292 QAY524291:QAY524292 QKU524291:QKU524292 QUQ524291:QUQ524292 REM524291:REM524292 ROI524291:ROI524292 RYE524291:RYE524292 SIA524291:SIA524292 SRW524291:SRW524292 TBS524291:TBS524292 TLO524291:TLO524292 TVK524291:TVK524292 UFG524291:UFG524292 UPC524291:UPC524292 UYY524291:UYY524292 VIU524291:VIU524292 VSQ524291:VSQ524292 WCM524291:WCM524292 WMI524291:WMI524292 WWE524291:WWE524292 AD589827:AD589828 JS589827:JS589828 TO589827:TO589828 ADK589827:ADK589828 ANG589827:ANG589828 AXC589827:AXC589828 BGY589827:BGY589828 BQU589827:BQU589828 CAQ589827:CAQ589828 CKM589827:CKM589828 CUI589827:CUI589828 DEE589827:DEE589828 DOA589827:DOA589828 DXW589827:DXW589828 EHS589827:EHS589828 ERO589827:ERO589828 FBK589827:FBK589828 FLG589827:FLG589828 FVC589827:FVC589828 GEY589827:GEY589828 GOU589827:GOU589828 GYQ589827:GYQ589828 HIM589827:HIM589828 HSI589827:HSI589828 ICE589827:ICE589828 IMA589827:IMA589828 IVW589827:IVW589828 JFS589827:JFS589828 JPO589827:JPO589828 JZK589827:JZK589828 KJG589827:KJG589828 KTC589827:KTC589828 LCY589827:LCY589828 LMU589827:LMU589828 LWQ589827:LWQ589828 MGM589827:MGM589828 MQI589827:MQI589828 NAE589827:NAE589828 NKA589827:NKA589828 NTW589827:NTW589828 ODS589827:ODS589828 ONO589827:ONO589828 OXK589827:OXK589828 PHG589827:PHG589828 PRC589827:PRC589828 QAY589827:QAY589828 QKU589827:QKU589828 QUQ589827:QUQ589828 REM589827:REM589828 ROI589827:ROI589828 RYE589827:RYE589828 SIA589827:SIA589828 SRW589827:SRW589828 TBS589827:TBS589828 TLO589827:TLO589828 TVK589827:TVK589828 UFG589827:UFG589828 UPC589827:UPC589828 UYY589827:UYY589828 VIU589827:VIU589828 VSQ589827:VSQ589828 WCM589827:WCM589828 WMI589827:WMI589828 WWE589827:WWE589828 AD655363:AD655364 JS655363:JS655364 TO655363:TO655364 ADK655363:ADK655364 ANG655363:ANG655364 AXC655363:AXC655364 BGY655363:BGY655364 BQU655363:BQU655364 CAQ655363:CAQ655364 CKM655363:CKM655364 CUI655363:CUI655364 DEE655363:DEE655364 DOA655363:DOA655364 DXW655363:DXW655364 EHS655363:EHS655364 ERO655363:ERO655364 FBK655363:FBK655364 FLG655363:FLG655364 FVC655363:FVC655364 GEY655363:GEY655364 GOU655363:GOU655364 GYQ655363:GYQ655364 HIM655363:HIM655364 HSI655363:HSI655364 ICE655363:ICE655364 IMA655363:IMA655364 IVW655363:IVW655364 JFS655363:JFS655364 JPO655363:JPO655364 JZK655363:JZK655364 KJG655363:KJG655364 KTC655363:KTC655364 LCY655363:LCY655364 LMU655363:LMU655364 LWQ655363:LWQ655364 MGM655363:MGM655364 MQI655363:MQI655364 NAE655363:NAE655364 NKA655363:NKA655364 NTW655363:NTW655364 ODS655363:ODS655364 ONO655363:ONO655364 OXK655363:OXK655364 PHG655363:PHG655364 PRC655363:PRC655364 QAY655363:QAY655364 QKU655363:QKU655364 QUQ655363:QUQ655364 REM655363:REM655364 ROI655363:ROI655364 RYE655363:RYE655364 SIA655363:SIA655364 SRW655363:SRW655364 TBS655363:TBS655364 TLO655363:TLO655364 TVK655363:TVK655364 UFG655363:UFG655364 UPC655363:UPC655364 UYY655363:UYY655364 VIU655363:VIU655364 VSQ655363:VSQ655364 WCM655363:WCM655364 WMI655363:WMI655364 WWE655363:WWE655364 AD720899:AD720900 JS720899:JS720900 TO720899:TO720900 ADK720899:ADK720900 ANG720899:ANG720900 AXC720899:AXC720900 BGY720899:BGY720900 BQU720899:BQU720900 CAQ720899:CAQ720900 CKM720899:CKM720900 CUI720899:CUI720900 DEE720899:DEE720900 DOA720899:DOA720900 DXW720899:DXW720900 EHS720899:EHS720900 ERO720899:ERO720900 FBK720899:FBK720900 FLG720899:FLG720900 FVC720899:FVC720900 GEY720899:GEY720900 GOU720899:GOU720900 GYQ720899:GYQ720900 HIM720899:HIM720900 HSI720899:HSI720900 ICE720899:ICE720900 IMA720899:IMA720900 IVW720899:IVW720900 JFS720899:JFS720900 JPO720899:JPO720900 JZK720899:JZK720900 KJG720899:KJG720900 KTC720899:KTC720900 LCY720899:LCY720900 LMU720899:LMU720900 LWQ720899:LWQ720900 MGM720899:MGM720900 MQI720899:MQI720900 NAE720899:NAE720900 NKA720899:NKA720900 NTW720899:NTW720900 ODS720899:ODS720900 ONO720899:ONO720900 OXK720899:OXK720900 PHG720899:PHG720900 PRC720899:PRC720900 QAY720899:QAY720900 QKU720899:QKU720900 QUQ720899:QUQ720900 REM720899:REM720900 ROI720899:ROI720900 RYE720899:RYE720900 SIA720899:SIA720900 SRW720899:SRW720900 TBS720899:TBS720900 TLO720899:TLO720900 TVK720899:TVK720900 UFG720899:UFG720900 UPC720899:UPC720900 UYY720899:UYY720900 VIU720899:VIU720900 VSQ720899:VSQ720900 WCM720899:WCM720900 WMI720899:WMI720900 WWE720899:WWE720900 AD786435:AD786436 JS786435:JS786436 TO786435:TO786436 ADK786435:ADK786436 ANG786435:ANG786436 AXC786435:AXC786436 BGY786435:BGY786436 BQU786435:BQU786436 CAQ786435:CAQ786436 CKM786435:CKM786436 CUI786435:CUI786436 DEE786435:DEE786436 DOA786435:DOA786436 DXW786435:DXW786436 EHS786435:EHS786436 ERO786435:ERO786436 FBK786435:FBK786436 FLG786435:FLG786436 FVC786435:FVC786436 GEY786435:GEY786436 GOU786435:GOU786436 GYQ786435:GYQ786436 HIM786435:HIM786436 HSI786435:HSI786436 ICE786435:ICE786436 IMA786435:IMA786436 IVW786435:IVW786436 JFS786435:JFS786436 JPO786435:JPO786436 JZK786435:JZK786436 KJG786435:KJG786436 KTC786435:KTC786436 LCY786435:LCY786436 LMU786435:LMU786436 LWQ786435:LWQ786436 MGM786435:MGM786436 MQI786435:MQI786436 NAE786435:NAE786436 NKA786435:NKA786436 NTW786435:NTW786436 ODS786435:ODS786436 ONO786435:ONO786436 OXK786435:OXK786436 PHG786435:PHG786436 PRC786435:PRC786436 QAY786435:QAY786436 QKU786435:QKU786436 QUQ786435:QUQ786436 REM786435:REM786436 ROI786435:ROI786436 RYE786435:RYE786436 SIA786435:SIA786436 SRW786435:SRW786436 TBS786435:TBS786436 TLO786435:TLO786436 TVK786435:TVK786436 UFG786435:UFG786436 UPC786435:UPC786436 UYY786435:UYY786436 VIU786435:VIU786436 VSQ786435:VSQ786436 WCM786435:WCM786436 WMI786435:WMI786436 WWE786435:WWE786436 AD851971:AD851972 JS851971:JS851972 TO851971:TO851972 ADK851971:ADK851972 ANG851971:ANG851972 AXC851971:AXC851972 BGY851971:BGY851972 BQU851971:BQU851972 CAQ851971:CAQ851972 CKM851971:CKM851972 CUI851971:CUI851972 DEE851971:DEE851972 DOA851971:DOA851972 DXW851971:DXW851972 EHS851971:EHS851972 ERO851971:ERO851972 FBK851971:FBK851972 FLG851971:FLG851972 FVC851971:FVC851972 GEY851971:GEY851972 GOU851971:GOU851972 GYQ851971:GYQ851972 HIM851971:HIM851972 HSI851971:HSI851972 ICE851971:ICE851972 IMA851971:IMA851972 IVW851971:IVW851972 JFS851971:JFS851972 JPO851971:JPO851972 JZK851971:JZK851972 KJG851971:KJG851972 KTC851971:KTC851972 LCY851971:LCY851972 LMU851971:LMU851972 LWQ851971:LWQ851972 MGM851971:MGM851972 MQI851971:MQI851972 NAE851971:NAE851972 NKA851971:NKA851972 NTW851971:NTW851972 ODS851971:ODS851972 ONO851971:ONO851972 OXK851971:OXK851972 PHG851971:PHG851972 PRC851971:PRC851972 QAY851971:QAY851972 QKU851971:QKU851972 QUQ851971:QUQ851972 REM851971:REM851972 ROI851971:ROI851972 RYE851971:RYE851972 SIA851971:SIA851972 SRW851971:SRW851972 TBS851971:TBS851972 TLO851971:TLO851972 TVK851971:TVK851972 UFG851971:UFG851972 UPC851971:UPC851972 UYY851971:UYY851972 VIU851971:VIU851972 VSQ851971:VSQ851972 WCM851971:WCM851972 WMI851971:WMI851972 WWE851971:WWE851972 AD917507:AD917508 JS917507:JS917508 TO917507:TO917508 ADK917507:ADK917508 ANG917507:ANG917508 AXC917507:AXC917508 BGY917507:BGY917508 BQU917507:BQU917508 CAQ917507:CAQ917508 CKM917507:CKM917508 CUI917507:CUI917508 DEE917507:DEE917508 DOA917507:DOA917508 DXW917507:DXW917508 EHS917507:EHS917508 ERO917507:ERO917508 FBK917507:FBK917508 FLG917507:FLG917508 FVC917507:FVC917508 GEY917507:GEY917508 GOU917507:GOU917508 GYQ917507:GYQ917508 HIM917507:HIM917508 HSI917507:HSI917508 ICE917507:ICE917508 IMA917507:IMA917508 IVW917507:IVW917508 JFS917507:JFS917508 JPO917507:JPO917508 JZK917507:JZK917508 KJG917507:KJG917508 KTC917507:KTC917508 LCY917507:LCY917508 LMU917507:LMU917508 LWQ917507:LWQ917508 MGM917507:MGM917508 MQI917507:MQI917508 NAE917507:NAE917508 NKA917507:NKA917508 NTW917507:NTW917508 ODS917507:ODS917508 ONO917507:ONO917508 OXK917507:OXK917508 PHG917507:PHG917508 PRC917507:PRC917508 QAY917507:QAY917508 QKU917507:QKU917508 QUQ917507:QUQ917508 REM917507:REM917508 ROI917507:ROI917508 RYE917507:RYE917508 SIA917507:SIA917508 SRW917507:SRW917508 TBS917507:TBS917508 TLO917507:TLO917508 TVK917507:TVK917508 UFG917507:UFG917508 UPC917507:UPC917508 UYY917507:UYY917508 VIU917507:VIU917508 VSQ917507:VSQ917508 WCM917507:WCM917508 WMI917507:WMI917508 WWE917507:WWE917508 AD983043:AD983044 JS983043:JS983044 TO983043:TO983044 ADK983043:ADK983044 ANG983043:ANG983044 AXC983043:AXC983044 BGY983043:BGY983044 BQU983043:BQU983044 CAQ983043:CAQ983044 CKM983043:CKM983044 CUI983043:CUI983044 DEE983043:DEE983044 DOA983043:DOA983044 DXW983043:DXW983044 EHS983043:EHS983044 ERO983043:ERO983044 FBK983043:FBK983044 FLG983043:FLG983044 FVC983043:FVC983044 GEY983043:GEY983044 GOU983043:GOU983044 GYQ983043:GYQ983044 HIM983043:HIM983044 HSI983043:HSI983044 ICE983043:ICE983044 IMA983043:IMA983044 IVW983043:IVW983044 JFS983043:JFS983044 JPO983043:JPO983044 JZK983043:JZK983044 KJG983043:KJG983044 KTC983043:KTC983044 LCY983043:LCY983044 LMU983043:LMU983044 LWQ983043:LWQ983044 MGM983043:MGM983044 MQI983043:MQI983044 NAE983043:NAE983044 NKA983043:NKA983044 NTW983043:NTW983044 ODS983043:ODS983044 ONO983043:ONO983044 OXK983043:OXK983044 PHG983043:PHG983044 PRC983043:PRC983044 QAY983043:QAY983044 QKU983043:QKU983044 QUQ983043:QUQ983044 REM983043:REM983044 ROI983043:ROI983044 RYE983043:RYE983044 SIA983043:SIA983044 SRW983043:SRW983044 TBS983043:TBS983044 TLO983043:TLO983044 TVK983043:TVK983044 UFG983043:UFG983044 UPC983043:UPC983044 UYY983043:UYY983044 VIU983043:VIU983044 VSQ983043:VSQ983044 WCM983043:WCM983044 WMI983043:WMI983044 WWE983043:WWE983044 JV65539:JV65540 TR65539:TR65540 ADN65539:ADN65540 ANJ65539:ANJ65540 AXF65539:AXF65540 BHB65539:BHB65540 BQX65539:BQX65540 CAT65539:CAT65540 CKP65539:CKP65540 CUL65539:CUL65540 DEH65539:DEH65540 DOD65539:DOD65540 DXZ65539:DXZ65540 EHV65539:EHV65540 ERR65539:ERR65540 FBN65539:FBN65540 FLJ65539:FLJ65540 FVF65539:FVF65540 GFB65539:GFB65540 GOX65539:GOX65540 GYT65539:GYT65540 HIP65539:HIP65540 HSL65539:HSL65540 ICH65539:ICH65540 IMD65539:IMD65540 IVZ65539:IVZ65540 JFV65539:JFV65540 JPR65539:JPR65540 JZN65539:JZN65540 KJJ65539:KJJ65540 KTF65539:KTF65540 LDB65539:LDB65540 LMX65539:LMX65540 LWT65539:LWT65540 MGP65539:MGP65540 MQL65539:MQL65540 NAH65539:NAH65540 NKD65539:NKD65540 NTZ65539:NTZ65540 ODV65539:ODV65540 ONR65539:ONR65540 OXN65539:OXN65540 PHJ65539:PHJ65540 PRF65539:PRF65540 QBB65539:QBB65540 QKX65539:QKX65540 QUT65539:QUT65540 REP65539:REP65540 ROL65539:ROL65540 RYH65539:RYH65540 SID65539:SID65540 SRZ65539:SRZ65540 TBV65539:TBV65540 TLR65539:TLR65540 TVN65539:TVN65540 UFJ65539:UFJ65540 UPF65539:UPF65540 UZB65539:UZB65540 VIX65539:VIX65540 VST65539:VST65540 WCP65539:WCP65540 WML65539:WML65540 WWH65539:WWH65540 JV131075:JV131076 TR131075:TR131076 ADN131075:ADN131076 ANJ131075:ANJ131076 AXF131075:AXF131076 BHB131075:BHB131076 BQX131075:BQX131076 CAT131075:CAT131076 CKP131075:CKP131076 CUL131075:CUL131076 DEH131075:DEH131076 DOD131075:DOD131076 DXZ131075:DXZ131076 EHV131075:EHV131076 ERR131075:ERR131076 FBN131075:FBN131076 FLJ131075:FLJ131076 FVF131075:FVF131076 GFB131075:GFB131076 GOX131075:GOX131076 GYT131075:GYT131076 HIP131075:HIP131076 HSL131075:HSL131076 ICH131075:ICH131076 IMD131075:IMD131076 IVZ131075:IVZ131076 JFV131075:JFV131076 JPR131075:JPR131076 JZN131075:JZN131076 KJJ131075:KJJ131076 KTF131075:KTF131076 LDB131075:LDB131076 LMX131075:LMX131076 LWT131075:LWT131076 MGP131075:MGP131076 MQL131075:MQL131076 NAH131075:NAH131076 NKD131075:NKD131076 NTZ131075:NTZ131076 ODV131075:ODV131076 ONR131075:ONR131076 OXN131075:OXN131076 PHJ131075:PHJ131076 PRF131075:PRF131076 QBB131075:QBB131076 QKX131075:QKX131076 QUT131075:QUT131076 REP131075:REP131076 ROL131075:ROL131076 RYH131075:RYH131076 SID131075:SID131076 SRZ131075:SRZ131076 TBV131075:TBV131076 TLR131075:TLR131076 TVN131075:TVN131076 UFJ131075:UFJ131076 UPF131075:UPF131076 UZB131075:UZB131076 VIX131075:VIX131076 VST131075:VST131076 WCP131075:WCP131076 WML131075:WML131076 WWH131075:WWH131076 JV196611:JV196612 TR196611:TR196612 ADN196611:ADN196612 ANJ196611:ANJ196612 AXF196611:AXF196612 BHB196611:BHB196612 BQX196611:BQX196612 CAT196611:CAT196612 CKP196611:CKP196612 CUL196611:CUL196612 DEH196611:DEH196612 DOD196611:DOD196612 DXZ196611:DXZ196612 EHV196611:EHV196612 ERR196611:ERR196612 FBN196611:FBN196612 FLJ196611:FLJ196612 FVF196611:FVF196612 GFB196611:GFB196612 GOX196611:GOX196612 GYT196611:GYT196612 HIP196611:HIP196612 HSL196611:HSL196612 ICH196611:ICH196612 IMD196611:IMD196612 IVZ196611:IVZ196612 JFV196611:JFV196612 JPR196611:JPR196612 JZN196611:JZN196612 KJJ196611:KJJ196612 KTF196611:KTF196612 LDB196611:LDB196612 LMX196611:LMX196612 LWT196611:LWT196612 MGP196611:MGP196612 MQL196611:MQL196612 NAH196611:NAH196612 NKD196611:NKD196612 NTZ196611:NTZ196612 ODV196611:ODV196612 ONR196611:ONR196612 OXN196611:OXN196612 PHJ196611:PHJ196612 PRF196611:PRF196612 QBB196611:QBB196612 QKX196611:QKX196612 QUT196611:QUT196612 REP196611:REP196612 ROL196611:ROL196612 RYH196611:RYH196612 SID196611:SID196612 SRZ196611:SRZ196612 TBV196611:TBV196612 TLR196611:TLR196612 TVN196611:TVN196612 UFJ196611:UFJ196612 UPF196611:UPF196612 UZB196611:UZB196612 VIX196611:VIX196612 VST196611:VST196612 WCP196611:WCP196612 WML196611:WML196612 WWH196611:WWH196612 JV262147:JV262148 TR262147:TR262148 ADN262147:ADN262148 ANJ262147:ANJ262148 AXF262147:AXF262148 BHB262147:BHB262148 BQX262147:BQX262148 CAT262147:CAT262148 CKP262147:CKP262148 CUL262147:CUL262148 DEH262147:DEH262148 DOD262147:DOD262148 DXZ262147:DXZ262148 EHV262147:EHV262148 ERR262147:ERR262148 FBN262147:FBN262148 FLJ262147:FLJ262148 FVF262147:FVF262148 GFB262147:GFB262148 GOX262147:GOX262148 GYT262147:GYT262148 HIP262147:HIP262148 HSL262147:HSL262148 ICH262147:ICH262148 IMD262147:IMD262148 IVZ262147:IVZ262148 JFV262147:JFV262148 JPR262147:JPR262148 JZN262147:JZN262148 KJJ262147:KJJ262148 KTF262147:KTF262148 LDB262147:LDB262148 LMX262147:LMX262148 LWT262147:LWT262148 MGP262147:MGP262148 MQL262147:MQL262148 NAH262147:NAH262148 NKD262147:NKD262148 NTZ262147:NTZ262148 ODV262147:ODV262148 ONR262147:ONR262148 OXN262147:OXN262148 PHJ262147:PHJ262148 PRF262147:PRF262148 QBB262147:QBB262148 QKX262147:QKX262148 QUT262147:QUT262148 REP262147:REP262148 ROL262147:ROL262148 RYH262147:RYH262148 SID262147:SID262148 SRZ262147:SRZ262148 TBV262147:TBV262148 TLR262147:TLR262148 TVN262147:TVN262148 UFJ262147:UFJ262148 UPF262147:UPF262148 UZB262147:UZB262148 VIX262147:VIX262148 VST262147:VST262148 WCP262147:WCP262148 WML262147:WML262148 WWH262147:WWH262148 JV327683:JV327684 TR327683:TR327684 ADN327683:ADN327684 ANJ327683:ANJ327684 AXF327683:AXF327684 BHB327683:BHB327684 BQX327683:BQX327684 CAT327683:CAT327684 CKP327683:CKP327684 CUL327683:CUL327684 DEH327683:DEH327684 DOD327683:DOD327684 DXZ327683:DXZ327684 EHV327683:EHV327684 ERR327683:ERR327684 FBN327683:FBN327684 FLJ327683:FLJ327684 FVF327683:FVF327684 GFB327683:GFB327684 GOX327683:GOX327684 GYT327683:GYT327684 HIP327683:HIP327684 HSL327683:HSL327684 ICH327683:ICH327684 IMD327683:IMD327684 IVZ327683:IVZ327684 JFV327683:JFV327684 JPR327683:JPR327684 JZN327683:JZN327684 KJJ327683:KJJ327684 KTF327683:KTF327684 LDB327683:LDB327684 LMX327683:LMX327684 LWT327683:LWT327684 MGP327683:MGP327684 MQL327683:MQL327684 NAH327683:NAH327684 NKD327683:NKD327684 NTZ327683:NTZ327684 ODV327683:ODV327684 ONR327683:ONR327684 OXN327683:OXN327684 PHJ327683:PHJ327684 PRF327683:PRF327684 QBB327683:QBB327684 QKX327683:QKX327684 QUT327683:QUT327684 REP327683:REP327684 ROL327683:ROL327684 RYH327683:RYH327684 SID327683:SID327684 SRZ327683:SRZ327684 TBV327683:TBV327684 TLR327683:TLR327684 TVN327683:TVN327684 UFJ327683:UFJ327684 UPF327683:UPF327684 UZB327683:UZB327684 VIX327683:VIX327684 VST327683:VST327684 WCP327683:WCP327684 WML327683:WML327684 WWH327683:WWH327684 JV393219:JV393220 TR393219:TR393220 ADN393219:ADN393220 ANJ393219:ANJ393220 AXF393219:AXF393220 BHB393219:BHB393220 BQX393219:BQX393220 CAT393219:CAT393220 CKP393219:CKP393220 CUL393219:CUL393220 DEH393219:DEH393220 DOD393219:DOD393220 DXZ393219:DXZ393220 EHV393219:EHV393220 ERR393219:ERR393220 FBN393219:FBN393220 FLJ393219:FLJ393220 FVF393219:FVF393220 GFB393219:GFB393220 GOX393219:GOX393220 GYT393219:GYT393220 HIP393219:HIP393220 HSL393219:HSL393220 ICH393219:ICH393220 IMD393219:IMD393220 IVZ393219:IVZ393220 JFV393219:JFV393220 JPR393219:JPR393220 JZN393219:JZN393220 KJJ393219:KJJ393220 KTF393219:KTF393220 LDB393219:LDB393220 LMX393219:LMX393220 LWT393219:LWT393220 MGP393219:MGP393220 MQL393219:MQL393220 NAH393219:NAH393220 NKD393219:NKD393220 NTZ393219:NTZ393220 ODV393219:ODV393220 ONR393219:ONR393220 OXN393219:OXN393220 PHJ393219:PHJ393220 PRF393219:PRF393220 QBB393219:QBB393220 QKX393219:QKX393220 QUT393219:QUT393220 REP393219:REP393220 ROL393219:ROL393220 RYH393219:RYH393220 SID393219:SID393220 SRZ393219:SRZ393220 TBV393219:TBV393220 TLR393219:TLR393220 TVN393219:TVN393220 UFJ393219:UFJ393220 UPF393219:UPF393220 UZB393219:UZB393220 VIX393219:VIX393220 VST393219:VST393220 WCP393219:WCP393220 WML393219:WML393220 WWH393219:WWH393220 JV458755:JV458756 TR458755:TR458756 ADN458755:ADN458756 ANJ458755:ANJ458756 AXF458755:AXF458756 BHB458755:BHB458756 BQX458755:BQX458756 CAT458755:CAT458756 CKP458755:CKP458756 CUL458755:CUL458756 DEH458755:DEH458756 DOD458755:DOD458756 DXZ458755:DXZ458756 EHV458755:EHV458756 ERR458755:ERR458756 FBN458755:FBN458756 FLJ458755:FLJ458756 FVF458755:FVF458756 GFB458755:GFB458756 GOX458755:GOX458756 GYT458755:GYT458756 HIP458755:HIP458756 HSL458755:HSL458756 ICH458755:ICH458756 IMD458755:IMD458756 IVZ458755:IVZ458756 JFV458755:JFV458756 JPR458755:JPR458756 JZN458755:JZN458756 KJJ458755:KJJ458756 KTF458755:KTF458756 LDB458755:LDB458756 LMX458755:LMX458756 LWT458755:LWT458756 MGP458755:MGP458756 MQL458755:MQL458756 NAH458755:NAH458756 NKD458755:NKD458756 NTZ458755:NTZ458756 ODV458755:ODV458756 ONR458755:ONR458756 OXN458755:OXN458756 PHJ458755:PHJ458756 PRF458755:PRF458756 QBB458755:QBB458756 QKX458755:QKX458756 QUT458755:QUT458756 REP458755:REP458756 ROL458755:ROL458756 RYH458755:RYH458756 SID458755:SID458756 SRZ458755:SRZ458756 TBV458755:TBV458756 TLR458755:TLR458756 TVN458755:TVN458756 UFJ458755:UFJ458756 UPF458755:UPF458756 UZB458755:UZB458756 VIX458755:VIX458756 VST458755:VST458756 WCP458755:WCP458756 WML458755:WML458756 WWH458755:WWH458756 JV524291:JV524292 TR524291:TR524292 ADN524291:ADN524292 ANJ524291:ANJ524292 AXF524291:AXF524292 BHB524291:BHB524292 BQX524291:BQX524292 CAT524291:CAT524292 CKP524291:CKP524292 CUL524291:CUL524292 DEH524291:DEH524292 DOD524291:DOD524292 DXZ524291:DXZ524292 EHV524291:EHV524292 ERR524291:ERR524292 FBN524291:FBN524292 FLJ524291:FLJ524292 FVF524291:FVF524292 GFB524291:GFB524292 GOX524291:GOX524292 GYT524291:GYT524292 HIP524291:HIP524292 HSL524291:HSL524292 ICH524291:ICH524292 IMD524291:IMD524292 IVZ524291:IVZ524292 JFV524291:JFV524292 JPR524291:JPR524292 JZN524291:JZN524292 KJJ524291:KJJ524292 KTF524291:KTF524292 LDB524291:LDB524292 LMX524291:LMX524292 LWT524291:LWT524292 MGP524291:MGP524292 MQL524291:MQL524292 NAH524291:NAH524292 NKD524291:NKD524292 NTZ524291:NTZ524292 ODV524291:ODV524292 ONR524291:ONR524292 OXN524291:OXN524292 PHJ524291:PHJ524292 PRF524291:PRF524292 QBB524291:QBB524292 QKX524291:QKX524292 QUT524291:QUT524292 REP524291:REP524292 ROL524291:ROL524292 RYH524291:RYH524292 SID524291:SID524292 SRZ524291:SRZ524292 TBV524291:TBV524292 TLR524291:TLR524292 TVN524291:TVN524292 UFJ524291:UFJ524292 UPF524291:UPF524292 UZB524291:UZB524292 VIX524291:VIX524292 VST524291:VST524292 WCP524291:WCP524292 WML524291:WML524292 WWH524291:WWH524292 JV589827:JV589828 TR589827:TR589828 ADN589827:ADN589828 ANJ589827:ANJ589828 AXF589827:AXF589828 BHB589827:BHB589828 BQX589827:BQX589828 CAT589827:CAT589828 CKP589827:CKP589828 CUL589827:CUL589828 DEH589827:DEH589828 DOD589827:DOD589828 DXZ589827:DXZ589828 EHV589827:EHV589828 ERR589827:ERR589828 FBN589827:FBN589828 FLJ589827:FLJ589828 FVF589827:FVF589828 GFB589827:GFB589828 GOX589827:GOX589828 GYT589827:GYT589828 HIP589827:HIP589828 HSL589827:HSL589828 ICH589827:ICH589828 IMD589827:IMD589828 IVZ589827:IVZ589828 JFV589827:JFV589828 JPR589827:JPR589828 JZN589827:JZN589828 KJJ589827:KJJ589828 KTF589827:KTF589828 LDB589827:LDB589828 LMX589827:LMX589828 LWT589827:LWT589828 MGP589827:MGP589828 MQL589827:MQL589828 NAH589827:NAH589828 NKD589827:NKD589828 NTZ589827:NTZ589828 ODV589827:ODV589828 ONR589827:ONR589828 OXN589827:OXN589828 PHJ589827:PHJ589828 PRF589827:PRF589828 QBB589827:QBB589828 QKX589827:QKX589828 QUT589827:QUT589828 REP589827:REP589828 ROL589827:ROL589828 RYH589827:RYH589828 SID589827:SID589828 SRZ589827:SRZ589828 TBV589827:TBV589828 TLR589827:TLR589828 TVN589827:TVN589828 UFJ589827:UFJ589828 UPF589827:UPF589828 UZB589827:UZB589828 VIX589827:VIX589828 VST589827:VST589828 WCP589827:WCP589828 WML589827:WML589828 WWH589827:WWH589828 JV655363:JV655364 TR655363:TR655364 ADN655363:ADN655364 ANJ655363:ANJ655364 AXF655363:AXF655364 BHB655363:BHB655364 BQX655363:BQX655364 CAT655363:CAT655364 CKP655363:CKP655364 CUL655363:CUL655364 DEH655363:DEH655364 DOD655363:DOD655364 DXZ655363:DXZ655364 EHV655363:EHV655364 ERR655363:ERR655364 FBN655363:FBN655364 FLJ655363:FLJ655364 FVF655363:FVF655364 GFB655363:GFB655364 GOX655363:GOX655364 GYT655363:GYT655364 HIP655363:HIP655364 HSL655363:HSL655364 ICH655363:ICH655364 IMD655363:IMD655364 IVZ655363:IVZ655364 JFV655363:JFV655364 JPR655363:JPR655364 JZN655363:JZN655364 KJJ655363:KJJ655364 KTF655363:KTF655364 LDB655363:LDB655364 LMX655363:LMX655364 LWT655363:LWT655364 MGP655363:MGP655364 MQL655363:MQL655364 NAH655363:NAH655364 NKD655363:NKD655364 NTZ655363:NTZ655364 ODV655363:ODV655364 ONR655363:ONR655364 OXN655363:OXN655364 PHJ655363:PHJ655364 PRF655363:PRF655364 QBB655363:QBB655364 QKX655363:QKX655364 QUT655363:QUT655364 REP655363:REP655364 ROL655363:ROL655364 RYH655363:RYH655364 SID655363:SID655364 SRZ655363:SRZ655364 TBV655363:TBV655364 TLR655363:TLR655364 TVN655363:TVN655364 UFJ655363:UFJ655364 UPF655363:UPF655364 UZB655363:UZB655364 VIX655363:VIX655364 VST655363:VST655364 WCP655363:WCP655364 WML655363:WML655364 WWH655363:WWH655364 JV720899:JV720900 TR720899:TR720900 ADN720899:ADN720900 ANJ720899:ANJ720900 AXF720899:AXF720900 BHB720899:BHB720900 BQX720899:BQX720900 CAT720899:CAT720900 CKP720899:CKP720900 CUL720899:CUL720900 DEH720899:DEH720900 DOD720899:DOD720900 DXZ720899:DXZ720900 EHV720899:EHV720900 ERR720899:ERR720900 FBN720899:FBN720900 FLJ720899:FLJ720900 FVF720899:FVF720900 GFB720899:GFB720900 GOX720899:GOX720900 GYT720899:GYT720900 HIP720899:HIP720900 HSL720899:HSL720900 ICH720899:ICH720900 IMD720899:IMD720900 IVZ720899:IVZ720900 JFV720899:JFV720900 JPR720899:JPR720900 JZN720899:JZN720900 KJJ720899:KJJ720900 KTF720899:KTF720900 LDB720899:LDB720900 LMX720899:LMX720900 LWT720899:LWT720900 MGP720899:MGP720900 MQL720899:MQL720900 NAH720899:NAH720900 NKD720899:NKD720900 NTZ720899:NTZ720900 ODV720899:ODV720900 ONR720899:ONR720900 OXN720899:OXN720900 PHJ720899:PHJ720900 PRF720899:PRF720900 QBB720899:QBB720900 QKX720899:QKX720900 QUT720899:QUT720900 REP720899:REP720900 ROL720899:ROL720900 RYH720899:RYH720900 SID720899:SID720900 SRZ720899:SRZ720900 TBV720899:TBV720900 TLR720899:TLR720900 TVN720899:TVN720900 UFJ720899:UFJ720900 UPF720899:UPF720900 UZB720899:UZB720900 VIX720899:VIX720900 VST720899:VST720900 WCP720899:WCP720900 WML720899:WML720900 WWH720899:WWH720900 JV786435:JV786436 TR786435:TR786436 ADN786435:ADN786436 ANJ786435:ANJ786436 AXF786435:AXF786436 BHB786435:BHB786436 BQX786435:BQX786436 CAT786435:CAT786436 CKP786435:CKP786436 CUL786435:CUL786436 DEH786435:DEH786436 DOD786435:DOD786436 DXZ786435:DXZ786436 EHV786435:EHV786436 ERR786435:ERR786436 FBN786435:FBN786436 FLJ786435:FLJ786436 FVF786435:FVF786436 GFB786435:GFB786436 GOX786435:GOX786436 GYT786435:GYT786436 HIP786435:HIP786436 HSL786435:HSL786436 ICH786435:ICH786436 IMD786435:IMD786436 IVZ786435:IVZ786436 JFV786435:JFV786436 JPR786435:JPR786436 JZN786435:JZN786436 KJJ786435:KJJ786436 KTF786435:KTF786436 LDB786435:LDB786436 LMX786435:LMX786436 LWT786435:LWT786436 MGP786435:MGP786436 MQL786435:MQL786436 NAH786435:NAH786436 NKD786435:NKD786436 NTZ786435:NTZ786436 ODV786435:ODV786436 ONR786435:ONR786436 OXN786435:OXN786436 PHJ786435:PHJ786436 PRF786435:PRF786436 QBB786435:QBB786436 QKX786435:QKX786436 QUT786435:QUT786436 REP786435:REP786436 ROL786435:ROL786436 RYH786435:RYH786436 SID786435:SID786436 SRZ786435:SRZ786436 TBV786435:TBV786436 TLR786435:TLR786436 TVN786435:TVN786436 UFJ786435:UFJ786436 UPF786435:UPF786436 UZB786435:UZB786436 VIX786435:VIX786436 VST786435:VST786436 WCP786435:WCP786436 WML786435:WML786436 WWH786435:WWH786436 JV851971:JV851972 TR851971:TR851972 ADN851971:ADN851972 ANJ851971:ANJ851972 AXF851971:AXF851972 BHB851971:BHB851972 BQX851971:BQX851972 CAT851971:CAT851972 CKP851971:CKP851972 CUL851971:CUL851972 DEH851971:DEH851972 DOD851971:DOD851972 DXZ851971:DXZ851972 EHV851971:EHV851972 ERR851971:ERR851972 FBN851971:FBN851972 FLJ851971:FLJ851972 FVF851971:FVF851972 GFB851971:GFB851972 GOX851971:GOX851972 GYT851971:GYT851972 HIP851971:HIP851972 HSL851971:HSL851972 ICH851971:ICH851972 IMD851971:IMD851972 IVZ851971:IVZ851972 JFV851971:JFV851972 JPR851971:JPR851972 JZN851971:JZN851972 KJJ851971:KJJ851972 KTF851971:KTF851972 LDB851971:LDB851972 LMX851971:LMX851972 LWT851971:LWT851972 MGP851971:MGP851972 MQL851971:MQL851972 NAH851971:NAH851972 NKD851971:NKD851972 NTZ851971:NTZ851972 ODV851971:ODV851972 ONR851971:ONR851972 OXN851971:OXN851972 PHJ851971:PHJ851972 PRF851971:PRF851972 QBB851971:QBB851972 QKX851971:QKX851972 QUT851971:QUT851972 REP851971:REP851972 ROL851971:ROL851972 RYH851971:RYH851972 SID851971:SID851972 SRZ851971:SRZ851972 TBV851971:TBV851972 TLR851971:TLR851972 TVN851971:TVN851972 UFJ851971:UFJ851972 UPF851971:UPF851972 UZB851971:UZB851972 VIX851971:VIX851972 VST851971:VST851972 WCP851971:WCP851972 WML851971:WML851972 WWH851971:WWH851972 JV917507:JV917508 TR917507:TR917508 ADN917507:ADN917508 ANJ917507:ANJ917508 AXF917507:AXF917508 BHB917507:BHB917508 BQX917507:BQX917508 CAT917507:CAT917508 CKP917507:CKP917508 CUL917507:CUL917508 DEH917507:DEH917508 DOD917507:DOD917508 DXZ917507:DXZ917508 EHV917507:EHV917508 ERR917507:ERR917508 FBN917507:FBN917508 FLJ917507:FLJ917508 FVF917507:FVF917508 GFB917507:GFB917508 GOX917507:GOX917508 GYT917507:GYT917508 HIP917507:HIP917508 HSL917507:HSL917508 ICH917507:ICH917508 IMD917507:IMD917508 IVZ917507:IVZ917508 JFV917507:JFV917508 JPR917507:JPR917508 JZN917507:JZN917508 KJJ917507:KJJ917508 KTF917507:KTF917508 LDB917507:LDB917508 LMX917507:LMX917508 LWT917507:LWT917508 MGP917507:MGP917508 MQL917507:MQL917508 NAH917507:NAH917508 NKD917507:NKD917508 NTZ917507:NTZ917508 ODV917507:ODV917508 ONR917507:ONR917508 OXN917507:OXN917508 PHJ917507:PHJ917508 PRF917507:PRF917508 QBB917507:QBB917508 QKX917507:QKX917508 QUT917507:QUT917508 REP917507:REP917508 ROL917507:ROL917508 RYH917507:RYH917508 SID917507:SID917508 SRZ917507:SRZ917508 TBV917507:TBV917508 TLR917507:TLR917508 TVN917507:TVN917508 UFJ917507:UFJ917508 UPF917507:UPF917508 UZB917507:UZB917508 VIX917507:VIX917508 VST917507:VST917508 WCP917507:WCP917508 WML917507:WML917508 WWH917507:WWH917508 JV983043:JV983044 TR983043:TR983044 ADN983043:ADN983044 ANJ983043:ANJ983044 AXF983043:AXF983044 BHB983043:BHB983044 BQX983043:BQX983044 CAT983043:CAT983044 CKP983043:CKP983044 CUL983043:CUL983044 DEH983043:DEH983044 DOD983043:DOD983044 DXZ983043:DXZ983044 EHV983043:EHV983044 ERR983043:ERR983044 FBN983043:FBN983044 FLJ983043:FLJ983044 FVF983043:FVF983044 GFB983043:GFB983044 GOX983043:GOX983044 GYT983043:GYT983044 HIP983043:HIP983044 HSL983043:HSL983044 ICH983043:ICH983044 IMD983043:IMD983044 IVZ983043:IVZ983044 JFV983043:JFV983044 JPR983043:JPR983044 JZN983043:JZN983044 KJJ983043:KJJ983044 KTF983043:KTF983044 LDB983043:LDB983044 LMX983043:LMX983044 LWT983043:LWT983044 MGP983043:MGP983044 MQL983043:MQL983044 NAH983043:NAH983044 NKD983043:NKD983044 NTZ983043:NTZ983044 ODV983043:ODV983044 ONR983043:ONR983044 OXN983043:OXN983044 PHJ983043:PHJ983044 PRF983043:PRF983044 QBB983043:QBB983044 QKX983043:QKX983044 QUT983043:QUT983044 REP983043:REP983044 ROL983043:ROL983044 RYH983043:RYH983044 SID983043:SID983044 SRZ983043:SRZ983044 TBV983043:TBV983044 TLR983043:TLR983044 TVN983043:TVN983044 UFJ983043:UFJ983044 UPF983043:UPF983044 UZB983043:UZB983044 VIX983043:VIX983044 VST983043:VST983044 WCP983043:WCP983044 WML983043:WML983044 WWH983043:WWH983044 IL5:IL6 SH5:SH6 ACD5:ACD6 ALZ5:ALZ6 AVV5:AVV6 BFR5:BFR6 BPN5:BPN6 BZJ5:BZJ6 CJF5:CJF6 CTB5:CTB6 DCX5:DCX6 DMT5:DMT6 DWP5:DWP6 EGL5:EGL6 EQH5:EQH6 FAD5:FAD6 FJZ5:FJZ6 FTV5:FTV6 GDR5:GDR6 GNN5:GNN6 GXJ5:GXJ6 HHF5:HHF6 HRB5:HRB6 IAX5:IAX6 IKT5:IKT6 IUP5:IUP6 JEL5:JEL6 JOH5:JOH6 JYD5:JYD6 KHZ5:KHZ6 KRV5:KRV6 LBR5:LBR6 LLN5:LLN6 LVJ5:LVJ6 MFF5:MFF6 MPB5:MPB6 MYX5:MYX6 NIT5:NIT6 NSP5:NSP6 OCL5:OCL6 OMH5:OMH6 OWD5:OWD6 PFZ5:PFZ6 PPV5:PPV6 PZR5:PZR6 QJN5:QJN6 QTJ5:QTJ6 RDF5:RDF6 RNB5:RNB6 RWX5:RWX6 SGT5:SGT6 SQP5:SQP6 TAL5:TAL6 TKH5:TKH6 TUD5:TUD6 UDZ5:UDZ6 UNV5:UNV6 UXR5:UXR6 VHN5:VHN6 VRJ5:VRJ6 WBF5:WBF6 WLB5:WLB6 WUX5:WUX6 TBS5:TBS6 IO5:IO6 SK5:SK6 ACG5:ACG6 AMC5:AMC6 AVY5:AVY6 BFU5:BFU6 BPQ5:BPQ6 BZM5:BZM6 CJI5:CJI6 CTE5:CTE6 DDA5:DDA6 DMW5:DMW6 DWS5:DWS6 EGO5:EGO6 EQK5:EQK6 FAG5:FAG6 FKC5:FKC6 FTY5:FTY6 GDU5:GDU6 GNQ5:GNQ6 GXM5:GXM6 HHI5:HHI6 HRE5:HRE6 IBA5:IBA6 IKW5:IKW6 IUS5:IUS6 JEO5:JEO6 JOK5:JOK6 JYG5:JYG6 KIC5:KIC6 KRY5:KRY6 LBU5:LBU6 LLQ5:LLQ6 LVM5:LVM6 MFI5:MFI6 MPE5:MPE6 MZA5:MZA6 NIW5:NIW6 NSS5:NSS6 OCO5:OCO6 OMK5:OMK6 OWG5:OWG6 PGC5:PGC6 PPY5:PPY6 PZU5:PZU6 QJQ5:QJQ6 QTM5:QTM6 RDI5:RDI6 RNE5:RNE6 RXA5:RXA6 SGW5:SGW6 SQS5:SQS6 TAO5:TAO6 TKK5:TKK6 TUG5:TUG6 UEC5:UEC6 UNY5:UNY6 UXU5:UXU6 VHQ5:VHQ6 VRM5:VRM6 WBI5:WBI6 WLE5:WLE6 WVA5:WVA6 TLO5:TLO6 IR5:IR6 SN5:SN6 ACJ5:ACJ6 AMF5:AMF6 AWB5:AWB6 BFX5:BFX6 BPT5:BPT6 BZP5:BZP6 CJL5:CJL6 CTH5:CTH6 DDD5:DDD6 DMZ5:DMZ6 DWV5:DWV6 EGR5:EGR6 EQN5:EQN6 FAJ5:FAJ6 FKF5:FKF6 FUB5:FUB6 GDX5:GDX6 GNT5:GNT6 GXP5:GXP6 HHL5:HHL6 HRH5:HRH6 IBD5:IBD6 IKZ5:IKZ6 IUV5:IUV6 JER5:JER6 JON5:JON6 JYJ5:JYJ6 KIF5:KIF6 KSB5:KSB6 LBX5:LBX6 LLT5:LLT6 LVP5:LVP6 MFL5:MFL6 MPH5:MPH6 MZD5:MZD6 NIZ5:NIZ6 NSV5:NSV6 OCR5:OCR6 OMN5:OMN6 OWJ5:OWJ6 PGF5:PGF6 PQB5:PQB6 PZX5:PZX6 QJT5:QJT6 QTP5:QTP6 RDL5:RDL6 RNH5:RNH6 RXD5:RXD6 SGZ5:SGZ6 SQV5:SQV6 TAR5:TAR6 TKN5:TKN6 TUJ5:TUJ6 UEF5:UEF6 UOB5:UOB6 UXX5:UXX6 VHT5:VHT6 VRP5:VRP6 WBL5:WBL6 WLH5:WLH6 WVD5:WVD6 TVK5:TVK6 IU5:IU6 SQ5:SQ6 ACM5:ACM6 AMI5:AMI6 AWE5:AWE6 BGA5:BGA6 BPW5:BPW6 BZS5:BZS6 CJO5:CJO6 CTK5:CTK6 DDG5:DDG6 DNC5:DNC6 DWY5:DWY6 EGU5:EGU6 EQQ5:EQQ6 FAM5:FAM6 FKI5:FKI6 FUE5:FUE6 GEA5:GEA6 GNW5:GNW6 GXS5:GXS6 HHO5:HHO6 HRK5:HRK6 IBG5:IBG6 ILC5:ILC6 IUY5:IUY6 JEU5:JEU6 JOQ5:JOQ6 JYM5:JYM6 KII5:KII6 KSE5:KSE6 LCA5:LCA6 LLW5:LLW6 LVS5:LVS6 MFO5:MFO6 MPK5:MPK6 MZG5:MZG6 NJC5:NJC6 NSY5:NSY6 OCU5:OCU6 OMQ5:OMQ6 OWM5:OWM6 PGI5:PGI6 PQE5:PQE6 QAA5:QAA6 QJW5:QJW6 QTS5:QTS6 RDO5:RDO6 RNK5:RNK6 RXG5:RXG6 SHC5:SHC6 SQY5:SQY6 TAU5:TAU6 TKQ5:TKQ6 TUM5:TUM6 UEI5:UEI6 UOE5:UOE6 UYA5:UYA6 VHW5:VHW6 VRS5:VRS6 WBO5:WBO6 WLK5:WLK6 WVG5:WVG6 UFG5:UFG6 IX5:IX6 ST5:ST6 ACP5:ACP6 AML5:AML6 AWH5:AWH6 BGD5:BGD6 BPZ5:BPZ6 BZV5:BZV6 CJR5:CJR6 CTN5:CTN6 DDJ5:DDJ6 DNF5:DNF6 DXB5:DXB6 EGX5:EGX6 EQT5:EQT6 FAP5:FAP6 FKL5:FKL6 FUH5:FUH6 GED5:GED6 GNZ5:GNZ6 GXV5:GXV6 HHR5:HHR6 HRN5:HRN6 IBJ5:IBJ6 ILF5:ILF6 IVB5:IVB6 JEX5:JEX6 JOT5:JOT6 JYP5:JYP6 KIL5:KIL6 KSH5:KSH6 LCD5:LCD6 LLZ5:LLZ6 LVV5:LVV6 MFR5:MFR6 MPN5:MPN6 MZJ5:MZJ6 NJF5:NJF6 NTB5:NTB6 OCX5:OCX6 OMT5:OMT6 OWP5:OWP6 PGL5:PGL6 PQH5:PQH6 QAD5:QAD6 QJZ5:QJZ6 QTV5:QTV6 RDR5:RDR6 RNN5:RNN6 RXJ5:RXJ6 SHF5:SHF6 SRB5:SRB6 TAX5:TAX6 TKT5:TKT6 TUP5:TUP6 UEL5:UEL6 UOH5:UOH6 UYD5:UYD6 VHZ5:VHZ6 VRV5:VRV6 WBR5:WBR6 WLN5:WLN6 WVJ5:WVJ6 UPC5:UPC6 JA5:JA6 SW5:SW6 ACS5:ACS6 AMO5:AMO6 AWK5:AWK6 BGG5:BGG6 BQC5:BQC6 BZY5:BZY6 CJU5:CJU6 CTQ5:CTQ6 DDM5:DDM6 DNI5:DNI6 DXE5:DXE6 EHA5:EHA6 EQW5:EQW6 FAS5:FAS6 FKO5:FKO6 FUK5:FUK6 GEG5:GEG6 GOC5:GOC6 GXY5:GXY6 HHU5:HHU6 HRQ5:HRQ6 IBM5:IBM6 ILI5:ILI6 IVE5:IVE6 JFA5:JFA6 JOW5:JOW6 JYS5:JYS6 KIO5:KIO6 KSK5:KSK6 LCG5:LCG6 LMC5:LMC6 LVY5:LVY6 MFU5:MFU6 MPQ5:MPQ6 MZM5:MZM6 NJI5:NJI6 NTE5:NTE6 ODA5:ODA6 OMW5:OMW6 OWS5:OWS6 PGO5:PGO6 PQK5:PQK6 QAG5:QAG6 QKC5:QKC6 QTY5:QTY6 RDU5:RDU6 RNQ5:RNQ6 RXM5:RXM6 SHI5:SHI6 SRE5:SRE6 TBA5:TBA6 TKW5:TKW6 TUS5:TUS6 UEO5:UEO6 UOK5:UOK6 UYG5:UYG6 VIC5:VIC6 VRY5:VRY6 WBU5:WBU6 WLQ5:WLQ6 WVM5:WVM6 UYY5:UYY6 JD5:JD6 SZ5:SZ6 ACV5:ACV6 AMR5:AMR6 AWN5:AWN6 BGJ5:BGJ6 BQF5:BQF6 CAB5:CAB6 CJX5:CJX6 CTT5:CTT6 DDP5:DDP6 DNL5:DNL6 DXH5:DXH6 EHD5:EHD6 EQZ5:EQZ6 FAV5:FAV6 FKR5:FKR6 FUN5:FUN6 GEJ5:GEJ6 GOF5:GOF6 GYB5:GYB6 HHX5:HHX6 HRT5:HRT6 IBP5:IBP6 ILL5:ILL6 IVH5:IVH6 JFD5:JFD6 JOZ5:JOZ6 JYV5:JYV6 KIR5:KIR6 KSN5:KSN6 LCJ5:LCJ6 LMF5:LMF6 LWB5:LWB6 MFX5:MFX6 MPT5:MPT6 MZP5:MZP6 NJL5:NJL6 NTH5:NTH6 ODD5:ODD6 OMZ5:OMZ6 OWV5:OWV6 PGR5:PGR6 PQN5:PQN6 QAJ5:QAJ6 QKF5:QKF6 QUB5:QUB6 RDX5:RDX6 RNT5:RNT6 RXP5:RXP6 SHL5:SHL6 SRH5:SRH6 TBD5:TBD6 TKZ5:TKZ6 TUV5:TUV6 UER5:UER6 UON5:UON6 UYJ5:UYJ6 VIF5:VIF6 VSB5:VSB6 WBX5:WBX6 WLT5:WLT6 WVP5:WVP6 VIU5:VIU6 JG5:JG6 TC5:TC6 ACY5:ACY6 AMU5:AMU6 AWQ5:AWQ6 BGM5:BGM6 BQI5:BQI6 CAE5:CAE6 CKA5:CKA6 CTW5:CTW6 DDS5:DDS6 DNO5:DNO6 DXK5:DXK6 EHG5:EHG6 ERC5:ERC6 FAY5:FAY6 FKU5:FKU6 FUQ5:FUQ6 GEM5:GEM6 GOI5:GOI6 GYE5:GYE6 HIA5:HIA6 HRW5:HRW6 IBS5:IBS6 ILO5:ILO6 IVK5:IVK6 JFG5:JFG6 JPC5:JPC6 JYY5:JYY6 KIU5:KIU6 KSQ5:KSQ6 LCM5:LCM6 LMI5:LMI6 LWE5:LWE6 MGA5:MGA6 MPW5:MPW6 MZS5:MZS6 NJO5:NJO6 NTK5:NTK6 ODG5:ODG6 ONC5:ONC6 OWY5:OWY6 PGU5:PGU6 PQQ5:PQQ6 QAM5:QAM6 QKI5:QKI6 QUE5:QUE6 REA5:REA6 RNW5:RNW6 RXS5:RXS6 SHO5:SHO6 SRK5:SRK6 TBG5:TBG6 TLC5:TLC6 TUY5:TUY6 UEU5:UEU6 UOQ5:UOQ6 UYM5:UYM6 VII5:VII6 VSE5:VSE6 WCA5:WCA6 WLW5:WLW6 WVS5:WVS6 VSQ5:VSQ6 JJ5:JJ6 TF5:TF6 ADB5:ADB6 AMX5:AMX6 AWT5:AWT6 BGP5:BGP6 BQL5:BQL6 CAH5:CAH6 CKD5:CKD6 CTZ5:CTZ6 DDV5:DDV6 DNR5:DNR6 DXN5:DXN6 EHJ5:EHJ6 ERF5:ERF6 FBB5:FBB6 FKX5:FKX6 FUT5:FUT6 GEP5:GEP6 GOL5:GOL6 GYH5:GYH6 HID5:HID6 HRZ5:HRZ6 IBV5:IBV6 ILR5:ILR6 IVN5:IVN6 JFJ5:JFJ6 JPF5:JPF6 JZB5:JZB6 KIX5:KIX6 KST5:KST6 LCP5:LCP6 LML5:LML6 LWH5:LWH6 MGD5:MGD6 MPZ5:MPZ6 MZV5:MZV6 NJR5:NJR6 NTN5:NTN6 ODJ5:ODJ6 ONF5:ONF6 OXB5:OXB6 PGX5:PGX6 PQT5:PQT6 QAP5:QAP6 QKL5:QKL6 QUH5:QUH6 RED5:RED6 RNZ5:RNZ6 RXV5:RXV6 SHR5:SHR6 SRN5:SRN6 TBJ5:TBJ6 TLF5:TLF6 TVB5:TVB6 UEX5:UEX6 UOT5:UOT6 UYP5:UYP6 VIL5:VIL6 VSH5:VSH6 WCD5:WCD6 WLZ5:WLZ6 WVV5:WVV6 WCM5:WCM6 JM5:JM6 TI5:TI6 ADE5:ADE6 ANA5:ANA6 AWW5:AWW6 BGS5:BGS6 BQO5:BQO6 CAK5:CAK6 CKG5:CKG6 CUC5:CUC6 DDY5:DDY6 DNU5:DNU6 DXQ5:DXQ6 EHM5:EHM6 ERI5:ERI6 FBE5:FBE6 FLA5:FLA6 FUW5:FUW6 GES5:GES6 GOO5:GOO6 GYK5:GYK6 HIG5:HIG6 HSC5:HSC6 IBY5:IBY6 ILU5:ILU6 IVQ5:IVQ6 JFM5:JFM6 JPI5:JPI6 JZE5:JZE6 KJA5:KJA6 KSW5:KSW6 LCS5:LCS6 LMO5:LMO6 LWK5:LWK6 MGG5:MGG6 MQC5:MQC6 MZY5:MZY6 NJU5:NJU6 NTQ5:NTQ6 ODM5:ODM6 ONI5:ONI6 OXE5:OXE6 PHA5:PHA6 PQW5:PQW6 QAS5:QAS6 QKO5:QKO6 QUK5:QUK6 REG5:REG6 ROC5:ROC6 RXY5:RXY6 SHU5:SHU6 SRQ5:SRQ6 TBM5:TBM6 TLI5:TLI6 TVE5:TVE6 UFA5:UFA6 UOW5:UOW6 UYS5:UYS6 VIO5:VIO6 VSK5:VSK6 WCG5:WCG6 WMC5:WMC6 WVY5:WVY6 WMI5:WMI6 JP5:JP6 TL5:TL6 ADH5:ADH6 AND5:AND6 AWZ5:AWZ6 BGV5:BGV6 BQR5:BQR6 CAN5:CAN6 CKJ5:CKJ6 CUF5:CUF6 DEB5:DEB6 DNX5:DNX6 DXT5:DXT6 EHP5:EHP6 ERL5:ERL6 FBH5:FBH6 FLD5:FLD6 FUZ5:FUZ6 GEV5:GEV6 GOR5:GOR6 GYN5:GYN6 HIJ5:HIJ6 HSF5:HSF6 ICB5:ICB6 ILX5:ILX6 IVT5:IVT6 JFP5:JFP6 JPL5:JPL6 JZH5:JZH6 KJD5:KJD6 KSZ5:KSZ6 LCV5:LCV6 LMR5:LMR6 LWN5:LWN6 MGJ5:MGJ6 MQF5:MQF6 NAB5:NAB6 NJX5:NJX6 NTT5:NTT6 ODP5:ODP6 ONL5:ONL6 OXH5:OXH6 PHD5:PHD6 PQZ5:PQZ6 QAV5:QAV6 QKR5:QKR6 QUN5:QUN6 REJ5:REJ6 ROF5:ROF6 RYB5:RYB6 SHX5:SHX6 SRT5:SRT6 TBP5:TBP6 TLL5:TLL6 TVH5:TVH6 UFD5:UFD6 UOZ5:UOZ6 UYV5:UYV6 VIR5:VIR6 VSN5:VSN6 WCJ5:WCJ6 WMF5:WMF6 WWB5:WWB6 WWE5:WWE6 JS5:JS6 TO5:TO6 ADK5:ADK6 ANG5:ANG6 AXC5:AXC6 BGY5:BGY6 BQU5:BQU6 CAQ5:CAQ6 CKM5:CKM6 CUI5:CUI6 DEE5:DEE6 DOA5:DOA6 DXW5:DXW6 EHS5:EHS6 ERO5:ERO6 FBK5:FBK6 FLG5:FLG6 FVC5:FVC6 GEY5:GEY6 GOU5:GOU6 GYQ5:GYQ6 HIM5:HIM6 HSI5:HSI6 ICE5:ICE6 IMA5:IMA6 IVW5:IVW6 JFS5:JFS6 JPO5:JPO6 JZK5:JZK6 KJG5:KJG6 KTC5:KTC6 LCY5:LCY6 LMU5:LMU6 LWQ5:LWQ6 MGM5:MGM6 MQI5:MQI6 NAE5:NAE6 NKA5:NKA6 NTW5:NTW6 ODS5:ODS6 ONO5:ONO6 OXK5:OXK6 PHG5:PHG6 PRC5:PRC6 QAY5:QAY6 QKU5:QKU6 QUQ5:QUQ6 REM5:REM6 ROI5:ROI6 RYE5:RYE6 SIA5:SIA6 SRW5:SRW6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90D06-AA8D-4603-ABD6-8DF8B917284D}">
  <sheetPr codeName="Sheet28">
    <tabColor theme="3" tint="-0.499984740745262"/>
  </sheetPr>
  <dimension ref="A1:BD30"/>
  <sheetViews>
    <sheetView topLeftCell="A11" zoomScale="90" zoomScaleNormal="90" workbookViewId="0">
      <selection activeCell="B26" sqref="B26"/>
    </sheetView>
  </sheetViews>
  <sheetFormatPr defaultRowHeight="12.75" outlineLevelRow="1"/>
  <cols>
    <col min="1" max="1" width="1.5" style="764" customWidth="1"/>
    <col min="2" max="2" width="4" style="765" customWidth="1"/>
    <col min="3" max="3" width="19.75" style="765" customWidth="1"/>
    <col min="4" max="4" width="18.125" style="765" customWidth="1"/>
    <col min="5" max="5" width="12.375" style="765" customWidth="1"/>
    <col min="6" max="7" width="10.25" style="765" customWidth="1"/>
    <col min="8" max="8" width="9.75" style="765" customWidth="1"/>
    <col min="9" max="9" width="12.375" style="765" customWidth="1"/>
    <col min="10" max="11" width="6.75" style="765" customWidth="1"/>
    <col min="12" max="12" width="3.5" style="765" customWidth="1"/>
    <col min="13" max="13" width="8.5" style="765" customWidth="1"/>
    <col min="14" max="14" width="10.5" style="765" customWidth="1"/>
    <col min="15" max="15" width="5" style="765" customWidth="1"/>
    <col min="16" max="16" width="6.375" style="765" customWidth="1"/>
    <col min="17" max="17" width="8.5" style="765" customWidth="1"/>
    <col min="18" max="18" width="12" style="765" customWidth="1"/>
    <col min="19" max="19" width="4.5" style="765" customWidth="1"/>
    <col min="20" max="20" width="8.5" style="765" customWidth="1"/>
    <col min="21" max="21" width="11" style="765" customWidth="1"/>
    <col min="22" max="22" width="4.5" style="765" customWidth="1"/>
    <col min="23" max="23" width="8.5" style="765" customWidth="1"/>
    <col min="24" max="24" width="11.125" style="765" customWidth="1"/>
    <col min="25" max="25" width="4.5" style="765" customWidth="1"/>
    <col min="26" max="26" width="8.5" style="765" customWidth="1"/>
    <col min="27" max="27" width="11.125" style="765" customWidth="1"/>
    <col min="28" max="28" width="4.5" style="765" customWidth="1"/>
    <col min="29" max="29" width="8.5" style="765" customWidth="1"/>
    <col min="30" max="30" width="11.125" style="765" customWidth="1"/>
    <col min="31" max="31" width="4.5" style="765" customWidth="1"/>
    <col min="32" max="32" width="8.5" style="765" customWidth="1"/>
    <col min="33" max="33" width="11.125" style="765" customWidth="1"/>
    <col min="34" max="34" width="4.5" style="765" customWidth="1"/>
    <col min="35" max="35" width="8.5" style="765" customWidth="1"/>
    <col min="36" max="36" width="11.125" style="765" customWidth="1"/>
    <col min="37" max="37" width="4.5" style="765" customWidth="1"/>
    <col min="38" max="38" width="8.5" style="765" customWidth="1"/>
    <col min="39" max="39" width="11.125" style="765" customWidth="1"/>
    <col min="40" max="40" width="4.5" style="765" customWidth="1"/>
    <col min="41" max="41" width="8.5" style="765" customWidth="1"/>
    <col min="42" max="42" width="11.125" style="765" customWidth="1"/>
    <col min="43" max="43" width="4.5" style="765" customWidth="1"/>
    <col min="44" max="44" width="8.5" style="765" customWidth="1"/>
    <col min="45" max="45" width="11.125" style="765" customWidth="1"/>
    <col min="46" max="46" width="4.5" style="765" customWidth="1"/>
    <col min="47" max="47" width="8.5" style="765" customWidth="1"/>
    <col min="48" max="48" width="11.125" style="765" customWidth="1"/>
    <col min="49" max="49" width="4.5" style="765" customWidth="1"/>
    <col min="50" max="50" width="8.5" style="765" customWidth="1"/>
    <col min="51" max="51" width="11.125" style="765" customWidth="1"/>
    <col min="52" max="52" width="4.5" style="765" customWidth="1"/>
    <col min="53" max="53" width="8.5" style="765" customWidth="1"/>
    <col min="54" max="54" width="11.125" style="765" customWidth="1"/>
    <col min="55" max="55" width="33" style="765" customWidth="1"/>
    <col min="56" max="56" width="9" style="765"/>
    <col min="57" max="16384" width="9" style="766"/>
  </cols>
  <sheetData>
    <row r="1" spans="1:56" ht="13.5" thickBot="1">
      <c r="A1" s="764">
        <v>130</v>
      </c>
    </row>
    <row r="2" spans="1:56" ht="18" outlineLevel="1" thickBot="1">
      <c r="B2" s="1282" t="s">
        <v>957</v>
      </c>
      <c r="C2" s="1283"/>
      <c r="D2" s="1283"/>
      <c r="E2" s="1283"/>
      <c r="F2" s="1283"/>
      <c r="G2" s="1283"/>
      <c r="H2" s="1283"/>
      <c r="I2" s="1283"/>
      <c r="J2" s="1283"/>
      <c r="K2" s="1283"/>
      <c r="L2" s="1283"/>
      <c r="M2" s="1283"/>
      <c r="N2" s="1283"/>
      <c r="O2" s="1283"/>
      <c r="P2" s="1283"/>
      <c r="Q2" s="1283"/>
      <c r="R2" s="1283"/>
      <c r="S2" s="1283"/>
      <c r="T2" s="1283"/>
      <c r="U2" s="1283"/>
      <c r="V2" s="1283"/>
      <c r="W2" s="1283"/>
      <c r="X2" s="1283"/>
      <c r="Y2" s="1283"/>
      <c r="Z2" s="1284"/>
      <c r="BC2" s="766"/>
      <c r="BD2" s="766"/>
    </row>
    <row r="3" spans="1:56" s="769" customFormat="1" outlineLevel="1">
      <c r="A3" s="767"/>
      <c r="B3" s="1285" t="s">
        <v>611</v>
      </c>
      <c r="C3" s="1286"/>
      <c r="D3" s="1286"/>
      <c r="E3" s="1287" t="s">
        <v>958</v>
      </c>
      <c r="F3" s="1287"/>
      <c r="G3" s="1287"/>
      <c r="H3" s="1287" t="s">
        <v>959</v>
      </c>
      <c r="I3" s="1287"/>
      <c r="J3" s="1287"/>
      <c r="K3" s="1287" t="s">
        <v>960</v>
      </c>
      <c r="L3" s="1287"/>
      <c r="M3" s="1287"/>
      <c r="N3" s="1287"/>
      <c r="O3" s="1287" t="s">
        <v>961</v>
      </c>
      <c r="P3" s="1287"/>
      <c r="Q3" s="1287"/>
      <c r="R3" s="1287"/>
      <c r="S3" s="1287" t="s">
        <v>998</v>
      </c>
      <c r="T3" s="1287"/>
      <c r="U3" s="1287"/>
      <c r="V3" s="1287"/>
      <c r="W3" s="1287" t="s">
        <v>999</v>
      </c>
      <c r="X3" s="1287"/>
      <c r="Y3" s="1287"/>
      <c r="Z3" s="1288"/>
      <c r="AA3" s="768"/>
      <c r="AB3" s="768"/>
      <c r="AC3" s="768"/>
      <c r="AD3" s="768"/>
      <c r="AE3" s="768"/>
      <c r="AF3" s="768"/>
      <c r="AG3" s="768"/>
      <c r="AH3" s="768"/>
      <c r="AI3" s="768"/>
      <c r="AJ3" s="768"/>
      <c r="AK3" s="768"/>
      <c r="AL3" s="768"/>
      <c r="AM3" s="768"/>
      <c r="AN3" s="768"/>
      <c r="AO3" s="768"/>
      <c r="AP3" s="768"/>
      <c r="AQ3" s="768"/>
      <c r="AR3" s="768"/>
      <c r="AS3" s="768"/>
      <c r="AT3" s="768"/>
      <c r="AU3" s="768"/>
      <c r="AV3" s="768"/>
      <c r="AW3" s="768"/>
      <c r="AX3" s="768"/>
      <c r="AY3" s="768"/>
      <c r="AZ3" s="768"/>
      <c r="BA3" s="768"/>
      <c r="BB3" s="768"/>
    </row>
    <row r="4" spans="1:56" outlineLevel="1">
      <c r="B4" s="1264" t="s">
        <v>962</v>
      </c>
      <c r="C4" s="1265"/>
      <c r="D4" s="1265"/>
      <c r="E4" s="1272"/>
      <c r="F4" s="1272"/>
      <c r="G4" s="1272"/>
      <c r="H4" s="1272"/>
      <c r="I4" s="1272"/>
      <c r="J4" s="1272"/>
      <c r="K4" s="1272"/>
      <c r="L4" s="1272"/>
      <c r="M4" s="1272"/>
      <c r="N4" s="1272"/>
      <c r="O4" s="1272"/>
      <c r="P4" s="1272"/>
      <c r="Q4" s="1272"/>
      <c r="R4" s="1272"/>
      <c r="S4" s="1272"/>
      <c r="T4" s="1272"/>
      <c r="U4" s="1272"/>
      <c r="V4" s="1272"/>
      <c r="W4" s="1272"/>
      <c r="X4" s="1272"/>
      <c r="Y4" s="1272"/>
      <c r="Z4" s="1273"/>
      <c r="BA4" s="766"/>
      <c r="BB4" s="766"/>
      <c r="BC4" s="766"/>
      <c r="BD4" s="766"/>
    </row>
    <row r="5" spans="1:56" outlineLevel="1">
      <c r="B5" s="1264" t="s">
        <v>876</v>
      </c>
      <c r="C5" s="1265"/>
      <c r="D5" s="1265"/>
      <c r="E5" s="1272"/>
      <c r="F5" s="1272"/>
      <c r="G5" s="1272"/>
      <c r="H5" s="1272"/>
      <c r="I5" s="1272"/>
      <c r="J5" s="1272"/>
      <c r="K5" s="1272"/>
      <c r="L5" s="1272"/>
      <c r="M5" s="1272"/>
      <c r="N5" s="1272"/>
      <c r="O5" s="1272"/>
      <c r="P5" s="1272"/>
      <c r="Q5" s="1272"/>
      <c r="R5" s="1272"/>
      <c r="S5" s="1272"/>
      <c r="T5" s="1272"/>
      <c r="U5" s="1272"/>
      <c r="V5" s="1272"/>
      <c r="W5" s="1272"/>
      <c r="X5" s="1272"/>
      <c r="Y5" s="1272"/>
      <c r="Z5" s="1273"/>
      <c r="BA5" s="766"/>
      <c r="BB5" s="766"/>
      <c r="BC5" s="766"/>
      <c r="BD5" s="766"/>
    </row>
    <row r="6" spans="1:56" outlineLevel="1">
      <c r="B6" s="1264" t="s">
        <v>1000</v>
      </c>
      <c r="C6" s="1265"/>
      <c r="D6" s="1265"/>
      <c r="E6" s="1280"/>
      <c r="F6" s="1280"/>
      <c r="G6" s="1280"/>
      <c r="H6" s="1280"/>
      <c r="I6" s="1280"/>
      <c r="J6" s="1280"/>
      <c r="K6" s="1280"/>
      <c r="L6" s="1280"/>
      <c r="M6" s="1280"/>
      <c r="N6" s="1280"/>
      <c r="O6" s="1280"/>
      <c r="P6" s="1280"/>
      <c r="Q6" s="1280"/>
      <c r="R6" s="1280"/>
      <c r="S6" s="1280"/>
      <c r="T6" s="1280"/>
      <c r="U6" s="1280"/>
      <c r="V6" s="1280"/>
      <c r="W6" s="1280"/>
      <c r="X6" s="1280"/>
      <c r="Y6" s="1280"/>
      <c r="Z6" s="1281"/>
      <c r="BA6" s="766"/>
      <c r="BB6" s="766"/>
      <c r="BC6" s="766"/>
      <c r="BD6" s="766"/>
    </row>
    <row r="7" spans="1:56" outlineLevel="1">
      <c r="B7" s="1264" t="s">
        <v>963</v>
      </c>
      <c r="C7" s="1265"/>
      <c r="D7" s="1265"/>
      <c r="E7" s="1272"/>
      <c r="F7" s="1272"/>
      <c r="G7" s="1272"/>
      <c r="H7" s="1272"/>
      <c r="I7" s="1272"/>
      <c r="J7" s="1272"/>
      <c r="K7" s="1272"/>
      <c r="L7" s="1272"/>
      <c r="M7" s="1272"/>
      <c r="N7" s="1272"/>
      <c r="O7" s="1272"/>
      <c r="P7" s="1272"/>
      <c r="Q7" s="1272"/>
      <c r="R7" s="1272"/>
      <c r="S7" s="1272"/>
      <c r="T7" s="1272"/>
      <c r="U7" s="1272"/>
      <c r="V7" s="1272"/>
      <c r="W7" s="1272"/>
      <c r="X7" s="1272"/>
      <c r="Y7" s="1272"/>
      <c r="Z7" s="1273"/>
      <c r="BA7" s="766"/>
      <c r="BB7" s="766"/>
      <c r="BC7" s="766"/>
      <c r="BD7" s="766"/>
    </row>
    <row r="8" spans="1:56" s="772" customFormat="1" ht="15.75" outlineLevel="1">
      <c r="A8" s="770"/>
      <c r="B8" s="1264" t="s">
        <v>964</v>
      </c>
      <c r="C8" s="1265"/>
      <c r="D8" s="1265"/>
      <c r="E8" s="1278"/>
      <c r="F8" s="1278"/>
      <c r="G8" s="1278"/>
      <c r="H8" s="1278"/>
      <c r="I8" s="1278"/>
      <c r="J8" s="1278"/>
      <c r="K8" s="1278"/>
      <c r="L8" s="1278"/>
      <c r="M8" s="1278"/>
      <c r="N8" s="1278"/>
      <c r="O8" s="1278"/>
      <c r="P8" s="1278"/>
      <c r="Q8" s="1278"/>
      <c r="R8" s="1278"/>
      <c r="S8" s="1278"/>
      <c r="T8" s="1278"/>
      <c r="U8" s="1278"/>
      <c r="V8" s="1278"/>
      <c r="W8" s="1278"/>
      <c r="X8" s="1278"/>
      <c r="Y8" s="1278"/>
      <c r="Z8" s="1279"/>
      <c r="AA8" s="771"/>
      <c r="AB8" s="771"/>
      <c r="AC8" s="771"/>
      <c r="AD8" s="771"/>
      <c r="AE8" s="771"/>
      <c r="AF8" s="771"/>
      <c r="AG8" s="771"/>
      <c r="AH8" s="771"/>
      <c r="AI8" s="771"/>
      <c r="AJ8" s="771"/>
      <c r="AK8" s="771"/>
      <c r="AL8" s="771"/>
      <c r="AM8" s="771"/>
      <c r="AN8" s="771"/>
      <c r="AO8" s="771"/>
      <c r="AP8" s="771"/>
      <c r="AQ8" s="771"/>
      <c r="AR8" s="771"/>
      <c r="AS8" s="771"/>
      <c r="AT8" s="771"/>
      <c r="AU8" s="771"/>
      <c r="AV8" s="771"/>
      <c r="AW8" s="771"/>
      <c r="AX8" s="771"/>
      <c r="AY8" s="771"/>
      <c r="AZ8" s="771"/>
    </row>
    <row r="9" spans="1:56" outlineLevel="1">
      <c r="B9" s="1264" t="s">
        <v>1001</v>
      </c>
      <c r="C9" s="1265"/>
      <c r="D9" s="1265"/>
      <c r="E9" s="1272"/>
      <c r="F9" s="1272"/>
      <c r="G9" s="1272"/>
      <c r="H9" s="1272"/>
      <c r="I9" s="1272"/>
      <c r="J9" s="1272"/>
      <c r="K9" s="1272"/>
      <c r="L9" s="1272"/>
      <c r="M9" s="1272"/>
      <c r="N9" s="1272"/>
      <c r="O9" s="1272"/>
      <c r="P9" s="1272"/>
      <c r="Q9" s="1272"/>
      <c r="R9" s="1272"/>
      <c r="S9" s="1272"/>
      <c r="T9" s="1272"/>
      <c r="U9" s="1272"/>
      <c r="V9" s="1272"/>
      <c r="W9" s="1272"/>
      <c r="X9" s="1272"/>
      <c r="Y9" s="1272"/>
      <c r="Z9" s="1273"/>
      <c r="BA9" s="766"/>
      <c r="BB9" s="766"/>
      <c r="BC9" s="766"/>
      <c r="BD9" s="766"/>
    </row>
    <row r="10" spans="1:56" outlineLevel="1">
      <c r="B10" s="1264" t="s">
        <v>1002</v>
      </c>
      <c r="C10" s="1265"/>
      <c r="D10" s="1265"/>
      <c r="E10" s="1272"/>
      <c r="F10" s="1272"/>
      <c r="G10" s="1272"/>
      <c r="H10" s="1272"/>
      <c r="I10" s="1272"/>
      <c r="J10" s="1272"/>
      <c r="K10" s="1272"/>
      <c r="L10" s="1272"/>
      <c r="M10" s="1272"/>
      <c r="N10" s="1272"/>
      <c r="O10" s="1272"/>
      <c r="P10" s="1272"/>
      <c r="Q10" s="1272"/>
      <c r="R10" s="1272"/>
      <c r="S10" s="1272"/>
      <c r="T10" s="1272"/>
      <c r="U10" s="1272"/>
      <c r="V10" s="1272"/>
      <c r="W10" s="1272"/>
      <c r="X10" s="1272"/>
      <c r="Y10" s="1272"/>
      <c r="Z10" s="1273"/>
      <c r="BA10" s="766"/>
      <c r="BB10" s="766"/>
      <c r="BC10" s="766"/>
      <c r="BD10" s="766"/>
    </row>
    <row r="11" spans="1:56" outlineLevel="1">
      <c r="B11" s="1264" t="s">
        <v>965</v>
      </c>
      <c r="C11" s="1265"/>
      <c r="D11" s="1265"/>
      <c r="E11" s="1274"/>
      <c r="F11" s="1274"/>
      <c r="G11" s="1274"/>
      <c r="H11" s="1274"/>
      <c r="I11" s="1274"/>
      <c r="J11" s="1274"/>
      <c r="K11" s="1274"/>
      <c r="L11" s="1274"/>
      <c r="M11" s="1274"/>
      <c r="N11" s="1274"/>
      <c r="O11" s="1274"/>
      <c r="P11" s="1274"/>
      <c r="Q11" s="1274"/>
      <c r="R11" s="1274"/>
      <c r="S11" s="1274"/>
      <c r="T11" s="1274"/>
      <c r="U11" s="1274"/>
      <c r="V11" s="1274"/>
      <c r="W11" s="1274"/>
      <c r="X11" s="1274"/>
      <c r="Y11" s="1274"/>
      <c r="Z11" s="1275"/>
      <c r="BA11" s="766"/>
      <c r="BB11" s="766"/>
      <c r="BC11" s="766"/>
      <c r="BD11" s="766"/>
    </row>
    <row r="12" spans="1:56" outlineLevel="1">
      <c r="B12" s="1264" t="s">
        <v>966</v>
      </c>
      <c r="C12" s="1265"/>
      <c r="D12" s="1265"/>
      <c r="E12" s="1274"/>
      <c r="F12" s="1274"/>
      <c r="G12" s="1274"/>
      <c r="H12" s="1274"/>
      <c r="I12" s="1274"/>
      <c r="J12" s="1274"/>
      <c r="K12" s="1274"/>
      <c r="L12" s="1274"/>
      <c r="M12" s="1274"/>
      <c r="N12" s="1274"/>
      <c r="O12" s="1274"/>
      <c r="P12" s="1274"/>
      <c r="Q12" s="1274"/>
      <c r="R12" s="1274"/>
      <c r="S12" s="1274"/>
      <c r="T12" s="1274"/>
      <c r="U12" s="1274"/>
      <c r="V12" s="1274"/>
      <c r="W12" s="1274"/>
      <c r="X12" s="1274"/>
      <c r="Y12" s="1274"/>
      <c r="Z12" s="1275"/>
      <c r="BA12" s="766"/>
      <c r="BB12" s="766"/>
      <c r="BC12" s="766"/>
      <c r="BD12" s="766"/>
    </row>
    <row r="13" spans="1:56" outlineLevel="1">
      <c r="B13" s="1264" t="s">
        <v>967</v>
      </c>
      <c r="C13" s="1265"/>
      <c r="D13" s="1265"/>
      <c r="E13" s="1276" t="str">
        <f>IFERROR(E11/E12,"")</f>
        <v/>
      </c>
      <c r="F13" s="1276" t="str">
        <f>IFERROR(F11/F12,"")</f>
        <v/>
      </c>
      <c r="G13" s="1276" t="str">
        <f>IFERROR(G11/G12,"")</f>
        <v/>
      </c>
      <c r="H13" s="1276" t="str">
        <f>IFERROR(H11/H12,"")</f>
        <v/>
      </c>
      <c r="I13" s="1276"/>
      <c r="J13" s="1276"/>
      <c r="K13" s="1276" t="str">
        <f>IFERROR(K11/K12,"")</f>
        <v/>
      </c>
      <c r="L13" s="1276"/>
      <c r="M13" s="1276"/>
      <c r="N13" s="1276"/>
      <c r="O13" s="1276" t="str">
        <f>IFERROR(O11/O12,"")</f>
        <v/>
      </c>
      <c r="P13" s="1276"/>
      <c r="Q13" s="1276"/>
      <c r="R13" s="1276"/>
      <c r="S13" s="1276" t="str">
        <f>IFERROR(S11/S12,"")</f>
        <v/>
      </c>
      <c r="T13" s="1276"/>
      <c r="U13" s="1276"/>
      <c r="V13" s="1276"/>
      <c r="W13" s="1276" t="str">
        <f>IFERROR(W11/W12,"")</f>
        <v/>
      </c>
      <c r="X13" s="1276"/>
      <c r="Y13" s="1276"/>
      <c r="Z13" s="1277"/>
      <c r="BA13" s="766"/>
      <c r="BB13" s="766"/>
      <c r="BC13" s="766"/>
      <c r="BD13" s="766"/>
    </row>
    <row r="14" spans="1:56" outlineLevel="1">
      <c r="B14" s="1264" t="s">
        <v>1003</v>
      </c>
      <c r="C14" s="1265"/>
      <c r="D14" s="1265"/>
      <c r="E14" s="1272"/>
      <c r="F14" s="1272"/>
      <c r="G14" s="1272"/>
      <c r="H14" s="1272"/>
      <c r="I14" s="1272"/>
      <c r="J14" s="1272"/>
      <c r="K14" s="1272"/>
      <c r="L14" s="1272"/>
      <c r="M14" s="1272"/>
      <c r="N14" s="1272"/>
      <c r="O14" s="1272"/>
      <c r="P14" s="1272"/>
      <c r="Q14" s="1272"/>
      <c r="R14" s="1272"/>
      <c r="S14" s="1272"/>
      <c r="T14" s="1272"/>
      <c r="U14" s="1272"/>
      <c r="V14" s="1272"/>
      <c r="W14" s="1272"/>
      <c r="X14" s="1272"/>
      <c r="Y14" s="1272"/>
      <c r="Z14" s="1273"/>
      <c r="BA14" s="766"/>
      <c r="BB14" s="766"/>
      <c r="BC14" s="766"/>
      <c r="BD14" s="766"/>
    </row>
    <row r="15" spans="1:56" outlineLevel="1">
      <c r="B15" s="1264" t="s">
        <v>1004</v>
      </c>
      <c r="C15" s="1265"/>
      <c r="D15" s="1265"/>
      <c r="E15" s="1272"/>
      <c r="F15" s="1272"/>
      <c r="G15" s="1272"/>
      <c r="H15" s="1272"/>
      <c r="I15" s="1272"/>
      <c r="J15" s="1272"/>
      <c r="K15" s="1272"/>
      <c r="L15" s="1272"/>
      <c r="M15" s="1272"/>
      <c r="N15" s="1272"/>
      <c r="O15" s="1272"/>
      <c r="P15" s="1272"/>
      <c r="Q15" s="1272"/>
      <c r="R15" s="1272"/>
      <c r="S15" s="1272"/>
      <c r="T15" s="1272"/>
      <c r="U15" s="1272"/>
      <c r="V15" s="1272"/>
      <c r="W15" s="1272"/>
      <c r="X15" s="1272"/>
      <c r="Y15" s="1272"/>
      <c r="Z15" s="1273"/>
      <c r="BA15" s="766"/>
      <c r="BB15" s="766"/>
      <c r="BC15" s="766"/>
      <c r="BD15" s="766"/>
    </row>
    <row r="16" spans="1:56" outlineLevel="1">
      <c r="B16" s="1264" t="s">
        <v>1005</v>
      </c>
      <c r="C16" s="1265"/>
      <c r="D16" s="1265"/>
      <c r="E16" s="1266"/>
      <c r="F16" s="1266"/>
      <c r="G16" s="1266"/>
      <c r="H16" s="1266"/>
      <c r="I16" s="1266"/>
      <c r="J16" s="1266"/>
      <c r="K16" s="1266"/>
      <c r="L16" s="1266"/>
      <c r="M16" s="1266"/>
      <c r="N16" s="1266"/>
      <c r="O16" s="1266"/>
      <c r="P16" s="1266"/>
      <c r="Q16" s="1266"/>
      <c r="R16" s="1266"/>
      <c r="S16" s="1266"/>
      <c r="T16" s="1266"/>
      <c r="U16" s="1266"/>
      <c r="V16" s="1266"/>
      <c r="W16" s="1266"/>
      <c r="X16" s="1266"/>
      <c r="Y16" s="1266"/>
      <c r="Z16" s="1267"/>
      <c r="BA16" s="766"/>
      <c r="BB16" s="766"/>
      <c r="BC16" s="766"/>
      <c r="BD16" s="766"/>
    </row>
    <row r="17" spans="1:56" outlineLevel="1">
      <c r="B17" s="1264" t="s">
        <v>1006</v>
      </c>
      <c r="C17" s="1265"/>
      <c r="D17" s="1265"/>
      <c r="E17" s="1266"/>
      <c r="F17" s="1266"/>
      <c r="G17" s="1266"/>
      <c r="H17" s="1266"/>
      <c r="I17" s="1266"/>
      <c r="J17" s="1266"/>
      <c r="K17" s="1266"/>
      <c r="L17" s="1266"/>
      <c r="M17" s="1266"/>
      <c r="N17" s="1266"/>
      <c r="O17" s="1266"/>
      <c r="P17" s="1266"/>
      <c r="Q17" s="1266"/>
      <c r="R17" s="1266"/>
      <c r="S17" s="1266"/>
      <c r="T17" s="1266"/>
      <c r="U17" s="1266"/>
      <c r="V17" s="1266"/>
      <c r="W17" s="1266"/>
      <c r="X17" s="1266"/>
      <c r="Y17" s="1266"/>
      <c r="Z17" s="1267"/>
      <c r="BA17" s="766"/>
      <c r="BB17" s="766"/>
      <c r="BC17" s="766"/>
      <c r="BD17" s="766"/>
    </row>
    <row r="18" spans="1:56" outlineLevel="1">
      <c r="B18" s="1264" t="s">
        <v>1007</v>
      </c>
      <c r="C18" s="1265"/>
      <c r="D18" s="1265"/>
      <c r="E18" s="1266"/>
      <c r="F18" s="1266"/>
      <c r="G18" s="1266"/>
      <c r="H18" s="1266"/>
      <c r="I18" s="1266"/>
      <c r="J18" s="1266"/>
      <c r="K18" s="1266"/>
      <c r="L18" s="1266"/>
      <c r="M18" s="1266"/>
      <c r="N18" s="1266"/>
      <c r="O18" s="1266"/>
      <c r="P18" s="1266"/>
      <c r="Q18" s="1266"/>
      <c r="R18" s="1266"/>
      <c r="S18" s="1266"/>
      <c r="T18" s="1266"/>
      <c r="U18" s="1266"/>
      <c r="V18" s="1266"/>
      <c r="W18" s="1266"/>
      <c r="X18" s="1266"/>
      <c r="Y18" s="1266"/>
      <c r="Z18" s="1267"/>
      <c r="BA18" s="766"/>
      <c r="BB18" s="766"/>
      <c r="BC18" s="766"/>
      <c r="BD18" s="766"/>
    </row>
    <row r="19" spans="1:56" outlineLevel="1">
      <c r="B19" s="1264" t="s">
        <v>1008</v>
      </c>
      <c r="C19" s="1265"/>
      <c r="D19" s="1265"/>
      <c r="E19" s="1266"/>
      <c r="F19" s="1266"/>
      <c r="G19" s="1266"/>
      <c r="H19" s="1266"/>
      <c r="I19" s="1266"/>
      <c r="J19" s="1266"/>
      <c r="K19" s="1266"/>
      <c r="L19" s="1266"/>
      <c r="M19" s="1266"/>
      <c r="N19" s="1266"/>
      <c r="O19" s="1266"/>
      <c r="P19" s="1266"/>
      <c r="Q19" s="1266"/>
      <c r="R19" s="1266"/>
      <c r="S19" s="1266"/>
      <c r="T19" s="1266"/>
      <c r="U19" s="1266"/>
      <c r="V19" s="1266"/>
      <c r="W19" s="1266"/>
      <c r="X19" s="1266"/>
      <c r="Y19" s="1266"/>
      <c r="Z19" s="1267"/>
      <c r="BA19" s="766"/>
      <c r="BB19" s="766"/>
      <c r="BC19" s="766"/>
      <c r="BD19" s="766"/>
    </row>
    <row r="20" spans="1:56" outlineLevel="1">
      <c r="B20" s="1264" t="s">
        <v>1009</v>
      </c>
      <c r="C20" s="1265"/>
      <c r="D20" s="1265"/>
      <c r="E20" s="1266"/>
      <c r="F20" s="1266"/>
      <c r="G20" s="1266"/>
      <c r="H20" s="1266"/>
      <c r="I20" s="1266"/>
      <c r="J20" s="1266"/>
      <c r="K20" s="1266"/>
      <c r="L20" s="1266"/>
      <c r="M20" s="1266"/>
      <c r="N20" s="1266"/>
      <c r="O20" s="1266"/>
      <c r="P20" s="1266"/>
      <c r="Q20" s="1266"/>
      <c r="R20" s="1266"/>
      <c r="S20" s="1266"/>
      <c r="T20" s="1266"/>
      <c r="U20" s="1266"/>
      <c r="V20" s="1266"/>
      <c r="W20" s="1266"/>
      <c r="X20" s="1266"/>
      <c r="Y20" s="1266"/>
      <c r="Z20" s="1267"/>
      <c r="BA20" s="766"/>
      <c r="BB20" s="766"/>
      <c r="BC20" s="766"/>
      <c r="BD20" s="766"/>
    </row>
    <row r="21" spans="1:56" ht="13.5" outlineLevel="1" thickBot="1">
      <c r="B21" s="1268" t="s">
        <v>880</v>
      </c>
      <c r="C21" s="1269"/>
      <c r="D21" s="1269"/>
      <c r="E21" s="1270"/>
      <c r="F21" s="1270"/>
      <c r="G21" s="1270"/>
      <c r="H21" s="1270"/>
      <c r="I21" s="1270"/>
      <c r="J21" s="1270"/>
      <c r="K21" s="1270"/>
      <c r="L21" s="1270"/>
      <c r="M21" s="1270"/>
      <c r="N21" s="1270"/>
      <c r="O21" s="1270"/>
      <c r="P21" s="1270"/>
      <c r="Q21" s="1270"/>
      <c r="R21" s="1270"/>
      <c r="S21" s="1270"/>
      <c r="T21" s="1270"/>
      <c r="U21" s="1270"/>
      <c r="V21" s="1270"/>
      <c r="W21" s="1270"/>
      <c r="X21" s="1270"/>
      <c r="Y21" s="1270"/>
      <c r="Z21" s="1271"/>
      <c r="BA21" s="766"/>
      <c r="BB21" s="766"/>
      <c r="BC21" s="766"/>
      <c r="BD21" s="766"/>
    </row>
    <row r="22" spans="1:56" ht="13.5" outlineLevel="1" thickBot="1"/>
    <row r="23" spans="1:56" ht="19.5" thickBot="1">
      <c r="B23" s="1243" t="s">
        <v>941</v>
      </c>
      <c r="C23" s="1244"/>
      <c r="D23" s="1244"/>
      <c r="E23" s="1244"/>
      <c r="F23" s="1244"/>
      <c r="G23" s="1244"/>
      <c r="H23" s="1244"/>
      <c r="I23" s="1244"/>
      <c r="J23" s="1244"/>
      <c r="K23" s="1244"/>
      <c r="L23" s="1244"/>
      <c r="M23" s="1244"/>
      <c r="N23" s="1245"/>
      <c r="O23" s="1243" t="s">
        <v>1010</v>
      </c>
      <c r="P23" s="1244"/>
      <c r="Q23" s="1244"/>
      <c r="R23" s="1244"/>
      <c r="S23" s="1244"/>
      <c r="T23" s="1244"/>
      <c r="U23" s="1244"/>
      <c r="V23" s="1244"/>
      <c r="W23" s="1244"/>
      <c r="X23" s="1244"/>
      <c r="Y23" s="1244"/>
      <c r="Z23" s="1244"/>
      <c r="AA23" s="1244"/>
      <c r="AB23" s="1244"/>
      <c r="AC23" s="1244"/>
      <c r="AD23" s="1244"/>
      <c r="AE23" s="1244"/>
      <c r="AF23" s="1244"/>
      <c r="AG23" s="1244"/>
      <c r="AH23" s="1244"/>
      <c r="AI23" s="1244"/>
      <c r="AJ23" s="1244"/>
      <c r="AK23" s="1244"/>
      <c r="AL23" s="1244"/>
      <c r="AM23" s="1244"/>
      <c r="AN23" s="1244"/>
      <c r="AO23" s="1244"/>
      <c r="AP23" s="1244"/>
      <c r="AQ23" s="1244"/>
      <c r="AR23" s="1244"/>
      <c r="AS23" s="1244"/>
      <c r="AT23" s="1244"/>
      <c r="AU23" s="1244"/>
      <c r="AV23" s="1244"/>
      <c r="AW23" s="1244"/>
      <c r="AX23" s="1244"/>
      <c r="AY23" s="1244"/>
      <c r="AZ23" s="1244"/>
      <c r="BA23" s="1244"/>
      <c r="BB23" s="1244"/>
      <c r="BC23" s="1245"/>
    </row>
    <row r="24" spans="1:56" s="769" customFormat="1" ht="15">
      <c r="A24" s="767"/>
      <c r="B24" s="1246" t="s">
        <v>915</v>
      </c>
      <c r="C24" s="1248" t="s">
        <v>1011</v>
      </c>
      <c r="D24" s="1248" t="s">
        <v>1012</v>
      </c>
      <c r="E24" s="1250" t="s">
        <v>1013</v>
      </c>
      <c r="F24" s="1252" t="s">
        <v>968</v>
      </c>
      <c r="G24" s="1252" t="s">
        <v>113</v>
      </c>
      <c r="H24" s="1248" t="s">
        <v>969</v>
      </c>
      <c r="I24" s="1254" t="s">
        <v>1014</v>
      </c>
      <c r="J24" s="1248" t="s">
        <v>112</v>
      </c>
      <c r="K24" s="1250" t="s">
        <v>970</v>
      </c>
      <c r="L24" s="1256" t="s">
        <v>971</v>
      </c>
      <c r="M24" s="1257"/>
      <c r="N24" s="1258" t="s">
        <v>972</v>
      </c>
      <c r="O24" s="1260" t="s">
        <v>588</v>
      </c>
      <c r="P24" s="1260"/>
      <c r="Q24" s="1261"/>
      <c r="R24" s="1262"/>
      <c r="S24" s="1263"/>
      <c r="T24" s="1240"/>
      <c r="U24" s="1241"/>
      <c r="V24" s="1239" t="e">
        <f>EDATE(S24,-1)</f>
        <v>#NUM!</v>
      </c>
      <c r="W24" s="1240"/>
      <c r="X24" s="1241"/>
      <c r="Y24" s="1239" t="e">
        <f>EDATE(V24,-1)</f>
        <v>#NUM!</v>
      </c>
      <c r="Z24" s="1240"/>
      <c r="AA24" s="1241"/>
      <c r="AB24" s="1239" t="e">
        <f>EDATE(Y24,-1)</f>
        <v>#NUM!</v>
      </c>
      <c r="AC24" s="1240"/>
      <c r="AD24" s="1241"/>
      <c r="AE24" s="1239" t="e">
        <f>EDATE(AB24,-1)</f>
        <v>#NUM!</v>
      </c>
      <c r="AF24" s="1240"/>
      <c r="AG24" s="1241"/>
      <c r="AH24" s="1239" t="e">
        <f>EDATE(AE24,-1)</f>
        <v>#NUM!</v>
      </c>
      <c r="AI24" s="1240"/>
      <c r="AJ24" s="1241"/>
      <c r="AK24" s="1239" t="e">
        <f>EDATE(AH24,-1)</f>
        <v>#NUM!</v>
      </c>
      <c r="AL24" s="1240"/>
      <c r="AM24" s="1241"/>
      <c r="AN24" s="1239" t="e">
        <f>EDATE(AK24,-1)</f>
        <v>#NUM!</v>
      </c>
      <c r="AO24" s="1240"/>
      <c r="AP24" s="1241"/>
      <c r="AQ24" s="1239" t="e">
        <f>EDATE(AN24,-1)</f>
        <v>#NUM!</v>
      </c>
      <c r="AR24" s="1240"/>
      <c r="AS24" s="1241"/>
      <c r="AT24" s="1239" t="e">
        <f>EDATE(AQ24,-1)</f>
        <v>#NUM!</v>
      </c>
      <c r="AU24" s="1240"/>
      <c r="AV24" s="1241"/>
      <c r="AW24" s="1239" t="e">
        <f>EDATE(AT24,-1)</f>
        <v>#NUM!</v>
      </c>
      <c r="AX24" s="1240"/>
      <c r="AY24" s="1241"/>
      <c r="AZ24" s="1239" t="e">
        <f>EDATE(AW24,-1)</f>
        <v>#NUM!</v>
      </c>
      <c r="BA24" s="1240"/>
      <c r="BB24" s="1241"/>
      <c r="BC24" s="1242" t="s">
        <v>973</v>
      </c>
      <c r="BD24" s="768"/>
    </row>
    <row r="25" spans="1:56" s="769" customFormat="1" ht="45">
      <c r="A25" s="767"/>
      <c r="B25" s="1247"/>
      <c r="C25" s="1249"/>
      <c r="D25" s="1249"/>
      <c r="E25" s="1251"/>
      <c r="F25" s="1253"/>
      <c r="G25" s="1253"/>
      <c r="H25" s="1249"/>
      <c r="I25" s="1255"/>
      <c r="J25" s="1249"/>
      <c r="K25" s="1251"/>
      <c r="L25" s="1256"/>
      <c r="M25" s="1257"/>
      <c r="N25" s="1259"/>
      <c r="O25" s="773" t="s">
        <v>974</v>
      </c>
      <c r="P25" s="773" t="s">
        <v>1015</v>
      </c>
      <c r="Q25" s="774" t="s">
        <v>975</v>
      </c>
      <c r="R25" s="775" t="s">
        <v>976</v>
      </c>
      <c r="S25" s="776" t="s">
        <v>591</v>
      </c>
      <c r="T25" s="777" t="s">
        <v>113</v>
      </c>
      <c r="U25" s="775" t="s">
        <v>977</v>
      </c>
      <c r="V25" s="778" t="s">
        <v>591</v>
      </c>
      <c r="W25" s="777" t="s">
        <v>113</v>
      </c>
      <c r="X25" s="775" t="s">
        <v>977</v>
      </c>
      <c r="Y25" s="778" t="s">
        <v>591</v>
      </c>
      <c r="Z25" s="777" t="s">
        <v>113</v>
      </c>
      <c r="AA25" s="775" t="s">
        <v>977</v>
      </c>
      <c r="AB25" s="778" t="s">
        <v>591</v>
      </c>
      <c r="AC25" s="777" t="s">
        <v>113</v>
      </c>
      <c r="AD25" s="775" t="s">
        <v>977</v>
      </c>
      <c r="AE25" s="778" t="s">
        <v>591</v>
      </c>
      <c r="AF25" s="777" t="s">
        <v>113</v>
      </c>
      <c r="AG25" s="779" t="s">
        <v>978</v>
      </c>
      <c r="AH25" s="778" t="s">
        <v>591</v>
      </c>
      <c r="AI25" s="777" t="s">
        <v>113</v>
      </c>
      <c r="AJ25" s="775" t="s">
        <v>977</v>
      </c>
      <c r="AK25" s="778" t="s">
        <v>591</v>
      </c>
      <c r="AL25" s="777" t="s">
        <v>113</v>
      </c>
      <c r="AM25" s="775" t="s">
        <v>977</v>
      </c>
      <c r="AN25" s="778" t="s">
        <v>591</v>
      </c>
      <c r="AO25" s="777" t="s">
        <v>113</v>
      </c>
      <c r="AP25" s="775" t="s">
        <v>977</v>
      </c>
      <c r="AQ25" s="778" t="s">
        <v>591</v>
      </c>
      <c r="AR25" s="777" t="s">
        <v>113</v>
      </c>
      <c r="AS25" s="775" t="s">
        <v>977</v>
      </c>
      <c r="AT25" s="778" t="s">
        <v>591</v>
      </c>
      <c r="AU25" s="777" t="s">
        <v>113</v>
      </c>
      <c r="AV25" s="775" t="s">
        <v>977</v>
      </c>
      <c r="AW25" s="778" t="s">
        <v>591</v>
      </c>
      <c r="AX25" s="777" t="s">
        <v>113</v>
      </c>
      <c r="AY25" s="775" t="s">
        <v>977</v>
      </c>
      <c r="AZ25" s="778" t="s">
        <v>591</v>
      </c>
      <c r="BA25" s="777" t="s">
        <v>113</v>
      </c>
      <c r="BB25" s="775" t="s">
        <v>977</v>
      </c>
      <c r="BC25" s="1242"/>
      <c r="BD25" s="768"/>
    </row>
    <row r="26" spans="1:56">
      <c r="B26" s="780"/>
      <c r="C26" s="781"/>
      <c r="D26" s="781"/>
      <c r="E26" s="782"/>
      <c r="F26" s="782"/>
      <c r="G26" s="783"/>
      <c r="H26" s="784"/>
      <c r="I26" s="782"/>
      <c r="J26" s="781"/>
      <c r="K26" s="785" t="str">
        <f ca="1">IFERROR(IF(J26&lt;(TODAY()-H26)/30,"",J26-((TODAY()-H26)/30)+1),"")</f>
        <v/>
      </c>
      <c r="L26" s="786"/>
      <c r="M26" s="787" t="str">
        <f t="shared" ref="M26:M29" ca="1" si="0">IF(OR(L26="Yes",AND(K26&gt;1,K26&lt;&gt;"")),G26,"")</f>
        <v/>
      </c>
      <c r="N26" s="781"/>
      <c r="O26" s="788" t="str">
        <f t="shared" ref="O26:O29" si="1">IF($G26&lt;&gt;"",COUNT($S26,$V26,$Y26,$AB26,$AE26,$AH26,$AK26,$AN26,$AQ26,$AT26,$AW26,$AZ26),"")</f>
        <v/>
      </c>
      <c r="P26" s="788"/>
      <c r="Q26" s="789" t="str">
        <f t="shared" ref="Q26:Q29" si="2">IF($G26&lt;&gt;"",SUM($T26,$W26,$Z26,$AC26,$AF26,$AI26,$AL26,$AO26,$AR26,$AU26,$AX26,$BA26),"")</f>
        <v/>
      </c>
      <c r="R26" s="790" t="str">
        <f t="shared" ref="R26:R29" si="3">IF($G26&lt;&gt;"",IFERROR(AVERAGE($U26,$X26,$AA26,$AD26,$AG26,$AJ26,$AM26,$AP26,$AS26,$AV26,$AY26,$BB26),""),"")</f>
        <v/>
      </c>
      <c r="S26" s="781"/>
      <c r="T26" s="782"/>
      <c r="U26" s="789"/>
      <c r="V26" s="781"/>
      <c r="W26" s="782"/>
      <c r="X26" s="789"/>
      <c r="Y26" s="781"/>
      <c r="Z26" s="782"/>
      <c r="AA26" s="789"/>
      <c r="AB26" s="781"/>
      <c r="AC26" s="782"/>
      <c r="AD26" s="789"/>
      <c r="AE26" s="781"/>
      <c r="AF26" s="782"/>
      <c r="AG26" s="789"/>
      <c r="AH26" s="781"/>
      <c r="AI26" s="782"/>
      <c r="AJ26" s="789"/>
      <c r="AK26" s="781"/>
      <c r="AL26" s="782"/>
      <c r="AM26" s="789"/>
      <c r="AN26" s="781"/>
      <c r="AO26" s="782"/>
      <c r="AP26" s="789"/>
      <c r="AQ26" s="781"/>
      <c r="AR26" s="782"/>
      <c r="AS26" s="789"/>
      <c r="AT26" s="781"/>
      <c r="AU26" s="782"/>
      <c r="AV26" s="789"/>
      <c r="AW26" s="781"/>
      <c r="AX26" s="782"/>
      <c r="AY26" s="789"/>
      <c r="AZ26" s="781"/>
      <c r="BA26" s="782"/>
      <c r="BB26" s="789"/>
      <c r="BC26" s="791"/>
    </row>
    <row r="27" spans="1:56">
      <c r="B27" s="780"/>
      <c r="C27" s="792"/>
      <c r="D27" s="781"/>
      <c r="E27" s="793"/>
      <c r="F27" s="782"/>
      <c r="G27" s="794"/>
      <c r="H27" s="795"/>
      <c r="I27" s="793"/>
      <c r="J27" s="792"/>
      <c r="K27" s="785" t="str">
        <f ca="1">IFERROR(IF(J27&lt;(TODAY()-H27)/30,"",J27-((TODAY()-H27)/30)+1),"")</f>
        <v/>
      </c>
      <c r="L27" s="796"/>
      <c r="M27" s="787" t="str">
        <f t="shared" ca="1" si="0"/>
        <v/>
      </c>
      <c r="N27" s="792"/>
      <c r="O27" s="788" t="str">
        <f t="shared" si="1"/>
        <v/>
      </c>
      <c r="P27" s="788"/>
      <c r="Q27" s="789" t="str">
        <f t="shared" si="2"/>
        <v/>
      </c>
      <c r="R27" s="790" t="str">
        <f t="shared" si="3"/>
        <v/>
      </c>
      <c r="S27" s="781"/>
      <c r="T27" s="782"/>
      <c r="U27" s="789"/>
      <c r="V27" s="781"/>
      <c r="W27" s="782"/>
      <c r="X27" s="789"/>
      <c r="Y27" s="781"/>
      <c r="Z27" s="782"/>
      <c r="AA27" s="789"/>
      <c r="AB27" s="781"/>
      <c r="AC27" s="782"/>
      <c r="AD27" s="789"/>
      <c r="AE27" s="781"/>
      <c r="AF27" s="782"/>
      <c r="AG27" s="789"/>
      <c r="AH27" s="781"/>
      <c r="AI27" s="782"/>
      <c r="AJ27" s="789"/>
      <c r="AK27" s="781"/>
      <c r="AL27" s="782"/>
      <c r="AM27" s="789"/>
      <c r="AN27" s="781"/>
      <c r="AO27" s="782"/>
      <c r="AP27" s="789"/>
      <c r="AQ27" s="781"/>
      <c r="AR27" s="782"/>
      <c r="AS27" s="789"/>
      <c r="AT27" s="781"/>
      <c r="AU27" s="782"/>
      <c r="AV27" s="789"/>
      <c r="AW27" s="781"/>
      <c r="AX27" s="782"/>
      <c r="AY27" s="789"/>
      <c r="AZ27" s="781"/>
      <c r="BA27" s="782"/>
      <c r="BB27" s="789"/>
      <c r="BC27" s="797"/>
    </row>
    <row r="28" spans="1:56">
      <c r="B28" s="780"/>
      <c r="C28" s="792"/>
      <c r="D28" s="781"/>
      <c r="E28" s="793"/>
      <c r="F28" s="782"/>
      <c r="G28" s="794"/>
      <c r="H28" s="795"/>
      <c r="I28" s="793"/>
      <c r="J28" s="792"/>
      <c r="K28" s="785" t="str">
        <f ca="1">IFERROR(IF(J28&lt;(TODAY()-H28)/30,"",J28-((TODAY()-H28)/30)+1),"")</f>
        <v/>
      </c>
      <c r="L28" s="796"/>
      <c r="M28" s="787" t="str">
        <f t="shared" ca="1" si="0"/>
        <v/>
      </c>
      <c r="N28" s="792"/>
      <c r="O28" s="788" t="str">
        <f t="shared" si="1"/>
        <v/>
      </c>
      <c r="P28" s="788"/>
      <c r="Q28" s="789" t="str">
        <f t="shared" si="2"/>
        <v/>
      </c>
      <c r="R28" s="789" t="str">
        <f t="shared" si="3"/>
        <v/>
      </c>
      <c r="S28" s="781"/>
      <c r="T28" s="782"/>
      <c r="U28" s="789"/>
      <c r="V28" s="781"/>
      <c r="W28" s="782"/>
      <c r="X28" s="789"/>
      <c r="Y28" s="781"/>
      <c r="Z28" s="782"/>
      <c r="AA28" s="789"/>
      <c r="AB28" s="781"/>
      <c r="AC28" s="782"/>
      <c r="AD28" s="789"/>
      <c r="AE28" s="781"/>
      <c r="AF28" s="782"/>
      <c r="AG28" s="789"/>
      <c r="AH28" s="781"/>
      <c r="AI28" s="782"/>
      <c r="AJ28" s="789"/>
      <c r="AK28" s="781"/>
      <c r="AL28" s="782"/>
      <c r="AM28" s="789"/>
      <c r="AN28" s="781"/>
      <c r="AO28" s="782"/>
      <c r="AP28" s="789"/>
      <c r="AQ28" s="781"/>
      <c r="AR28" s="782"/>
      <c r="AS28" s="789"/>
      <c r="AT28" s="781"/>
      <c r="AU28" s="782"/>
      <c r="AV28" s="789"/>
      <c r="AW28" s="781"/>
      <c r="AX28" s="782"/>
      <c r="AY28" s="789"/>
      <c r="AZ28" s="781"/>
      <c r="BA28" s="782"/>
      <c r="BB28" s="789"/>
      <c r="BC28" s="797"/>
    </row>
    <row r="29" spans="1:56" ht="13.5" thickBot="1">
      <c r="B29" s="780"/>
      <c r="C29" s="792"/>
      <c r="D29" s="781"/>
      <c r="E29" s="793"/>
      <c r="F29" s="782"/>
      <c r="G29" s="794"/>
      <c r="H29" s="795"/>
      <c r="I29" s="793"/>
      <c r="J29" s="792"/>
      <c r="K29" s="785" t="str">
        <f ca="1">IFERROR(IF(J29&lt;(TODAY()-H29)/30,"",J29-((TODAY()-H29)/30)+1),"")</f>
        <v/>
      </c>
      <c r="L29" s="796"/>
      <c r="M29" s="787" t="str">
        <f t="shared" ca="1" si="0"/>
        <v/>
      </c>
      <c r="N29" s="792"/>
      <c r="O29" s="788" t="str">
        <f t="shared" si="1"/>
        <v/>
      </c>
      <c r="P29" s="788"/>
      <c r="Q29" s="789" t="str">
        <f t="shared" si="2"/>
        <v/>
      </c>
      <c r="R29" s="789" t="str">
        <f t="shared" si="3"/>
        <v/>
      </c>
      <c r="S29" s="781"/>
      <c r="T29" s="782"/>
      <c r="U29" s="789"/>
      <c r="V29" s="781"/>
      <c r="W29" s="782"/>
      <c r="X29" s="789"/>
      <c r="Y29" s="781"/>
      <c r="Z29" s="782"/>
      <c r="AA29" s="789"/>
      <c r="AB29" s="781"/>
      <c r="AC29" s="782"/>
      <c r="AD29" s="789"/>
      <c r="AE29" s="781"/>
      <c r="AF29" s="782"/>
      <c r="AG29" s="789"/>
      <c r="AH29" s="781"/>
      <c r="AI29" s="782"/>
      <c r="AJ29" s="789"/>
      <c r="AK29" s="781"/>
      <c r="AL29" s="782"/>
      <c r="AM29" s="789"/>
      <c r="AN29" s="781"/>
      <c r="AO29" s="782"/>
      <c r="AP29" s="789"/>
      <c r="AQ29" s="781"/>
      <c r="AR29" s="782"/>
      <c r="AS29" s="789"/>
      <c r="AT29" s="781"/>
      <c r="AU29" s="782"/>
      <c r="AV29" s="789"/>
      <c r="AW29" s="781"/>
      <c r="AX29" s="782"/>
      <c r="AY29" s="789"/>
      <c r="AZ29" s="781"/>
      <c r="BA29" s="782"/>
      <c r="BB29" s="789"/>
      <c r="BC29" s="797"/>
    </row>
    <row r="30" spans="1:56" ht="15.75" thickBot="1">
      <c r="B30" s="799" t="s">
        <v>191</v>
      </c>
      <c r="C30" s="800"/>
      <c r="D30" s="801">
        <f>SUBTOTAL(103,LoanTrack[Column3])</f>
        <v>0</v>
      </c>
      <c r="E30" s="802">
        <f>SUBTOTAL(109,LoanTrack[Column4])</f>
        <v>0</v>
      </c>
      <c r="F30" s="802">
        <f>SUBTOTAL(109,LoanTrack[Column52])</f>
        <v>0</v>
      </c>
      <c r="G30" s="803">
        <f>SUBTOTAL(109,LoanTrack[Column5])</f>
        <v>0</v>
      </c>
      <c r="H30" s="800"/>
      <c r="I30" s="798">
        <f>SUBTOTAL(109,LoanTrack[Column54])</f>
        <v>0</v>
      </c>
      <c r="J30" s="800"/>
      <c r="K30" s="800"/>
      <c r="L30" s="800">
        <f>COUNTIF(L26:L29,"Yes")</f>
        <v>0</v>
      </c>
      <c r="M30" s="802">
        <f ca="1">SUBTOTAL(109,LoanTrack[Column10])</f>
        <v>0</v>
      </c>
      <c r="N30" s="801">
        <f>SUMPRODUCT((N26:N29&lt;&gt;"")/COUNTIF(N26:N29,N26:N29&amp;""))</f>
        <v>0</v>
      </c>
      <c r="O30" s="802">
        <f>SUBTOTAL(109,LoanTrack[Column51])</f>
        <v>0</v>
      </c>
      <c r="P30" s="798">
        <f>SUBTOTAL(109,LoanTrack[Column53])</f>
        <v>0</v>
      </c>
      <c r="Q30" s="802">
        <f>SUBTOTAL(109,LoanTrack[Column50])</f>
        <v>0</v>
      </c>
      <c r="R30" s="802" t="str">
        <f>IFERROR(SUBTOTAL(101,R26:R29),"")</f>
        <v/>
      </c>
      <c r="S30" s="802">
        <f>SUBTOTAL(103,LoanTrack[Column12])</f>
        <v>0</v>
      </c>
      <c r="T30" s="802">
        <f>SUBTOTAL(109,LoanTrack[Column13])</f>
        <v>0</v>
      </c>
      <c r="U30" s="802" t="str">
        <f>IFERROR(SUBTOTAL(101,U26:U29),"")</f>
        <v/>
      </c>
      <c r="V30" s="802">
        <f>SUBTOTAL(103,LoanTrack[Column15])</f>
        <v>0</v>
      </c>
      <c r="W30" s="802">
        <f>SUBTOTAL(109,LoanTrack[Column16])</f>
        <v>0</v>
      </c>
      <c r="X30" s="802" t="str">
        <f>IFERROR(SUBTOTAL(101,X26:X29),"")</f>
        <v/>
      </c>
      <c r="Y30" s="802">
        <f>SUBTOTAL(103,LoanTrack[Column18])</f>
        <v>0</v>
      </c>
      <c r="Z30" s="802">
        <f>SUBTOTAL(109,LoanTrack[Column19])</f>
        <v>0</v>
      </c>
      <c r="AA30" s="802" t="str">
        <f>IFERROR(SUBTOTAL(101,AA26:AA29),"")</f>
        <v/>
      </c>
      <c r="AB30" s="802">
        <f>SUBTOTAL(103,LoanTrack[Column21])</f>
        <v>0</v>
      </c>
      <c r="AC30" s="802">
        <f>SUBTOTAL(109,LoanTrack[Column22])</f>
        <v>0</v>
      </c>
      <c r="AD30" s="802" t="str">
        <f>IFERROR(SUBTOTAL(101,AD26:AD29),"")</f>
        <v/>
      </c>
      <c r="AE30" s="802">
        <f>SUBTOTAL(103,LoanTrack[Column24])</f>
        <v>0</v>
      </c>
      <c r="AF30" s="802">
        <f>SUBTOTAL(109,LoanTrack[Column25])</f>
        <v>0</v>
      </c>
      <c r="AG30" s="802" t="str">
        <f>IFERROR(SUBTOTAL(101,AG26:AG29),"")</f>
        <v/>
      </c>
      <c r="AH30" s="802">
        <f>SUBTOTAL(103,LoanTrack[Column27])</f>
        <v>0</v>
      </c>
      <c r="AI30" s="802">
        <f>SUBTOTAL(109,LoanTrack[Column28])</f>
        <v>0</v>
      </c>
      <c r="AJ30" s="802" t="str">
        <f>IFERROR(SUBTOTAL(101,AJ26:AJ29),"")</f>
        <v/>
      </c>
      <c r="AK30" s="802">
        <f>SUBTOTAL(103,LoanTrack[Column30])</f>
        <v>0</v>
      </c>
      <c r="AL30" s="802">
        <f>SUBTOTAL(109,LoanTrack[Column31])</f>
        <v>0</v>
      </c>
      <c r="AM30" s="802" t="str">
        <f>IFERROR(SUBTOTAL(101,AM26:AM29),"")</f>
        <v/>
      </c>
      <c r="AN30" s="802">
        <f>SUBTOTAL(103,LoanTrack[Column33])</f>
        <v>0</v>
      </c>
      <c r="AO30" s="802">
        <f>SUBTOTAL(109,LoanTrack[Column34])</f>
        <v>0</v>
      </c>
      <c r="AP30" s="802" t="str">
        <f>IFERROR(SUBTOTAL(101,AP26:AP29),"")</f>
        <v/>
      </c>
      <c r="AQ30" s="802">
        <f>SUBTOTAL(103,LoanTrack[Column36])</f>
        <v>0</v>
      </c>
      <c r="AR30" s="802">
        <f>SUBTOTAL(109,LoanTrack[Column37])</f>
        <v>0</v>
      </c>
      <c r="AS30" s="802" t="str">
        <f>IFERROR(SUBTOTAL(101,AS26:AS29),"")</f>
        <v/>
      </c>
      <c r="AT30" s="802">
        <f>SUBTOTAL(103,LoanTrack[Column39])</f>
        <v>0</v>
      </c>
      <c r="AU30" s="802">
        <f>SUBTOTAL(109,LoanTrack[Column40])</f>
        <v>0</v>
      </c>
      <c r="AV30" s="802" t="str">
        <f>IFERROR(SUBTOTAL(101,AV26:AV29),"")</f>
        <v/>
      </c>
      <c r="AW30" s="802">
        <f>SUBTOTAL(103,LoanTrack[Column42])</f>
        <v>0</v>
      </c>
      <c r="AX30" s="802">
        <f>SUBTOTAL(109,LoanTrack[Column43])</f>
        <v>0</v>
      </c>
      <c r="AY30" s="802" t="str">
        <f>IFERROR(SUBTOTAL(101,AY26:AY29),"")</f>
        <v/>
      </c>
      <c r="AZ30" s="802">
        <f>SUBTOTAL(103,LoanTrack[Column45])</f>
        <v>0</v>
      </c>
      <c r="BA30" s="802">
        <f>SUBTOTAL(109,LoanTrack[Column46])</f>
        <v>0</v>
      </c>
      <c r="BB30" s="802" t="str">
        <f>IFERROR(SUBTOTAL(101,BB26:BB29),"")</f>
        <v/>
      </c>
      <c r="BC30" s="804">
        <f>SUBTOTAL(103,LoanTrack[Column48])</f>
        <v>0</v>
      </c>
    </row>
  </sheetData>
  <mergeCells count="162">
    <mergeCell ref="B2:Z2"/>
    <mergeCell ref="B3:D3"/>
    <mergeCell ref="E3:G3"/>
    <mergeCell ref="H3:J3"/>
    <mergeCell ref="K3:N3"/>
    <mergeCell ref="O3:R3"/>
    <mergeCell ref="S3:V3"/>
    <mergeCell ref="W3:Z3"/>
    <mergeCell ref="B4:D4"/>
    <mergeCell ref="E4:G4"/>
    <mergeCell ref="H4:J4"/>
    <mergeCell ref="K4:N4"/>
    <mergeCell ref="O4:R4"/>
    <mergeCell ref="S4:V4"/>
    <mergeCell ref="W4:Z4"/>
    <mergeCell ref="B5:D5"/>
    <mergeCell ref="E5:G5"/>
    <mergeCell ref="H5:J5"/>
    <mergeCell ref="K5:N5"/>
    <mergeCell ref="O5:R5"/>
    <mergeCell ref="S5:V5"/>
    <mergeCell ref="W5:Z5"/>
    <mergeCell ref="S6:V6"/>
    <mergeCell ref="W6:Z6"/>
    <mergeCell ref="B7:D7"/>
    <mergeCell ref="E7:G7"/>
    <mergeCell ref="H7:J7"/>
    <mergeCell ref="K7:N7"/>
    <mergeCell ref="O7:R7"/>
    <mergeCell ref="S7:V7"/>
    <mergeCell ref="W7:Z7"/>
    <mergeCell ref="B6:D6"/>
    <mergeCell ref="E6:G6"/>
    <mergeCell ref="H6:J6"/>
    <mergeCell ref="K6:N6"/>
    <mergeCell ref="O6:R6"/>
    <mergeCell ref="S8:V8"/>
    <mergeCell ref="W8:Z8"/>
    <mergeCell ref="B9:D9"/>
    <mergeCell ref="E9:G9"/>
    <mergeCell ref="H9:J9"/>
    <mergeCell ref="K9:N9"/>
    <mergeCell ref="O9:R9"/>
    <mergeCell ref="S9:V9"/>
    <mergeCell ref="W9:Z9"/>
    <mergeCell ref="B8:D8"/>
    <mergeCell ref="E8:G8"/>
    <mergeCell ref="H8:J8"/>
    <mergeCell ref="K8:N8"/>
    <mergeCell ref="O8:R8"/>
    <mergeCell ref="S10:V10"/>
    <mergeCell ref="W10:Z10"/>
    <mergeCell ref="B11:D11"/>
    <mergeCell ref="E11:G11"/>
    <mergeCell ref="H11:J11"/>
    <mergeCell ref="K11:N11"/>
    <mergeCell ref="O11:R11"/>
    <mergeCell ref="S11:V11"/>
    <mergeCell ref="W11:Z11"/>
    <mergeCell ref="B10:D10"/>
    <mergeCell ref="E10:G10"/>
    <mergeCell ref="H10:J10"/>
    <mergeCell ref="K10:N10"/>
    <mergeCell ref="O10:R10"/>
    <mergeCell ref="S12:V12"/>
    <mergeCell ref="W12:Z12"/>
    <mergeCell ref="B13:D13"/>
    <mergeCell ref="E13:G13"/>
    <mergeCell ref="H13:J13"/>
    <mergeCell ref="K13:N13"/>
    <mergeCell ref="O13:R13"/>
    <mergeCell ref="S13:V13"/>
    <mergeCell ref="W13:Z13"/>
    <mergeCell ref="B12:D12"/>
    <mergeCell ref="E12:G12"/>
    <mergeCell ref="H12:J12"/>
    <mergeCell ref="K12:N12"/>
    <mergeCell ref="O12:R12"/>
    <mergeCell ref="S14:V14"/>
    <mergeCell ref="W14:Z14"/>
    <mergeCell ref="B15:D15"/>
    <mergeCell ref="E15:G15"/>
    <mergeCell ref="H15:J15"/>
    <mergeCell ref="K15:N15"/>
    <mergeCell ref="O15:R15"/>
    <mergeCell ref="S15:V15"/>
    <mergeCell ref="W15:Z15"/>
    <mergeCell ref="B14:D14"/>
    <mergeCell ref="E14:G14"/>
    <mergeCell ref="H14:J14"/>
    <mergeCell ref="K14:N14"/>
    <mergeCell ref="O14:R14"/>
    <mergeCell ref="S16:V16"/>
    <mergeCell ref="W16:Z16"/>
    <mergeCell ref="B17:D17"/>
    <mergeCell ref="E17:G17"/>
    <mergeCell ref="H17:J17"/>
    <mergeCell ref="K17:N17"/>
    <mergeCell ref="O17:R17"/>
    <mergeCell ref="S17:V17"/>
    <mergeCell ref="W17:Z17"/>
    <mergeCell ref="B16:D16"/>
    <mergeCell ref="E16:G16"/>
    <mergeCell ref="H16:J16"/>
    <mergeCell ref="K16:N16"/>
    <mergeCell ref="O16:R16"/>
    <mergeCell ref="B18:D18"/>
    <mergeCell ref="E18:G18"/>
    <mergeCell ref="H18:J18"/>
    <mergeCell ref="K18:N18"/>
    <mergeCell ref="O18:R18"/>
    <mergeCell ref="S18:V18"/>
    <mergeCell ref="W18:Z18"/>
    <mergeCell ref="B19:D19"/>
    <mergeCell ref="E19:G19"/>
    <mergeCell ref="H19:J19"/>
    <mergeCell ref="K19:N19"/>
    <mergeCell ref="O19:R19"/>
    <mergeCell ref="S19:V19"/>
    <mergeCell ref="W19:Z19"/>
    <mergeCell ref="AH24:AJ24"/>
    <mergeCell ref="AK24:AM24"/>
    <mergeCell ref="AN24:AP24"/>
    <mergeCell ref="AQ24:AS24"/>
    <mergeCell ref="B20:D20"/>
    <mergeCell ref="E20:G20"/>
    <mergeCell ref="H20:J20"/>
    <mergeCell ref="K20:N20"/>
    <mergeCell ref="O20:R20"/>
    <mergeCell ref="S20:V20"/>
    <mergeCell ref="W20:Z20"/>
    <mergeCell ref="B21:D21"/>
    <mergeCell ref="E21:G21"/>
    <mergeCell ref="H21:J21"/>
    <mergeCell ref="K21:N21"/>
    <mergeCell ref="O21:R21"/>
    <mergeCell ref="S21:V21"/>
    <mergeCell ref="W21:Z21"/>
    <mergeCell ref="AT24:AV24"/>
    <mergeCell ref="AW24:AY24"/>
    <mergeCell ref="AZ24:BB24"/>
    <mergeCell ref="BC24:BC25"/>
    <mergeCell ref="B23:N23"/>
    <mergeCell ref="O23:BC23"/>
    <mergeCell ref="B24:B25"/>
    <mergeCell ref="C24:C25"/>
    <mergeCell ref="D24:D25"/>
    <mergeCell ref="E24:E25"/>
    <mergeCell ref="F24:F25"/>
    <mergeCell ref="G24:G25"/>
    <mergeCell ref="H24:H25"/>
    <mergeCell ref="I24:I25"/>
    <mergeCell ref="J24:J25"/>
    <mergeCell ref="K24:K25"/>
    <mergeCell ref="L24:M25"/>
    <mergeCell ref="N24:N25"/>
    <mergeCell ref="O24:R24"/>
    <mergeCell ref="S24:U24"/>
    <mergeCell ref="V24:X24"/>
    <mergeCell ref="Y24:AA24"/>
    <mergeCell ref="AB24:AD24"/>
    <mergeCell ref="AE24:AG24"/>
  </mergeCells>
  <dataValidations count="2">
    <dataValidation type="whole" allowBlank="1" showInputMessage="1" showErrorMessage="1" errorTitle="Error" error="Not a valid Date" promptTitle="Date" prompt="Insert a date (DD)" sqref="S65560:S65565 S131096:S131101 S196632:S196637 S262168:S262173 S327704:S327709 S393240:S393245 S458776:S458781 S524312:S524317 S589848:S589853 S655384:S655389 S720920:S720925 S786456:S786461 S851992:S851997 S917528:S917533 S983064:S983069 V65560:V65565 V131096:V131101 V196632:V196637 V262168:V262173 V327704:V327709 V393240:V393245 V458776:V458781 V524312:V524317 V589848:V589853 V655384:V655389 V720920:V720925 V786456:V786461 V851992:V851997 V917528:V917533 V983064:V983069 Y65560:Y65565 Y131096:Y131101 Y196632:Y196637 Y262168:Y262173 Y327704:Y327709 Y393240:Y393245 Y458776:Y458781 Y524312:Y524317 Y589848:Y589853 Y655384:Y655389 Y720920:Y720925 Y786456:Y786461 Y851992:Y851997 Y917528:Y917533 Y983064:Y983069 AB65560:AB65565 AB131096:AB131101 AB196632:AB196637 AB262168:AB262173 AB327704:AB327709 AB393240:AB393245 AB458776:AB458781 AB524312:AB524317 AB589848:AB589853 AB655384:AB655389 AB720920:AB720925 AB786456:AB786461 AB851992:AB851997 AB917528:AB917533 AB983064:AB983069 AE65560:AE65565 AE131096:AE131101 AE196632:AE196637 AE262168:AE262173 AE327704:AE327709 AE393240:AE393245 AE458776:AE458781 AE524312:AE524317 AE589848:AE589853 AE655384:AE655389 AE720920:AE720925 AE786456:AE786461 AE851992:AE851997 AE917528:AE917533 AE983064:AE983069 AH65560:AH65565 AH131096:AH131101 AH196632:AH196637 AH262168:AH262173 AH327704:AH327709 AH393240:AH393245 AH458776:AH458781 AH524312:AH524317 AH589848:AH589853 AH655384:AH655389 AH720920:AH720925 AH786456:AH786461 AH851992:AH851997 AH917528:AH917533 AH983064:AH983069 AK65560:AK65565 AK131096:AK131101 AK196632:AK196637 AK262168:AK262173 AK327704:AK327709 AK393240:AK393245 AK458776:AK458781 AK524312:AK524317 AK589848:AK589853 AK655384:AK655389 AK720920:AK720925 AK786456:AK786461 AK851992:AK851997 AK917528:AK917533 AK983064:AK983069 AN65560:AN65565 AN131096:AN131101 AN196632:AN196637 AN262168:AN262173 AN327704:AN327709 AN393240:AN393245 AN458776:AN458781 AN524312:AN524317 AN589848:AN589853 AN655384:AN655389 AN720920:AN720925 AN786456:AN786461 AN851992:AN851997 AN917528:AN917533 AN983064:AN983069 AQ65560:AQ65565 AQ131096:AQ131101 AQ196632:AQ196637 AQ262168:AQ262173 AQ327704:AQ327709 AQ393240:AQ393245 AQ458776:AQ458781 AQ524312:AQ524317 AQ589848:AQ589853 AQ655384:AQ655389 AQ720920:AQ720925 AQ786456:AQ786461 AQ851992:AQ851997 AQ917528:AQ917533 AQ983064:AQ983069 AT65560:AT65565 AT131096:AT131101 AT196632:AT196637 AT262168:AT262173 AT327704:AT327709 AT393240:AT393245 AT458776:AT458781 AT524312:AT524317 AT589848:AT589853 AT655384:AT655389 AT720920:AT720925 AT786456:AT786461 AT851992:AT851997 AT917528:AT917533 AT983064:AT983069 AW65560:AW65565 AW131096:AW131101 AW196632:AW196637 AW262168:AW262173 AW327704:AW327709 AW393240:AW393245 AW458776:AW458781 AW524312:AW524317 AW589848:AW589853 AW655384:AW655389 AW720920:AW720925 AW786456:AW786461 AW851992:AW851997 AW917528:AW917533 AW983064:AW983069 AZ65560:AZ65565 AZ131096:AZ131101 AZ196632:AZ196637 AZ262168:AZ262173 AZ327704:AZ327709 AZ393240:AZ393245 AZ458776:AZ458781 AZ524312:AZ524317 AZ589848:AZ589853 AZ655384:AZ655389 AZ720920:AZ720925 AZ786456:AZ786461 AZ851992:AZ851997 AZ917528:AZ917533 AZ983064:AZ983069 AZ26:AZ29 AW26:AW29 AT26:AT29 AQ26:AQ29 AN26:AN29 AK26:AK29 AH26:AH29 AE26:AE29 AB26:AB29 Y26:Y29 V26:V29 S26:S29" xr:uid="{528ADBF6-5093-4378-950A-46EEE8884164}">
      <formula1>1</formula1>
      <formula2>31</formula2>
    </dataValidation>
    <dataValidation type="list" allowBlank="1" showInputMessage="1" showErrorMessage="1" sqref="C65560:C65565 C131096:C131101 C196632:C196637 C262168:C262173 C327704:C327709 C393240:C393245 C458776:C458781 C524312:C524317 C589848:C589853 C655384:C655389 C720920:C720925 C786456:C786461 C851992:C851997 C917528:C917533 C983064:C983069" xr:uid="{5B716A8E-E232-4E4C-94E4-CA0CEE8F65F6}">
      <formula1>"Home Loan, LAP,Vehicle Loan,CVL, Personal Loan,Business Loan, CC/OD,Term Loan,Machinery Loan,Education Loan"</formula1>
    </dataValidation>
  </dataValidations>
  <pageMargins left="0.7" right="0.7" top="0.75" bottom="0.75" header="0.3" footer="0.3"/>
  <pageSetup paperSize="9" orientation="portrait"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rgb="FFC00000"/>
  </sheetPr>
  <dimension ref="A1:I87"/>
  <sheetViews>
    <sheetView view="pageBreakPreview" zoomScaleSheetLayoutView="100" workbookViewId="0">
      <selection sqref="A1:F1"/>
    </sheetView>
  </sheetViews>
  <sheetFormatPr defaultRowHeight="14.25" outlineLevelRow="1"/>
  <cols>
    <col min="1" max="1" width="30.625" style="31" bestFit="1" customWidth="1"/>
    <col min="2" max="3" width="16.375" style="31" bestFit="1" customWidth="1"/>
    <col min="4" max="4" width="14.25" style="31" customWidth="1"/>
    <col min="5" max="5" width="14.625" style="31" customWidth="1"/>
    <col min="6" max="6" width="14.75" style="31" customWidth="1"/>
    <col min="7" max="7" width="19.375" style="31" customWidth="1"/>
    <col min="8" max="8" width="23.625" style="31" bestFit="1" customWidth="1"/>
    <col min="9" max="9" width="5.875" style="56" hidden="1" customWidth="1"/>
    <col min="10" max="16384" width="9" style="56"/>
  </cols>
  <sheetData>
    <row r="1" spans="1:6" ht="32.1" customHeight="1">
      <c r="A1" s="1303" t="s">
        <v>89</v>
      </c>
      <c r="B1" s="1303"/>
      <c r="C1" s="1303"/>
      <c r="D1" s="1303"/>
      <c r="E1" s="1303"/>
      <c r="F1" s="1303"/>
    </row>
    <row r="2" spans="1:6" ht="15">
      <c r="A2" s="1"/>
      <c r="B2" s="313">
        <f>'Ratios Sheet - combined'!B3</f>
        <v>0</v>
      </c>
      <c r="C2" s="313" t="str">
        <f>'Ratios Sheet - combined'!D3</f>
        <v>-</v>
      </c>
      <c r="D2" s="2" t="s">
        <v>90</v>
      </c>
      <c r="E2" s="3" t="s">
        <v>91</v>
      </c>
      <c r="F2" s="4" t="s">
        <v>92</v>
      </c>
    </row>
    <row r="3" spans="1:6" ht="15">
      <c r="A3" s="5" t="s">
        <v>132</v>
      </c>
      <c r="B3" s="1306">
        <f>'GTP - Eligibility'!B6</f>
        <v>0</v>
      </c>
      <c r="C3" s="1307"/>
      <c r="D3" s="2"/>
      <c r="E3" s="3"/>
      <c r="F3" s="4"/>
    </row>
    <row r="4" spans="1:6">
      <c r="A4" s="57" t="s">
        <v>115</v>
      </c>
      <c r="B4" s="58">
        <f>('Ratios Sheet - combined'!B23*100000)</f>
        <v>0</v>
      </c>
      <c r="C4" s="58">
        <f>('Ratios Sheet - combined'!D23*100000)</f>
        <v>0</v>
      </c>
      <c r="D4" s="13">
        <f t="shared" ref="D4:D28" si="0">(B4+C4)/2</f>
        <v>0</v>
      </c>
      <c r="E4" s="59">
        <v>1</v>
      </c>
      <c r="F4" s="60">
        <f t="shared" ref="F4:F28" si="1">+D4*E4</f>
        <v>0</v>
      </c>
    </row>
    <row r="5" spans="1:6">
      <c r="A5" s="57" t="s">
        <v>13</v>
      </c>
      <c r="B5" s="58">
        <f>'Ratios Sheet - combined'!B17*100000</f>
        <v>0</v>
      </c>
      <c r="C5" s="58">
        <f>'Ratios Sheet - combined'!D17*100000</f>
        <v>0</v>
      </c>
      <c r="D5" s="13">
        <f>IF(AVERAGE(B5,C5)&gt;(B5*2/3),(B5+C5)/2,B5*2/3)</f>
        <v>0</v>
      </c>
      <c r="E5" s="59">
        <v>1</v>
      </c>
      <c r="F5" s="60">
        <f t="shared" si="1"/>
        <v>0</v>
      </c>
    </row>
    <row r="6" spans="1:6" ht="28.5">
      <c r="A6" s="57" t="s">
        <v>116</v>
      </c>
      <c r="B6" s="58">
        <f>'Ratios Sheet - combined'!B27*100000</f>
        <v>0</v>
      </c>
      <c r="C6" s="58">
        <f>'Ratios Sheet - combined'!D27*100000</f>
        <v>0</v>
      </c>
      <c r="D6" s="13">
        <f t="shared" si="0"/>
        <v>0</v>
      </c>
      <c r="E6" s="59">
        <v>1</v>
      </c>
      <c r="F6" s="60">
        <f t="shared" si="1"/>
        <v>0</v>
      </c>
    </row>
    <row r="7" spans="1:6" ht="28.5">
      <c r="A7" s="57" t="s">
        <v>20</v>
      </c>
      <c r="B7" s="58">
        <f>'Ratios Sheet - combined'!B28*100000</f>
        <v>0</v>
      </c>
      <c r="C7" s="58">
        <f>'Ratios Sheet - combined'!D28*100000</f>
        <v>0</v>
      </c>
      <c r="D7" s="13">
        <f t="shared" si="0"/>
        <v>0</v>
      </c>
      <c r="E7" s="59">
        <v>1</v>
      </c>
      <c r="F7" s="60">
        <f t="shared" si="1"/>
        <v>0</v>
      </c>
    </row>
    <row r="8" spans="1:6">
      <c r="A8" s="57" t="s">
        <v>122</v>
      </c>
      <c r="B8" s="58">
        <f>'Ratios Sheet - combined'!B18*100000</f>
        <v>0</v>
      </c>
      <c r="C8" s="58">
        <f>'Ratios Sheet - combined'!D18*100000</f>
        <v>0</v>
      </c>
      <c r="D8" s="13">
        <f t="shared" si="0"/>
        <v>0</v>
      </c>
      <c r="E8" s="59">
        <v>1</v>
      </c>
      <c r="F8" s="60">
        <f t="shared" si="1"/>
        <v>0</v>
      </c>
    </row>
    <row r="9" spans="1:6">
      <c r="A9" s="57" t="s">
        <v>117</v>
      </c>
      <c r="B9" s="64"/>
      <c r="C9" s="64"/>
      <c r="D9" s="13">
        <f t="shared" si="0"/>
        <v>0</v>
      </c>
      <c r="E9" s="89">
        <v>0.75</v>
      </c>
      <c r="F9" s="60">
        <f t="shared" si="1"/>
        <v>0</v>
      </c>
    </row>
    <row r="10" spans="1:6">
      <c r="A10" s="57" t="s">
        <v>119</v>
      </c>
      <c r="B10" s="64"/>
      <c r="C10" s="64"/>
      <c r="D10" s="13">
        <f t="shared" si="0"/>
        <v>0</v>
      </c>
      <c r="E10" s="59">
        <v>1</v>
      </c>
      <c r="F10" s="60">
        <f t="shared" si="1"/>
        <v>0</v>
      </c>
    </row>
    <row r="11" spans="1:6">
      <c r="A11" s="57" t="s">
        <v>120</v>
      </c>
      <c r="B11" s="64"/>
      <c r="C11" s="64"/>
      <c r="D11" s="13">
        <f t="shared" si="0"/>
        <v>0</v>
      </c>
      <c r="E11" s="59">
        <v>0.5</v>
      </c>
      <c r="F11" s="60">
        <f t="shared" si="1"/>
        <v>0</v>
      </c>
    </row>
    <row r="12" spans="1:6">
      <c r="A12" s="57" t="s">
        <v>118</v>
      </c>
      <c r="B12" s="64"/>
      <c r="C12" s="64"/>
      <c r="D12" s="13">
        <f t="shared" si="0"/>
        <v>0</v>
      </c>
      <c r="E12" s="89">
        <v>0.5</v>
      </c>
      <c r="F12" s="60">
        <f t="shared" si="1"/>
        <v>0</v>
      </c>
    </row>
    <row r="13" spans="1:6">
      <c r="A13" s="57" t="s">
        <v>367</v>
      </c>
      <c r="B13" s="64"/>
      <c r="C13" s="64"/>
      <c r="D13" s="13">
        <f t="shared" si="0"/>
        <v>0</v>
      </c>
      <c r="E13" s="89">
        <v>1</v>
      </c>
      <c r="F13" s="60">
        <f>-D13*E13</f>
        <v>0</v>
      </c>
    </row>
    <row r="14" spans="1:6">
      <c r="A14" s="57" t="s">
        <v>368</v>
      </c>
      <c r="B14" s="64"/>
      <c r="C14" s="64"/>
      <c r="D14" s="13">
        <f t="shared" si="0"/>
        <v>0</v>
      </c>
      <c r="E14" s="89">
        <v>0.25</v>
      </c>
      <c r="F14" s="60">
        <f t="shared" si="1"/>
        <v>0</v>
      </c>
    </row>
    <row r="15" spans="1:6" ht="28.5">
      <c r="A15" s="57" t="s">
        <v>370</v>
      </c>
      <c r="B15" s="64"/>
      <c r="C15" s="64"/>
      <c r="D15" s="13">
        <f t="shared" si="0"/>
        <v>0</v>
      </c>
      <c r="E15" s="59">
        <v>1</v>
      </c>
      <c r="F15" s="60">
        <f>-D15*E15</f>
        <v>0</v>
      </c>
    </row>
    <row r="16" spans="1:6">
      <c r="A16" s="57" t="s">
        <v>371</v>
      </c>
      <c r="B16" s="64"/>
      <c r="C16" s="64"/>
      <c r="D16" s="13">
        <f t="shared" si="0"/>
        <v>0</v>
      </c>
      <c r="E16" s="59">
        <v>1</v>
      </c>
      <c r="F16" s="60">
        <f>-D16*E16</f>
        <v>0</v>
      </c>
    </row>
    <row r="17" spans="1:6" outlineLevel="1">
      <c r="A17" s="103" t="s">
        <v>219</v>
      </c>
      <c r="B17" s="64"/>
      <c r="C17" s="64"/>
      <c r="D17" s="13">
        <f t="shared" si="0"/>
        <v>0</v>
      </c>
      <c r="E17" s="89">
        <v>0.25</v>
      </c>
      <c r="F17" s="60">
        <f t="shared" si="1"/>
        <v>0</v>
      </c>
    </row>
    <row r="18" spans="1:6" outlineLevel="1">
      <c r="A18" s="103" t="s">
        <v>219</v>
      </c>
      <c r="B18" s="64"/>
      <c r="C18" s="64"/>
      <c r="D18" s="13">
        <f t="shared" si="0"/>
        <v>0</v>
      </c>
      <c r="E18" s="89">
        <v>0.25</v>
      </c>
      <c r="F18" s="60">
        <f t="shared" si="1"/>
        <v>0</v>
      </c>
    </row>
    <row r="19" spans="1:6" outlineLevel="1">
      <c r="A19" s="103" t="s">
        <v>219</v>
      </c>
      <c r="B19" s="64"/>
      <c r="C19" s="64"/>
      <c r="D19" s="13">
        <f t="shared" si="0"/>
        <v>0</v>
      </c>
      <c r="E19" s="89">
        <v>0.25</v>
      </c>
      <c r="F19" s="60">
        <f t="shared" si="1"/>
        <v>0</v>
      </c>
    </row>
    <row r="20" spans="1:6" outlineLevel="1">
      <c r="A20" s="103" t="s">
        <v>219</v>
      </c>
      <c r="B20" s="64"/>
      <c r="C20" s="64"/>
      <c r="D20" s="13">
        <f t="shared" si="0"/>
        <v>0</v>
      </c>
      <c r="E20" s="89">
        <v>0.25</v>
      </c>
      <c r="F20" s="60">
        <f t="shared" si="1"/>
        <v>0</v>
      </c>
    </row>
    <row r="21" spans="1:6" outlineLevel="1">
      <c r="A21" s="103" t="s">
        <v>219</v>
      </c>
      <c r="B21" s="64"/>
      <c r="C21" s="64"/>
      <c r="D21" s="13">
        <f t="shared" si="0"/>
        <v>0</v>
      </c>
      <c r="E21" s="89">
        <v>0.25</v>
      </c>
      <c r="F21" s="60">
        <f t="shared" si="1"/>
        <v>0</v>
      </c>
    </row>
    <row r="22" spans="1:6" outlineLevel="1">
      <c r="A22" s="103" t="s">
        <v>219</v>
      </c>
      <c r="B22" s="64"/>
      <c r="C22" s="64"/>
      <c r="D22" s="13">
        <f t="shared" si="0"/>
        <v>0</v>
      </c>
      <c r="E22" s="89">
        <v>0.25</v>
      </c>
      <c r="F22" s="60">
        <f t="shared" si="1"/>
        <v>0</v>
      </c>
    </row>
    <row r="23" spans="1:6" outlineLevel="1">
      <c r="A23" s="103" t="s">
        <v>219</v>
      </c>
      <c r="B23" s="64"/>
      <c r="C23" s="64"/>
      <c r="D23" s="13">
        <f t="shared" si="0"/>
        <v>0</v>
      </c>
      <c r="E23" s="89">
        <v>0.25</v>
      </c>
      <c r="F23" s="60">
        <f t="shared" si="1"/>
        <v>0</v>
      </c>
    </row>
    <row r="24" spans="1:6" outlineLevel="1">
      <c r="A24" s="103" t="s">
        <v>219</v>
      </c>
      <c r="B24" s="64"/>
      <c r="C24" s="64"/>
      <c r="D24" s="13">
        <f t="shared" si="0"/>
        <v>0</v>
      </c>
      <c r="E24" s="89">
        <v>0.25</v>
      </c>
      <c r="F24" s="60">
        <f t="shared" si="1"/>
        <v>0</v>
      </c>
    </row>
    <row r="25" spans="1:6" outlineLevel="1">
      <c r="A25" s="103" t="s">
        <v>219</v>
      </c>
      <c r="B25" s="64"/>
      <c r="C25" s="64"/>
      <c r="D25" s="13">
        <f t="shared" si="0"/>
        <v>0</v>
      </c>
      <c r="E25" s="89">
        <v>0.25</v>
      </c>
      <c r="F25" s="60">
        <f t="shared" si="1"/>
        <v>0</v>
      </c>
    </row>
    <row r="26" spans="1:6" outlineLevel="1">
      <c r="A26" s="103" t="s">
        <v>219</v>
      </c>
      <c r="B26" s="64"/>
      <c r="C26" s="64"/>
      <c r="D26" s="13">
        <f t="shared" si="0"/>
        <v>0</v>
      </c>
      <c r="E26" s="89">
        <v>0.25</v>
      </c>
      <c r="F26" s="60">
        <f t="shared" si="1"/>
        <v>0</v>
      </c>
    </row>
    <row r="27" spans="1:6">
      <c r="A27" s="103" t="s">
        <v>219</v>
      </c>
      <c r="B27" s="64"/>
      <c r="C27" s="64"/>
      <c r="D27" s="13">
        <f t="shared" si="0"/>
        <v>0</v>
      </c>
      <c r="E27" s="89">
        <v>0.25</v>
      </c>
      <c r="F27" s="60">
        <f t="shared" si="1"/>
        <v>0</v>
      </c>
    </row>
    <row r="28" spans="1:6">
      <c r="A28" s="100" t="s">
        <v>121</v>
      </c>
      <c r="B28" s="58">
        <f>-'Ratios Sheet - combined'!B24*100000</f>
        <v>0</v>
      </c>
      <c r="C28" s="58">
        <f>-'Ratios Sheet - combined'!D24*100000</f>
        <v>0</v>
      </c>
      <c r="D28" s="13">
        <f t="shared" si="0"/>
        <v>0</v>
      </c>
      <c r="E28" s="59">
        <v>1</v>
      </c>
      <c r="F28" s="60">
        <f t="shared" si="1"/>
        <v>0</v>
      </c>
    </row>
    <row r="29" spans="1:6" ht="15">
      <c r="A29" s="5" t="s">
        <v>93</v>
      </c>
      <c r="B29" s="1304"/>
      <c r="C29" s="1304"/>
      <c r="D29" s="1304"/>
      <c r="E29" s="1304"/>
      <c r="F29" s="13">
        <f>SUM(F4:F28)</f>
        <v>0</v>
      </c>
    </row>
    <row r="30" spans="1:6">
      <c r="A30" s="210" t="s">
        <v>94</v>
      </c>
      <c r="B30" s="1299"/>
      <c r="C30" s="1299"/>
      <c r="D30" s="1299"/>
      <c r="E30" s="210"/>
      <c r="F30" s="13">
        <f>F29/12</f>
        <v>0</v>
      </c>
    </row>
    <row r="31" spans="1:6">
      <c r="A31" s="189" t="s">
        <v>415</v>
      </c>
      <c r="B31" s="1299"/>
      <c r="C31" s="1299"/>
      <c r="D31" s="1299"/>
      <c r="E31" s="210"/>
      <c r="F31" s="203" t="str">
        <f>IF(ISNUMBER(SEARCH("Top",'Variant Inputs &amp; Comparison'!B6,1)),'Variant Inputs &amp; Comparison'!B7,"")</f>
        <v/>
      </c>
    </row>
    <row r="32" spans="1:6">
      <c r="A32" s="210" t="s">
        <v>95</v>
      </c>
      <c r="B32" s="1305"/>
      <c r="C32" s="1305"/>
      <c r="D32" s="1305"/>
      <c r="E32" s="210"/>
      <c r="F32" s="13">
        <f>E76</f>
        <v>0</v>
      </c>
    </row>
    <row r="33" spans="1:7" ht="28.5">
      <c r="A33" s="6" t="s">
        <v>96</v>
      </c>
      <c r="B33" s="1299"/>
      <c r="C33" s="1299"/>
      <c r="D33" s="1299"/>
      <c r="E33" s="210"/>
      <c r="F33" s="65">
        <v>0</v>
      </c>
    </row>
    <row r="34" spans="1:7">
      <c r="A34" s="210" t="s">
        <v>97</v>
      </c>
      <c r="B34" s="1299"/>
      <c r="C34" s="1299"/>
      <c r="D34" s="1299"/>
      <c r="E34" s="210"/>
      <c r="F34" s="7">
        <f>F30*F33-F32</f>
        <v>0</v>
      </c>
    </row>
    <row r="35" spans="1:7">
      <c r="A35" s="210" t="s">
        <v>98</v>
      </c>
      <c r="B35" s="1299"/>
      <c r="C35" s="1299"/>
      <c r="D35" s="1299"/>
      <c r="E35" s="210"/>
      <c r="F35" s="66">
        <v>0</v>
      </c>
    </row>
    <row r="36" spans="1:7">
      <c r="A36" s="210" t="s">
        <v>99</v>
      </c>
      <c r="B36" s="1299"/>
      <c r="C36" s="1299"/>
      <c r="D36" s="1299"/>
      <c r="E36" s="210"/>
      <c r="F36" s="65">
        <v>0</v>
      </c>
      <c r="G36" s="758">
        <f>IF('Variant Inputs &amp; Comparison'!B6="Home Loan",9,10.5)</f>
        <v>10.5</v>
      </c>
    </row>
    <row r="37" spans="1:7">
      <c r="A37" s="210" t="s">
        <v>100</v>
      </c>
      <c r="B37" s="1299"/>
      <c r="C37" s="1299"/>
      <c r="D37" s="1299"/>
      <c r="E37" s="210"/>
      <c r="F37" s="8" t="e">
        <f>PMT(F36/12,F35,-100000)</f>
        <v>#NUM!</v>
      </c>
    </row>
    <row r="38" spans="1:7" ht="15">
      <c r="A38" s="210" t="s">
        <v>144</v>
      </c>
      <c r="B38" s="1299"/>
      <c r="C38" s="1299"/>
      <c r="D38" s="1299"/>
      <c r="E38" s="9"/>
      <c r="F38" s="8" t="e">
        <f>F34/F37-0.01</f>
        <v>#NUM!</v>
      </c>
    </row>
    <row r="39" spans="1:7" ht="15">
      <c r="A39" s="1300" t="s">
        <v>101</v>
      </c>
      <c r="B39" s="1300"/>
      <c r="C39" s="1300"/>
      <c r="D39" s="1300"/>
      <c r="E39" s="1300"/>
      <c r="F39" s="1300"/>
    </row>
    <row r="40" spans="1:7">
      <c r="A40" s="210" t="s">
        <v>98</v>
      </c>
      <c r="B40" s="1299"/>
      <c r="C40" s="1299"/>
      <c r="D40" s="1299"/>
      <c r="E40" s="1299"/>
      <c r="F40" s="10">
        <f>F35</f>
        <v>0</v>
      </c>
    </row>
    <row r="41" spans="1:7">
      <c r="A41" s="210" t="s">
        <v>102</v>
      </c>
      <c r="B41" s="1299"/>
      <c r="C41" s="1299"/>
      <c r="D41" s="1299"/>
      <c r="E41" s="1299"/>
      <c r="F41" s="11">
        <f>+F36</f>
        <v>0</v>
      </c>
    </row>
    <row r="42" spans="1:7">
      <c r="A42" s="210" t="s">
        <v>103</v>
      </c>
      <c r="B42" s="1299"/>
      <c r="C42" s="1299"/>
      <c r="D42" s="1299"/>
      <c r="E42" s="1299"/>
      <c r="F42" s="67">
        <v>0</v>
      </c>
    </row>
    <row r="43" spans="1:7">
      <c r="A43" s="210" t="s">
        <v>104</v>
      </c>
      <c r="B43" s="1299"/>
      <c r="C43" s="1299"/>
      <c r="D43" s="1299"/>
      <c r="E43" s="1299"/>
      <c r="F43" s="7" t="e">
        <f>ROUNDUP(F42*F37,0)</f>
        <v>#NUM!</v>
      </c>
    </row>
    <row r="44" spans="1:7">
      <c r="A44" s="210" t="s">
        <v>105</v>
      </c>
      <c r="B44" s="1302"/>
      <c r="C44" s="1302"/>
      <c r="D44" s="1302"/>
      <c r="E44" s="1302"/>
      <c r="F44" s="101" t="e">
        <f>(F43+F32)/F30</f>
        <v>#NUM!</v>
      </c>
    </row>
    <row r="45" spans="1:7" hidden="1">
      <c r="A45" s="12" t="s">
        <v>106</v>
      </c>
      <c r="B45" s="1302"/>
      <c r="C45" s="1302"/>
      <c r="D45" s="1302"/>
      <c r="E45" s="1302"/>
      <c r="F45" s="61">
        <v>0.45</v>
      </c>
    </row>
    <row r="46" spans="1:7">
      <c r="A46" s="12" t="s">
        <v>107</v>
      </c>
      <c r="B46" s="1299"/>
      <c r="C46" s="1299"/>
      <c r="D46" s="1299"/>
      <c r="E46" s="1299"/>
      <c r="F46" s="64">
        <v>0</v>
      </c>
    </row>
    <row r="47" spans="1:7">
      <c r="A47" s="12" t="s">
        <v>414</v>
      </c>
      <c r="B47" s="1299"/>
      <c r="C47" s="1299"/>
      <c r="D47" s="1299"/>
      <c r="E47" s="1299"/>
      <c r="F47" s="101" t="e">
        <f>F42/F46</f>
        <v>#DIV/0!</v>
      </c>
    </row>
    <row r="48" spans="1:7">
      <c r="A48" s="12" t="s">
        <v>413</v>
      </c>
      <c r="B48" s="1299"/>
      <c r="C48" s="1299"/>
      <c r="D48" s="1299"/>
      <c r="E48" s="1299"/>
      <c r="F48" s="101" t="e">
        <f>IF(ISNUMBER(SEARCH("Top",'Variant Inputs &amp; Comparison'!B6,1)),(F42+'Variant Inputs &amp; Comparison'!B7)/Eligibility!F46,F42/Eligibility!F46)</f>
        <v>#DIV/0!</v>
      </c>
    </row>
    <row r="49" spans="1:8">
      <c r="A49" s="12" t="s">
        <v>108</v>
      </c>
      <c r="B49" s="1301"/>
      <c r="C49" s="1301"/>
      <c r="D49" s="1301"/>
      <c r="E49" s="1301"/>
      <c r="F49" s="101" t="e">
        <f>F47+F44</f>
        <v>#DIV/0!</v>
      </c>
    </row>
    <row r="50" spans="1:8">
      <c r="A50" s="62"/>
      <c r="B50" s="62"/>
      <c r="C50" s="62"/>
      <c r="D50" s="62"/>
      <c r="E50" s="62"/>
      <c r="G50" s="63"/>
      <c r="H50" s="63"/>
    </row>
    <row r="51" spans="1:8">
      <c r="A51" s="1291" t="s">
        <v>448</v>
      </c>
      <c r="B51" s="1292"/>
      <c r="C51" s="1292"/>
      <c r="D51" s="1292"/>
      <c r="E51" s="1292"/>
      <c r="F51" s="1292"/>
      <c r="G51" s="1292"/>
      <c r="H51" s="1292"/>
    </row>
    <row r="52" spans="1:8" ht="15">
      <c r="A52" s="744" t="s">
        <v>109</v>
      </c>
      <c r="B52" s="744" t="s">
        <v>110</v>
      </c>
      <c r="C52" s="744" t="s">
        <v>111</v>
      </c>
      <c r="D52" s="744" t="s">
        <v>112</v>
      </c>
      <c r="E52" s="744" t="s">
        <v>113</v>
      </c>
      <c r="F52" s="745" t="s">
        <v>449</v>
      </c>
      <c r="G52" s="745" t="s">
        <v>114</v>
      </c>
      <c r="H52" s="745" t="s">
        <v>450</v>
      </c>
    </row>
    <row r="53" spans="1:8" ht="15">
      <c r="A53" s="68"/>
      <c r="B53" s="69"/>
      <c r="C53" s="69"/>
      <c r="D53" s="69"/>
      <c r="E53" s="69"/>
      <c r="F53" s="69"/>
      <c r="G53" s="71"/>
      <c r="H53" s="746" t="str">
        <f>IF(D53-F53&lt;=12,"No","Yes")</f>
        <v>No</v>
      </c>
    </row>
    <row r="54" spans="1:8" ht="15" outlineLevel="1">
      <c r="A54" s="102"/>
      <c r="B54" s="70"/>
      <c r="C54" s="69"/>
      <c r="D54" s="69"/>
      <c r="E54" s="69"/>
      <c r="F54" s="69"/>
      <c r="G54" s="71"/>
      <c r="H54" s="746" t="str">
        <f t="shared" ref="H54:H62" si="2">IF(D54-F54&lt;=12,"No","Yes")</f>
        <v>No</v>
      </c>
    </row>
    <row r="55" spans="1:8" ht="15" outlineLevel="1">
      <c r="A55" s="102"/>
      <c r="B55" s="70"/>
      <c r="C55" s="69"/>
      <c r="D55" s="69"/>
      <c r="E55" s="69"/>
      <c r="F55" s="69"/>
      <c r="G55" s="71"/>
      <c r="H55" s="746" t="str">
        <f t="shared" si="2"/>
        <v>No</v>
      </c>
    </row>
    <row r="56" spans="1:8" ht="15" outlineLevel="1">
      <c r="A56" s="102"/>
      <c r="B56" s="70"/>
      <c r="C56" s="69"/>
      <c r="D56" s="69"/>
      <c r="E56" s="69"/>
      <c r="F56" s="69"/>
      <c r="G56" s="71"/>
      <c r="H56" s="746" t="str">
        <f t="shared" si="2"/>
        <v>No</v>
      </c>
    </row>
    <row r="57" spans="1:8" ht="15" outlineLevel="1">
      <c r="A57" s="102"/>
      <c r="B57" s="70"/>
      <c r="C57" s="69"/>
      <c r="D57" s="69"/>
      <c r="E57" s="69"/>
      <c r="F57" s="69"/>
      <c r="G57" s="71"/>
      <c r="H57" s="746" t="str">
        <f t="shared" si="2"/>
        <v>No</v>
      </c>
    </row>
    <row r="58" spans="1:8" ht="15" outlineLevel="1">
      <c r="A58" s="102"/>
      <c r="B58" s="70"/>
      <c r="C58" s="69"/>
      <c r="D58" s="69"/>
      <c r="E58" s="69"/>
      <c r="F58" s="69"/>
      <c r="G58" s="71"/>
      <c r="H58" s="746" t="str">
        <f t="shared" si="2"/>
        <v>No</v>
      </c>
    </row>
    <row r="59" spans="1:8" ht="15" outlineLevel="1">
      <c r="A59" s="102"/>
      <c r="B59" s="70"/>
      <c r="C59" s="69"/>
      <c r="D59" s="69"/>
      <c r="E59" s="69"/>
      <c r="F59" s="69"/>
      <c r="G59" s="71"/>
      <c r="H59" s="746" t="str">
        <f t="shared" si="2"/>
        <v>No</v>
      </c>
    </row>
    <row r="60" spans="1:8" ht="15" outlineLevel="1">
      <c r="A60" s="102"/>
      <c r="B60" s="70"/>
      <c r="C60" s="69"/>
      <c r="D60" s="69"/>
      <c r="E60" s="69"/>
      <c r="F60" s="69"/>
      <c r="G60" s="71"/>
      <c r="H60" s="746" t="str">
        <f t="shared" si="2"/>
        <v>No</v>
      </c>
    </row>
    <row r="61" spans="1:8" ht="15" outlineLevel="1">
      <c r="A61" s="102"/>
      <c r="B61" s="70"/>
      <c r="C61" s="69"/>
      <c r="D61" s="69"/>
      <c r="E61" s="69"/>
      <c r="F61" s="69"/>
      <c r="G61" s="71"/>
      <c r="H61" s="746" t="str">
        <f t="shared" si="2"/>
        <v>No</v>
      </c>
    </row>
    <row r="62" spans="1:8" ht="15" outlineLevel="1">
      <c r="A62" s="102"/>
      <c r="B62" s="70"/>
      <c r="C62" s="69"/>
      <c r="D62" s="69"/>
      <c r="E62" s="69"/>
      <c r="F62" s="69"/>
      <c r="G62" s="71"/>
      <c r="H62" s="746" t="str">
        <f t="shared" si="2"/>
        <v>No</v>
      </c>
    </row>
    <row r="63" spans="1:8">
      <c r="A63" s="1289" t="s">
        <v>447</v>
      </c>
      <c r="B63" s="1290"/>
      <c r="C63" s="1290"/>
      <c r="D63" s="1290"/>
      <c r="E63" s="1290"/>
      <c r="F63" s="1290"/>
      <c r="G63" s="1290"/>
      <c r="H63" s="1290"/>
    </row>
    <row r="64" spans="1:8" ht="15">
      <c r="A64" s="744" t="s">
        <v>109</v>
      </c>
      <c r="B64" s="744" t="s">
        <v>110</v>
      </c>
      <c r="C64" s="744" t="s">
        <v>111</v>
      </c>
      <c r="D64" s="744" t="s">
        <v>112</v>
      </c>
      <c r="E64" s="744" t="s">
        <v>113</v>
      </c>
      <c r="F64" s="745" t="s">
        <v>449</v>
      </c>
      <c r="G64" s="745" t="s">
        <v>114</v>
      </c>
      <c r="H64" s="745" t="s">
        <v>450</v>
      </c>
    </row>
    <row r="65" spans="1:9">
      <c r="A65" s="102"/>
      <c r="B65" s="102"/>
      <c r="C65" s="102"/>
      <c r="D65" s="69"/>
      <c r="E65" s="102"/>
      <c r="F65" s="69"/>
      <c r="G65" s="102"/>
      <c r="H65" s="746" t="str">
        <f t="shared" ref="H65:H75" si="3">IF(D65-F65&lt;=12,"No","Yes")</f>
        <v>No</v>
      </c>
      <c r="I65" s="56">
        <f>E65*(12-F65)/12</f>
        <v>0</v>
      </c>
    </row>
    <row r="66" spans="1:9" outlineLevel="1">
      <c r="A66" s="102"/>
      <c r="B66" s="102"/>
      <c r="C66" s="102"/>
      <c r="D66" s="69"/>
      <c r="E66" s="102"/>
      <c r="F66" s="69"/>
      <c r="G66" s="102"/>
      <c r="H66" s="746" t="str">
        <f t="shared" si="3"/>
        <v>No</v>
      </c>
      <c r="I66" s="56">
        <f t="shared" ref="I66:I75" si="4">E66*(12-F66)/12</f>
        <v>0</v>
      </c>
    </row>
    <row r="67" spans="1:9" outlineLevel="1">
      <c r="A67" s="102"/>
      <c r="B67" s="102"/>
      <c r="C67" s="102"/>
      <c r="D67" s="69"/>
      <c r="E67" s="102"/>
      <c r="F67" s="69"/>
      <c r="G67" s="102"/>
      <c r="H67" s="746" t="str">
        <f t="shared" si="3"/>
        <v>No</v>
      </c>
      <c r="I67" s="56">
        <f t="shared" si="4"/>
        <v>0</v>
      </c>
    </row>
    <row r="68" spans="1:9" outlineLevel="1">
      <c r="A68" s="102"/>
      <c r="B68" s="102"/>
      <c r="C68" s="102"/>
      <c r="D68" s="69"/>
      <c r="E68" s="102"/>
      <c r="F68" s="69"/>
      <c r="G68" s="102"/>
      <c r="H68" s="746" t="str">
        <f t="shared" si="3"/>
        <v>No</v>
      </c>
      <c r="I68" s="56">
        <f t="shared" si="4"/>
        <v>0</v>
      </c>
    </row>
    <row r="69" spans="1:9" outlineLevel="1">
      <c r="A69" s="102"/>
      <c r="B69" s="102"/>
      <c r="C69" s="102"/>
      <c r="D69" s="69"/>
      <c r="E69" s="102"/>
      <c r="F69" s="69"/>
      <c r="G69" s="102"/>
      <c r="H69" s="746" t="str">
        <f t="shared" si="3"/>
        <v>No</v>
      </c>
      <c r="I69" s="56">
        <f t="shared" si="4"/>
        <v>0</v>
      </c>
    </row>
    <row r="70" spans="1:9" outlineLevel="1">
      <c r="A70" s="102"/>
      <c r="B70" s="102"/>
      <c r="C70" s="102"/>
      <c r="D70" s="69"/>
      <c r="E70" s="102"/>
      <c r="F70" s="69"/>
      <c r="G70" s="102"/>
      <c r="H70" s="746" t="str">
        <f t="shared" si="3"/>
        <v>No</v>
      </c>
      <c r="I70" s="56">
        <f t="shared" si="4"/>
        <v>0</v>
      </c>
    </row>
    <row r="71" spans="1:9" outlineLevel="1">
      <c r="A71" s="102"/>
      <c r="B71" s="102"/>
      <c r="C71" s="102"/>
      <c r="D71" s="69"/>
      <c r="E71" s="102"/>
      <c r="F71" s="69"/>
      <c r="G71" s="102"/>
      <c r="H71" s="746" t="str">
        <f t="shared" si="3"/>
        <v>No</v>
      </c>
      <c r="I71" s="56">
        <f t="shared" si="4"/>
        <v>0</v>
      </c>
    </row>
    <row r="72" spans="1:9" outlineLevel="1">
      <c r="A72" s="102"/>
      <c r="B72" s="102"/>
      <c r="C72" s="102"/>
      <c r="D72" s="69"/>
      <c r="E72" s="102"/>
      <c r="F72" s="69"/>
      <c r="G72" s="102"/>
      <c r="H72" s="746" t="str">
        <f t="shared" si="3"/>
        <v>No</v>
      </c>
      <c r="I72" s="56">
        <f t="shared" si="4"/>
        <v>0</v>
      </c>
    </row>
    <row r="73" spans="1:9" outlineLevel="1">
      <c r="A73" s="102"/>
      <c r="B73" s="102"/>
      <c r="C73" s="102"/>
      <c r="D73" s="69"/>
      <c r="E73" s="102"/>
      <c r="F73" s="69"/>
      <c r="G73" s="102"/>
      <c r="H73" s="746" t="str">
        <f t="shared" si="3"/>
        <v>No</v>
      </c>
      <c r="I73" s="56">
        <f t="shared" si="4"/>
        <v>0</v>
      </c>
    </row>
    <row r="74" spans="1:9" outlineLevel="1">
      <c r="A74" s="102"/>
      <c r="B74" s="102"/>
      <c r="C74" s="102"/>
      <c r="D74" s="69"/>
      <c r="E74" s="102"/>
      <c r="F74" s="69"/>
      <c r="G74" s="102"/>
      <c r="H74" s="746" t="str">
        <f t="shared" si="3"/>
        <v>No</v>
      </c>
      <c r="I74" s="56">
        <f t="shared" si="4"/>
        <v>0</v>
      </c>
    </row>
    <row r="75" spans="1:9" outlineLevel="1">
      <c r="A75" s="102"/>
      <c r="B75" s="102"/>
      <c r="C75" s="102"/>
      <c r="D75" s="69"/>
      <c r="E75" s="102"/>
      <c r="F75" s="69"/>
      <c r="G75" s="102"/>
      <c r="H75" s="746" t="str">
        <f t="shared" si="3"/>
        <v>No</v>
      </c>
      <c r="I75" s="56">
        <f t="shared" si="4"/>
        <v>0</v>
      </c>
    </row>
    <row r="76" spans="1:9" ht="15">
      <c r="A76" s="747"/>
      <c r="B76" s="747"/>
      <c r="C76" s="747"/>
      <c r="D76" s="747"/>
      <c r="E76" s="748">
        <f>SUMIF(H53:H75,"Yes",E53:E75)</f>
        <v>0</v>
      </c>
      <c r="F76" s="747"/>
      <c r="G76" s="748">
        <f>+SUM(G53:G74)</f>
        <v>0</v>
      </c>
      <c r="H76" s="748"/>
      <c r="I76" s="56">
        <f>SUM(I65:I75)</f>
        <v>0</v>
      </c>
    </row>
    <row r="77" spans="1:9" ht="15">
      <c r="A77" s="1296" t="s">
        <v>216</v>
      </c>
      <c r="B77" s="1297"/>
      <c r="C77" s="1297"/>
      <c r="D77" s="1297"/>
      <c r="E77" s="1297"/>
      <c r="F77" s="1297"/>
      <c r="G77" s="1298"/>
      <c r="H77" s="194"/>
    </row>
    <row r="78" spans="1:9">
      <c r="A78" s="1293">
        <v>1</v>
      </c>
      <c r="B78" s="1294"/>
      <c r="C78" s="1294"/>
      <c r="D78" s="1294"/>
      <c r="E78" s="1294"/>
      <c r="F78" s="1294"/>
      <c r="G78" s="1295"/>
      <c r="H78" s="204"/>
    </row>
    <row r="79" spans="1:9">
      <c r="A79" s="1293">
        <v>2</v>
      </c>
      <c r="B79" s="1294"/>
      <c r="C79" s="1294"/>
      <c r="D79" s="1294"/>
      <c r="E79" s="1294"/>
      <c r="F79" s="1294"/>
      <c r="G79" s="1295"/>
      <c r="H79" s="204"/>
    </row>
    <row r="80" spans="1:9">
      <c r="A80" s="1293">
        <v>3</v>
      </c>
      <c r="B80" s="1294"/>
      <c r="C80" s="1294"/>
      <c r="D80" s="1294"/>
      <c r="E80" s="1294"/>
      <c r="F80" s="1294"/>
      <c r="G80" s="1295"/>
      <c r="H80" s="204"/>
    </row>
    <row r="81" spans="1:8">
      <c r="A81" s="1293">
        <v>4</v>
      </c>
      <c r="B81" s="1294"/>
      <c r="C81" s="1294"/>
      <c r="D81" s="1294"/>
      <c r="E81" s="1294"/>
      <c r="F81" s="1294"/>
      <c r="G81" s="1295"/>
      <c r="H81" s="204"/>
    </row>
    <row r="82" spans="1:8">
      <c r="A82" s="1293">
        <v>5</v>
      </c>
      <c r="B82" s="1294"/>
      <c r="C82" s="1294"/>
      <c r="D82" s="1294"/>
      <c r="E82" s="1294"/>
      <c r="F82" s="1294"/>
      <c r="G82" s="1295"/>
      <c r="H82" s="204"/>
    </row>
    <row r="83" spans="1:8">
      <c r="A83" s="1293">
        <v>6</v>
      </c>
      <c r="B83" s="1294"/>
      <c r="C83" s="1294"/>
      <c r="D83" s="1294"/>
      <c r="E83" s="1294"/>
      <c r="F83" s="1294"/>
      <c r="G83" s="1295"/>
      <c r="H83" s="204"/>
    </row>
    <row r="84" spans="1:8">
      <c r="A84" s="1293">
        <v>7</v>
      </c>
      <c r="B84" s="1294"/>
      <c r="C84" s="1294"/>
      <c r="D84" s="1294"/>
      <c r="E84" s="1294"/>
      <c r="F84" s="1294"/>
      <c r="G84" s="1295"/>
      <c r="H84" s="204"/>
    </row>
    <row r="85" spans="1:8">
      <c r="A85" s="1293">
        <v>8</v>
      </c>
      <c r="B85" s="1294"/>
      <c r="C85" s="1294"/>
      <c r="D85" s="1294"/>
      <c r="E85" s="1294"/>
      <c r="F85" s="1294"/>
      <c r="G85" s="1295"/>
      <c r="H85" s="204"/>
    </row>
    <row r="86" spans="1:8">
      <c r="A86" s="1293">
        <v>9</v>
      </c>
      <c r="B86" s="1294"/>
      <c r="C86" s="1294"/>
      <c r="D86" s="1294"/>
      <c r="E86" s="1294"/>
      <c r="F86" s="1294"/>
      <c r="G86" s="1295"/>
      <c r="H86" s="204"/>
    </row>
    <row r="87" spans="1:8">
      <c r="A87" s="1293">
        <v>10</v>
      </c>
      <c r="B87" s="1294"/>
      <c r="C87" s="1294"/>
      <c r="D87" s="1294"/>
      <c r="E87" s="1294"/>
      <c r="F87" s="1294"/>
      <c r="G87" s="1295"/>
      <c r="H87" s="204"/>
    </row>
  </sheetData>
  <sheetProtection algorithmName="SHA-512" hashValue="FKuYwB2kINLQCVLj4bFvJVO+fpTyvdzP1y0stx8suh6Q/V1GLYI2r/Jq45vJpr6TIdsQx5JbS0RDSmSktRGZVw==" saltValue="z+L70h0IgQ9dnvbbd/jxHA==" spinCount="100000" sheet="1" formatCells="0" formatColumns="0" formatRows="0" insertColumns="0" insertRows="0" insertHyperlinks="0" autoFilter="0" pivotTables="0"/>
  <mergeCells count="36">
    <mergeCell ref="A1:F1"/>
    <mergeCell ref="B29:E29"/>
    <mergeCell ref="B30:D30"/>
    <mergeCell ref="B32:D32"/>
    <mergeCell ref="B33:D33"/>
    <mergeCell ref="B3:C3"/>
    <mergeCell ref="B31:D31"/>
    <mergeCell ref="B34:D34"/>
    <mergeCell ref="B36:D36"/>
    <mergeCell ref="A39:F39"/>
    <mergeCell ref="B49:E49"/>
    <mergeCell ref="B41:E41"/>
    <mergeCell ref="B43:E43"/>
    <mergeCell ref="B42:E42"/>
    <mergeCell ref="B44:E44"/>
    <mergeCell ref="B47:E47"/>
    <mergeCell ref="B46:E46"/>
    <mergeCell ref="B35:D35"/>
    <mergeCell ref="B40:E40"/>
    <mergeCell ref="B37:D37"/>
    <mergeCell ref="B45:E45"/>
    <mergeCell ref="B38:D38"/>
    <mergeCell ref="B48:E48"/>
    <mergeCell ref="A63:H63"/>
    <mergeCell ref="A51:H51"/>
    <mergeCell ref="A87:G87"/>
    <mergeCell ref="A77:G77"/>
    <mergeCell ref="A78:G78"/>
    <mergeCell ref="A79:G79"/>
    <mergeCell ref="A80:G80"/>
    <mergeCell ref="A81:G81"/>
    <mergeCell ref="A82:G82"/>
    <mergeCell ref="A83:G83"/>
    <mergeCell ref="A84:G84"/>
    <mergeCell ref="A85:G85"/>
    <mergeCell ref="A86:G86"/>
  </mergeCells>
  <phoneticPr fontId="0" type="noConversion"/>
  <conditionalFormatting sqref="F50">
    <cfRule type="containsText" dxfId="166" priority="1" stopIfTrue="1" operator="containsText" text="Policy Breached for LTV + FOIR">
      <formula>NOT(ISERROR(SEARCH("Policy Breached for LTV + FOIR",F50)))</formula>
    </cfRule>
  </conditionalFormatting>
  <dataValidations count="3">
    <dataValidation operator="equal" showInputMessage="1" showErrorMessage="1" errorTitle="Not Allowed" error="Click on the Link to enter POS in Variant Input &amp; Comparison sheet" sqref="F31" xr:uid="{00000000-0002-0000-0600-000000000000}"/>
    <dataValidation type="whole" allowBlank="1" showInputMessage="1" showErrorMessage="1" sqref="F65:F75" xr:uid="{00000000-0002-0000-0600-000001000000}">
      <formula1>1</formula1>
      <formula2>12</formula2>
    </dataValidation>
    <dataValidation type="whole" operator="greaterThan" allowBlank="1" showInputMessage="1" showErrorMessage="1" sqref="F53:F62" xr:uid="{00000000-0002-0000-0600-000002000000}">
      <formula1>12</formula1>
    </dataValidation>
  </dataValidations>
  <hyperlinks>
    <hyperlink ref="A31" location="'Variant Inputs &amp; Comparison'!B7" display="If Topup, Click here to enter" xr:uid="{00000000-0004-0000-0600-000000000000}"/>
  </hyperlinks>
  <pageMargins left="0.78749999999999998" right="0.78749999999999998" top="1.0249999999999999" bottom="1.0249999999999999" header="0.78749999999999998" footer="0.78749999999999998"/>
  <pageSetup scale="49" firstPageNumber="0" orientation="portrait" horizontalDpi="300" verticalDpi="300" r:id="rId1"/>
  <headerFooter alignWithMargins="0">
    <oddHeader>&amp;C&amp;"Arial,Regular"&amp;10&amp;A</oddHeader>
    <oddFooter>&amp;C&amp;"Arial,Regular"&amp;10Page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C00000"/>
  </sheetPr>
  <dimension ref="A1:G27"/>
  <sheetViews>
    <sheetView workbookViewId="0">
      <selection activeCell="B6" sqref="B6"/>
    </sheetView>
  </sheetViews>
  <sheetFormatPr defaultColWidth="9" defaultRowHeight="14.25" zeroHeight="1"/>
  <cols>
    <col min="1" max="1" width="36.75" style="56" customWidth="1"/>
    <col min="2" max="2" width="34.875" style="56" bestFit="1" customWidth="1"/>
    <col min="3" max="3" width="29" style="56" customWidth="1"/>
    <col min="4" max="4" width="22.625" style="56" customWidth="1"/>
    <col min="5" max="5" width="28" style="56" bestFit="1" customWidth="1"/>
    <col min="6" max="6" width="28.5" style="56" customWidth="1"/>
    <col min="7" max="7" width="33.25" style="56" customWidth="1"/>
    <col min="8" max="16384" width="9" style="56"/>
  </cols>
  <sheetData>
    <row r="1" spans="1:7">
      <c r="A1" s="1308" t="s">
        <v>345</v>
      </c>
      <c r="B1" s="1309"/>
      <c r="E1" s="1308" t="s">
        <v>573</v>
      </c>
      <c r="F1" s="1309"/>
    </row>
    <row r="2" spans="1:7" ht="15">
      <c r="A2" s="32" t="s">
        <v>218</v>
      </c>
      <c r="B2" s="32" t="s">
        <v>217</v>
      </c>
      <c r="E2" s="32" t="s">
        <v>218</v>
      </c>
      <c r="F2" s="32" t="s">
        <v>217</v>
      </c>
    </row>
    <row r="3" spans="1:7">
      <c r="A3" s="75" t="s">
        <v>278</v>
      </c>
      <c r="B3" s="180"/>
      <c r="E3" s="175" t="s">
        <v>352</v>
      </c>
      <c r="F3" s="213" t="s">
        <v>563</v>
      </c>
      <c r="G3" s="56" t="str">
        <f>VLOOKUP(F3,'Express BT - Non Home'!IT:IX,5,0)</f>
        <v>Rate drop cannot be more than 2%</v>
      </c>
    </row>
    <row r="4" spans="1:7">
      <c r="A4" s="75" t="s">
        <v>174</v>
      </c>
      <c r="B4" s="180"/>
      <c r="E4" s="175" t="s">
        <v>242</v>
      </c>
      <c r="F4" s="213"/>
    </row>
    <row r="5" spans="1:7">
      <c r="A5" s="166" t="s">
        <v>132</v>
      </c>
      <c r="B5" s="180"/>
      <c r="E5" s="175" t="s">
        <v>243</v>
      </c>
      <c r="F5" s="213"/>
      <c r="G5" s="56">
        <f>IF(B6="Home Loan",IF(F6&gt;=VLOOKUP(F3,'Express BT - Non Home'!IV10:IW35,2,0),VLOOKUP(F3,'Express BT - Non Home'!IV10:IW35,2,0),VLOOKUP(F3,'Express BT - Non Home'!IV10:IW35,2,0)),IF(ISERROR(VLOOKUP(F3,'Express BT - Non Home'!IT10:IU41,2,0)),"",IF(F6&gt;=VLOOKUP(F3,'Express BT - Non Home'!IT10:IU41,2,0),VLOOKUP(F3,'Express BT - Non Home'!IT10:IU41,2,0),VLOOKUP(F3,'Express BT - Non Home'!IT10:IU41,2,0))))</f>
        <v>24</v>
      </c>
    </row>
    <row r="6" spans="1:7">
      <c r="A6" s="166" t="s">
        <v>175</v>
      </c>
      <c r="B6" s="102"/>
      <c r="E6" s="175" t="s">
        <v>247</v>
      </c>
      <c r="F6" s="213"/>
      <c r="G6" s="56" t="str">
        <f>IF(B6="Home Loan",IF(F6&gt;=VLOOKUP(F3,'Express BT - Non Home'!IV10:IW35,2,0),"","Cannot be done under Express BT"),IF(ISERROR(VLOOKUP(F3,'Express BT - Non Home'!IT10:IU41,2,0)),"",IF(F6&gt;=VLOOKUP(F3,'Express BT - Non Home'!IT10:IU41,2,0),"","Cannot be done under Express BT")))</f>
        <v>Cannot be done under Express BT</v>
      </c>
    </row>
    <row r="7" spans="1:7">
      <c r="A7" s="167" t="s">
        <v>187</v>
      </c>
      <c r="B7" s="180"/>
      <c r="C7" s="190" t="s">
        <v>416</v>
      </c>
      <c r="E7" s="175" t="s">
        <v>360</v>
      </c>
      <c r="F7" s="213"/>
    </row>
    <row r="8" spans="1:7">
      <c r="A8" s="167" t="s">
        <v>490</v>
      </c>
      <c r="B8" s="180"/>
      <c r="E8" s="175" t="s">
        <v>361</v>
      </c>
      <c r="F8" s="213"/>
    </row>
    <row r="9" spans="1:7">
      <c r="A9" s="75" t="s">
        <v>353</v>
      </c>
      <c r="B9" s="180"/>
      <c r="E9" s="175" t="s">
        <v>354</v>
      </c>
      <c r="F9" s="213"/>
    </row>
    <row r="10" spans="1:7">
      <c r="E10" s="175" t="s">
        <v>488</v>
      </c>
      <c r="F10" s="215"/>
    </row>
    <row r="11" spans="1:7">
      <c r="E11" s="224" t="s">
        <v>489</v>
      </c>
      <c r="F11" s="213"/>
    </row>
    <row r="12" spans="1:7"/>
    <row r="13" spans="1:7" ht="28.5">
      <c r="A13" s="169" t="s">
        <v>386</v>
      </c>
      <c r="B13" s="176" t="e">
        <f>'GTP - Eligibility'!B11</f>
        <v>#NUM!</v>
      </c>
    </row>
    <row r="14" spans="1:7">
      <c r="A14" s="46" t="s">
        <v>177</v>
      </c>
      <c r="B14" s="177" t="e">
        <f>IF('GTP - Eligibility'!B12&lt;10,"Loan amount less than norms",'GTP - Eligibility'!B12)</f>
        <v>#NUM!</v>
      </c>
      <c r="C14" s="178" t="s">
        <v>338</v>
      </c>
    </row>
    <row r="15" spans="1:7">
      <c r="A15" s="46" t="s">
        <v>335</v>
      </c>
      <c r="B15" s="177" t="e">
        <f>IF('GTP - Eligibility'!B20&lt;10,"Loan amount less than norms",'GTP - Eligibility'!B20)</f>
        <v>#NUM!</v>
      </c>
      <c r="C15" s="178"/>
    </row>
    <row r="16" spans="1:7">
      <c r="A16" s="46"/>
      <c r="B16" s="177"/>
      <c r="C16" s="178"/>
    </row>
    <row r="17" spans="1:7">
      <c r="A17" s="46" t="s">
        <v>532</v>
      </c>
      <c r="B17" s="214" t="e">
        <f>IF(IF(B6="Home Loan",'Express BT - Non Home'!B35,'Express BT - Non Home'!B29)&lt;10,"Loan amount less than norms",IF(B6="Home Loan",'Express BT - Non Home'!B35,'Express BT - Non Home'!B29))</f>
        <v>#NUM!</v>
      </c>
      <c r="C17" s="178" t="s">
        <v>339</v>
      </c>
    </row>
    <row r="18" spans="1:7">
      <c r="A18" s="46" t="s">
        <v>337</v>
      </c>
      <c r="B18" s="214" t="e">
        <f>IF(MAX('Express BT - Non Home'!B30,'Express BT - Non Home'!B31)&lt;10,"Loan amount less than norms",MIN('Express BT - Non Home'!#REF!,'Express BT - Non Home'!B31))</f>
        <v>#N/A</v>
      </c>
      <c r="C18" s="178"/>
    </row>
    <row r="19" spans="1:7">
      <c r="A19" s="46"/>
      <c r="B19" s="177"/>
      <c r="C19" s="178"/>
    </row>
    <row r="20" spans="1:7">
      <c r="A20" s="46"/>
      <c r="B20" s="177"/>
      <c r="C20" s="178"/>
    </row>
    <row r="21" spans="1:7">
      <c r="A21" s="46" t="s">
        <v>334</v>
      </c>
      <c r="B21" s="179" t="str">
        <f>IF('Banking product- Eligibility'!B34&lt;10,"Loan amount less than norms",IF('Banking product- Eligibility'!B34="NA","Not Eligible at RAAC",'Banking product- Eligibility'!B34))</f>
        <v>Not Eligible at RAAC</v>
      </c>
      <c r="C21" s="178" t="s">
        <v>340</v>
      </c>
      <c r="D21" s="1310" t="str">
        <f>'Daily-Balance'!A1</f>
        <v>Banking of OD/CC account to be put only for GTP/ Express BT. For Banking Product, revised sheet shall be sent</v>
      </c>
      <c r="E21" s="1311"/>
      <c r="F21" s="1311"/>
      <c r="G21" s="1311"/>
    </row>
    <row r="22" spans="1:7" ht="15" customHeight="1">
      <c r="A22" s="46" t="s">
        <v>336</v>
      </c>
      <c r="B22" s="179" t="str">
        <f>IF(MAX('Banking product- Eligibility'!B35,'Banking product- Eligibility'!B36,'Banking product- Eligibility'!B37,'Banking product- Eligibility'!A32)&lt;10,"Loan amount less than norms",MAX('Banking product- Eligibility'!B35,'Banking product- Eligibility'!B36,'Banking product- Eligibility'!B37,'Banking product- Eligibility'!A32))</f>
        <v>Loan amount less than norms</v>
      </c>
      <c r="C22" s="178"/>
    </row>
    <row r="23" spans="1:7">
      <c r="B23" s="179"/>
    </row>
    <row r="24" spans="1:7" ht="15" customHeight="1">
      <c r="A24" s="201" t="s">
        <v>460</v>
      </c>
      <c r="B24" s="179" t="str">
        <f>IF('Empower HL &amp; NRP'!B36&lt;10,"Loan amount less than norms",IF('Empower HL &amp; NRP'!B36="NA","",'Empower HL &amp; NRP'!B36))</f>
        <v/>
      </c>
      <c r="C24" s="202" t="s">
        <v>466</v>
      </c>
    </row>
    <row r="25" spans="1:7" ht="15" customHeight="1">
      <c r="A25" s="201" t="s">
        <v>461</v>
      </c>
      <c r="B25" s="179" t="str">
        <f>IF(MAX('Empower HL &amp; NRP'!B36:B40)&lt;10,"Loan amount less than norms",MAX('Empower HL &amp; NRP'!B36:B40))</f>
        <v>Loan amount less than norms</v>
      </c>
      <c r="C25" s="175"/>
    </row>
    <row r="26" spans="1:7" ht="15" customHeight="1"/>
    <row r="27" spans="1:7" ht="15" customHeight="1"/>
  </sheetData>
  <sheetProtection algorithmName="SHA-512" hashValue="68+uYKcyRg71VNhVPAPIu4AokOIatBx5tP1CBTpoEKhybDsytCgOf7tLkvUgB4nWsiniUI+o4UWldza38wbWTA==" saltValue="+Xhlw7PtlIPDqzvWQcifjg==" spinCount="100000" sheet="1" formatCells="0" formatColumns="0" formatRows="0"/>
  <mergeCells count="3">
    <mergeCell ref="E1:F1"/>
    <mergeCell ref="A1:B1"/>
    <mergeCell ref="D21:G21"/>
  </mergeCells>
  <conditionalFormatting sqref="G6">
    <cfRule type="expression" dxfId="165" priority="8">
      <formula>$B$9="No"</formula>
    </cfRule>
  </conditionalFormatting>
  <conditionalFormatting sqref="E1:F9 E10:E11">
    <cfRule type="expression" dxfId="164" priority="3">
      <formula>$B$9="No"</formula>
    </cfRule>
  </conditionalFormatting>
  <conditionalFormatting sqref="F10:F11">
    <cfRule type="expression" dxfId="163" priority="2">
      <formula>$B$9="No"</formula>
    </cfRule>
  </conditionalFormatting>
  <dataValidations count="6">
    <dataValidation type="whole" allowBlank="1" showInputMessage="1" showErrorMessage="1" errorTitle="Only for Topup" error="Allowed only for Topup" sqref="B7" xr:uid="{00000000-0002-0000-0800-000000000000}">
      <formula1>IF(LEFT(B6,5)="Topup",0,50000000000000000)</formula1>
      <formula2>IF(LEFT(B6,5)="Topup",50000000000000000,0)</formula2>
    </dataValidation>
    <dataValidation type="list" allowBlank="1" showInputMessage="1" showErrorMessage="1" sqref="B9" xr:uid="{00000000-0002-0000-0800-000001000000}">
      <formula1>"Yes,No"</formula1>
    </dataValidation>
    <dataValidation type="whole" allowBlank="1" showInputMessage="1" showErrorMessage="1" sqref="B8" xr:uid="{00000000-0002-0000-0800-000002000000}">
      <formula1>IF(LEFT(B6,5)="Topup",12,50000000000000000)</formula1>
      <formula2>IF(LEFT(B6,5)="Topup",50000000000000000,0)</formula2>
    </dataValidation>
    <dataValidation type="whole" operator="lessThanOrEqual" allowBlank="1" showInputMessage="1" showErrorMessage="1" sqref="B4" xr:uid="{00000000-0002-0000-0800-000003000000}">
      <formula1>500</formula1>
    </dataValidation>
    <dataValidation type="whole" operator="lessThanOrEqual" allowBlank="1" showInputMessage="1" showErrorMessage="1" sqref="F11" xr:uid="{00000000-0002-0000-0800-000004000000}">
      <formula1>180</formula1>
    </dataValidation>
    <dataValidation type="whole" operator="greaterThanOrEqual" allowBlank="1" showInputMessage="1" showErrorMessage="1" errorTitle="Minimum Seasoning" error="Norms Not Met" sqref="F6" xr:uid="{00000000-0002-0000-0800-000005000000}">
      <formula1>G5</formula1>
    </dataValidation>
  </dataValidations>
  <hyperlinks>
    <hyperlink ref="C14:C16" location="'GTP - Eligibility'!A1" display="Go to GTP Sheet" xr:uid="{00000000-0004-0000-0800-000000000000}"/>
    <hyperlink ref="C17:C18" location="'Express BT'!A1" display="Go to Express BT Sheet" xr:uid="{00000000-0004-0000-0800-000001000000}"/>
    <hyperlink ref="C21:C30" location="'Banking product- Eligibility'!A1" display="Go to Banking Sheet" xr:uid="{00000000-0004-0000-0800-000002000000}"/>
    <hyperlink ref="C7" location="Eligibility!F33" display="Click to return to eligibilty sheet" xr:uid="{00000000-0004-0000-0800-000003000000}"/>
    <hyperlink ref="C24" location="'Empower HL &amp; NRP'!p" display="Go to Empower Sheet" xr:uid="{00000000-0004-0000-0800-000004000000}"/>
  </hyperlinks>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 id="{345FD02A-D6D0-4307-ACDF-F709149A1AC6}">
            <xm:f>COUNTIF('Daily-Balance'!$B$2:$P$2,"OD/CC")&gt;0</xm:f>
            <x14:dxf>
              <fill>
                <patternFill>
                  <bgColor rgb="FFFF0000"/>
                </patternFill>
              </fill>
            </x14:dxf>
          </x14:cfRule>
          <xm:sqref>D21</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00000000-0002-0000-0800-000006000000}">
          <x14:formula1>
            <xm:f>'GTP - Eligibility'!$AK$6:$AK$15</xm:f>
          </x14:formula1>
          <xm:sqref>B6</xm:sqref>
        </x14:dataValidation>
        <x14:dataValidation type="list" allowBlank="1" showInputMessage="1" showErrorMessage="1" xr:uid="{00000000-0002-0000-0800-000007000000}">
          <x14:formula1>
            <xm:f>'GTP - Eligibility'!$AI$6:$AI$8</xm:f>
          </x14:formula1>
          <xm:sqref>B5</xm:sqref>
        </x14:dataValidation>
        <x14:dataValidation type="list" allowBlank="1" showInputMessage="1" showErrorMessage="1" xr:uid="{00000000-0002-0000-0800-000008000000}">
          <x14:formula1>
            <xm:f>IF($B$6="Home Loan",'Express BT - Non Home'!$IV$10:$IV$35,'Express BT - Non Home'!$IT$10:$IT$35)</xm:f>
          </x14:formula1>
          <xm:sqref>F3</xm:sqref>
        </x14:dataValidation>
        <x14:dataValidation type="list" allowBlank="1" showInputMessage="1" showErrorMessage="1" xr:uid="{00000000-0002-0000-0800-000009000000}">
          <x14:formula1>
            <xm:f>'Banking product- Eligibility'!$IU$21:$IU$43</xm:f>
          </x14:formula1>
          <xm:sqref>B3</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C00000"/>
    <pageSetUpPr fitToPage="1"/>
  </sheetPr>
  <dimension ref="A1:IV86"/>
  <sheetViews>
    <sheetView topLeftCell="A11" workbookViewId="0">
      <selection activeCell="D22" sqref="D22"/>
    </sheetView>
  </sheetViews>
  <sheetFormatPr defaultColWidth="13.625" defaultRowHeight="15"/>
  <cols>
    <col min="1" max="1" width="48.75" style="114" customWidth="1"/>
    <col min="2" max="2" width="23" style="114" customWidth="1"/>
    <col min="3" max="3" width="13.875" style="114" customWidth="1"/>
    <col min="4" max="4" width="13" style="114" customWidth="1"/>
    <col min="5" max="5" width="10.125" style="114" customWidth="1"/>
    <col min="6" max="6" width="14" style="114" customWidth="1"/>
    <col min="7" max="7" width="76.125" style="157" customWidth="1"/>
    <col min="8" max="8" width="12.375" style="114" customWidth="1"/>
    <col min="9" max="250" width="10.125" style="114" customWidth="1"/>
    <col min="251" max="251" width="34.875" style="114" customWidth="1"/>
    <col min="252" max="252" width="37.375" style="114" customWidth="1"/>
    <col min="253" max="253" width="4.625" style="114" customWidth="1"/>
    <col min="254" max="254" width="17.75" style="114" customWidth="1"/>
    <col min="255" max="255" width="13.5" style="114" customWidth="1"/>
    <col min="256" max="16384" width="13.625" style="114"/>
  </cols>
  <sheetData>
    <row r="1" spans="1:256" hidden="1">
      <c r="A1" s="1332" t="s">
        <v>269</v>
      </c>
      <c r="B1" s="1333"/>
      <c r="C1" s="1333"/>
      <c r="D1" s="1333"/>
      <c r="E1" s="1333"/>
      <c r="F1" s="1333"/>
      <c r="G1" s="1334"/>
      <c r="IQ1" s="22"/>
    </row>
    <row r="2" spans="1:256" hidden="1">
      <c r="A2" s="1335" t="s">
        <v>270</v>
      </c>
      <c r="B2" s="1336"/>
      <c r="C2" s="1336"/>
      <c r="D2" s="1336"/>
      <c r="E2" s="1336"/>
      <c r="F2" s="1336"/>
      <c r="G2" s="1337"/>
      <c r="IQ2" s="22"/>
      <c r="IR2" s="114" t="s">
        <v>271</v>
      </c>
    </row>
    <row r="3" spans="1:256" ht="15.75" hidden="1">
      <c r="A3" s="115" t="s">
        <v>272</v>
      </c>
      <c r="B3" s="181">
        <f>IF('Variant Inputs &amp; Comparison'!B6="Home Loan",MIN(240,Eligibility!F35),MIN(180,Eligibility!F35))</f>
        <v>0</v>
      </c>
      <c r="C3" s="116"/>
      <c r="D3" s="116"/>
      <c r="E3" s="117"/>
      <c r="F3" s="117"/>
      <c r="G3" s="118"/>
      <c r="IQ3" s="22"/>
      <c r="IR3" s="114" t="s">
        <v>273</v>
      </c>
    </row>
    <row r="4" spans="1:256" ht="15.75" hidden="1">
      <c r="A4" s="119" t="s">
        <v>196</v>
      </c>
      <c r="B4" s="182">
        <f>Eligibility!F36</f>
        <v>0</v>
      </c>
      <c r="C4" s="116"/>
      <c r="D4" s="116"/>
      <c r="E4" s="117"/>
      <c r="F4" s="117"/>
      <c r="G4" s="118"/>
      <c r="IQ4" s="22"/>
      <c r="IR4" s="114" t="s">
        <v>274</v>
      </c>
    </row>
    <row r="5" spans="1:256" hidden="1">
      <c r="A5" s="211" t="s">
        <v>276</v>
      </c>
      <c r="B5" s="121" t="e">
        <f>PMT(B4/12,B3,-100000)</f>
        <v>#NUM!</v>
      </c>
      <c r="C5" s="116"/>
      <c r="D5" s="116"/>
      <c r="E5" s="117"/>
      <c r="F5" s="117"/>
      <c r="G5" s="118"/>
      <c r="IQ5" s="22"/>
    </row>
    <row r="6" spans="1:256" hidden="1">
      <c r="A6" s="211" t="s">
        <v>278</v>
      </c>
      <c r="B6" s="183">
        <f>'Variant Inputs &amp; Comparison'!B3</f>
        <v>0</v>
      </c>
      <c r="C6" s="116"/>
      <c r="D6" s="116"/>
      <c r="E6" s="117"/>
      <c r="F6" s="117"/>
      <c r="G6" s="118"/>
      <c r="IQ6" s="22"/>
      <c r="IU6" s="122"/>
      <c r="IV6" s="120"/>
    </row>
    <row r="7" spans="1:256" hidden="1">
      <c r="A7" s="211" t="s">
        <v>280</v>
      </c>
      <c r="B7" s="184">
        <f>Eligibility!F46*100000</f>
        <v>0</v>
      </c>
      <c r="C7" s="116"/>
      <c r="D7" s="116"/>
      <c r="E7" s="117"/>
      <c r="F7" s="117"/>
      <c r="G7" s="118"/>
      <c r="IQ7" s="22"/>
      <c r="IU7" s="122"/>
      <c r="IV7" s="120"/>
    </row>
    <row r="8" spans="1:256" hidden="1">
      <c r="A8" s="211" t="s">
        <v>175</v>
      </c>
      <c r="B8" s="183">
        <f>'Variant Inputs &amp; Comparison'!B6</f>
        <v>0</v>
      </c>
      <c r="C8" s="116"/>
      <c r="D8" s="116"/>
      <c r="E8" s="117"/>
      <c r="F8" s="117"/>
      <c r="G8" s="118"/>
      <c r="IQ8" s="22"/>
      <c r="IU8" s="122"/>
      <c r="IV8" s="120"/>
    </row>
    <row r="9" spans="1:256" hidden="1">
      <c r="A9" s="211" t="s">
        <v>281</v>
      </c>
      <c r="B9" s="183">
        <f>'Variant Inputs &amp; Comparison'!B7</f>
        <v>0</v>
      </c>
      <c r="C9" s="116"/>
      <c r="D9" s="116"/>
      <c r="E9" s="117"/>
      <c r="F9" s="117"/>
      <c r="G9" s="118"/>
      <c r="IQ9" s="23"/>
      <c r="IU9" s="122"/>
      <c r="IV9" s="120"/>
    </row>
    <row r="10" spans="1:256" hidden="1">
      <c r="A10" s="123"/>
      <c r="B10" s="124"/>
      <c r="C10" s="116"/>
      <c r="D10" s="116"/>
      <c r="E10" s="117"/>
      <c r="F10" s="117"/>
      <c r="G10" s="118"/>
      <c r="IQ10" s="23"/>
      <c r="IU10" s="122"/>
      <c r="IV10" s="120"/>
    </row>
    <row r="11" spans="1:256">
      <c r="A11" s="123"/>
      <c r="B11" s="124"/>
      <c r="C11" s="116"/>
      <c r="D11" s="116"/>
      <c r="E11" s="117"/>
      <c r="F11" s="117"/>
      <c r="G11" s="118"/>
      <c r="IQ11" s="23"/>
      <c r="IU11" s="122"/>
      <c r="IV11" s="120"/>
    </row>
    <row r="12" spans="1:256">
      <c r="A12" s="123"/>
      <c r="B12" s="124"/>
      <c r="C12" s="116"/>
      <c r="D12" s="116"/>
      <c r="E12" s="117"/>
      <c r="F12" s="117"/>
      <c r="G12" s="118"/>
      <c r="IQ12" s="23"/>
      <c r="IV12" s="120" t="s">
        <v>275</v>
      </c>
    </row>
    <row r="13" spans="1:256" ht="15.75" thickBot="1">
      <c r="A13" s="125"/>
      <c r="B13" s="126"/>
      <c r="C13" s="116"/>
      <c r="D13" s="116"/>
      <c r="E13" s="117"/>
      <c r="F13" s="117"/>
      <c r="G13" s="118"/>
      <c r="IU13" s="122" t="s">
        <v>277</v>
      </c>
      <c r="IV13" s="120" t="e">
        <f>+B5*100</f>
        <v>#NUM!</v>
      </c>
    </row>
    <row r="14" spans="1:256" ht="15.75">
      <c r="A14" s="1338" t="s">
        <v>283</v>
      </c>
      <c r="B14" s="1339"/>
      <c r="C14" s="160"/>
      <c r="D14" s="160"/>
      <c r="E14" s="160"/>
      <c r="F14" s="160"/>
      <c r="G14" s="161"/>
      <c r="IQ14" s="114" t="s">
        <v>284</v>
      </c>
      <c r="IR14" s="114" t="e">
        <f>VLOOKUP(TRIM(B6),IU:IV,2,0)</f>
        <v>#N/A</v>
      </c>
      <c r="IU14" s="114" t="s">
        <v>213</v>
      </c>
      <c r="IV14" s="129">
        <f>B21</f>
        <v>0</v>
      </c>
    </row>
    <row r="15" spans="1:256" ht="15.75">
      <c r="A15" s="1340" t="s">
        <v>285</v>
      </c>
      <c r="B15" s="1341"/>
      <c r="C15" s="128"/>
      <c r="D15" s="128"/>
      <c r="E15" s="128"/>
      <c r="F15" s="128"/>
      <c r="G15" s="118"/>
      <c r="IU15" s="114" t="s">
        <v>437</v>
      </c>
      <c r="IV15" s="129">
        <f>+IV14/2</f>
        <v>0</v>
      </c>
    </row>
    <row r="16" spans="1:256" ht="15.75">
      <c r="A16" s="119" t="s">
        <v>287</v>
      </c>
      <c r="B16" s="130">
        <f>'Credit Summation'!B19</f>
        <v>0</v>
      </c>
      <c r="C16" s="128"/>
      <c r="D16" s="128"/>
      <c r="E16" s="128"/>
      <c r="F16" s="128"/>
      <c r="G16" s="118"/>
      <c r="IU16" s="114" t="s">
        <v>438</v>
      </c>
      <c r="IV16" s="129">
        <f>+IV14/1.5</f>
        <v>0</v>
      </c>
    </row>
    <row r="17" spans="1:256" ht="15.75">
      <c r="A17" s="131" t="s">
        <v>289</v>
      </c>
      <c r="B17" s="132">
        <f>IF('Variant Inputs &amp; Comparison'!B5="Services",B16,B16/2)</f>
        <v>0</v>
      </c>
      <c r="C17" s="128"/>
      <c r="D17" s="128"/>
      <c r="E17" s="128"/>
      <c r="F17" s="128"/>
      <c r="G17" s="118"/>
      <c r="IV17" s="129"/>
    </row>
    <row r="18" spans="1:256">
      <c r="A18" s="133"/>
      <c r="B18" s="134"/>
      <c r="C18" s="128"/>
      <c r="D18" s="128"/>
      <c r="E18" s="128"/>
      <c r="F18" s="128"/>
      <c r="G18" s="118"/>
    </row>
    <row r="19" spans="1:256" ht="15.75">
      <c r="A19" s="1330" t="s">
        <v>291</v>
      </c>
      <c r="B19" s="1331"/>
      <c r="C19" s="128"/>
      <c r="D19" s="128"/>
      <c r="E19" s="128"/>
      <c r="F19" s="128"/>
      <c r="G19" s="118"/>
      <c r="IT19" s="135" t="e">
        <f>IF(p&gt;A,2,1.5)</f>
        <v>#NUM!</v>
      </c>
      <c r="IU19" s="136">
        <v>5</v>
      </c>
      <c r="IV19" s="136" t="e">
        <f>+IV14/IU13</f>
        <v>#VALUE!</v>
      </c>
    </row>
    <row r="20" spans="1:256" ht="15.75">
      <c r="A20" s="131" t="s">
        <v>292</v>
      </c>
      <c r="B20" s="132" t="e">
        <f>IT19</f>
        <v>#NUM!</v>
      </c>
      <c r="C20" s="128"/>
      <c r="D20" s="128"/>
      <c r="E20" s="128"/>
      <c r="F20" s="128"/>
      <c r="G20" s="118"/>
    </row>
    <row r="21" spans="1:256" ht="15.75">
      <c r="A21" s="137" t="s">
        <v>293</v>
      </c>
      <c r="B21" s="132">
        <f>IF('Variant Inputs &amp; Comparison'!B9="Yes",'Daily-Balance'!B23,'Daily-Balance'!B22)</f>
        <v>0</v>
      </c>
      <c r="C21" s="128"/>
      <c r="D21" s="128"/>
      <c r="E21" s="128"/>
      <c r="F21" s="128"/>
      <c r="G21" s="118"/>
      <c r="IQ21" s="22" t="s">
        <v>155</v>
      </c>
      <c r="IR21" s="114">
        <v>0</v>
      </c>
      <c r="IU21" s="114" t="s">
        <v>294</v>
      </c>
      <c r="IV21" s="114">
        <v>300</v>
      </c>
    </row>
    <row r="22" spans="1:256" ht="15.75">
      <c r="A22" s="131" t="s">
        <v>295</v>
      </c>
      <c r="B22" s="132" t="e">
        <f>+B21/B20</f>
        <v>#NUM!</v>
      </c>
      <c r="C22" s="128"/>
      <c r="D22" s="128"/>
      <c r="E22" s="128"/>
      <c r="F22" s="128"/>
      <c r="G22" s="118"/>
      <c r="IQ22" s="22" t="s">
        <v>156</v>
      </c>
      <c r="IR22" s="114">
        <v>0</v>
      </c>
      <c r="IU22" s="114" t="s">
        <v>296</v>
      </c>
      <c r="IV22" s="114">
        <v>300</v>
      </c>
    </row>
    <row r="23" spans="1:256" ht="15.75">
      <c r="A23" s="131" t="s">
        <v>245</v>
      </c>
      <c r="B23" s="132" t="e">
        <f>(B22/B5)*100000</f>
        <v>#NUM!</v>
      </c>
      <c r="C23" s="128"/>
      <c r="D23" s="128"/>
      <c r="E23" s="128"/>
      <c r="F23" s="128"/>
      <c r="G23" s="118"/>
      <c r="IQ23" s="22" t="s">
        <v>166</v>
      </c>
      <c r="IR23" s="114">
        <v>0.55000000000000004</v>
      </c>
      <c r="IU23" s="114" t="s">
        <v>297</v>
      </c>
      <c r="IV23" s="114">
        <v>300</v>
      </c>
    </row>
    <row r="24" spans="1:256">
      <c r="A24" s="133"/>
      <c r="B24" s="134"/>
      <c r="C24" s="128"/>
      <c r="D24" s="128"/>
      <c r="E24" s="128"/>
      <c r="F24" s="128"/>
      <c r="G24" s="118"/>
      <c r="IQ24" s="22" t="s">
        <v>165</v>
      </c>
      <c r="IR24" s="114">
        <v>0.55000000000000004</v>
      </c>
      <c r="IU24" s="114" t="s">
        <v>418</v>
      </c>
      <c r="IV24" s="114">
        <v>300</v>
      </c>
    </row>
    <row r="25" spans="1:256" ht="15.75">
      <c r="A25" s="1330" t="s">
        <v>202</v>
      </c>
      <c r="B25" s="1331"/>
      <c r="C25" s="128"/>
      <c r="D25" s="128"/>
      <c r="E25" s="128"/>
      <c r="F25" s="128"/>
      <c r="G25" s="118"/>
      <c r="IQ25" s="23" t="s">
        <v>157</v>
      </c>
      <c r="IR25" s="114">
        <v>0.6</v>
      </c>
      <c r="IU25" s="114" t="s">
        <v>419</v>
      </c>
      <c r="IV25" s="114">
        <v>300</v>
      </c>
    </row>
    <row r="26" spans="1:256" ht="15.75">
      <c r="A26" s="131" t="s">
        <v>300</v>
      </c>
      <c r="B26" s="132" t="e">
        <f>IR41</f>
        <v>#N/A</v>
      </c>
      <c r="C26" s="128"/>
      <c r="D26" s="128"/>
      <c r="E26" s="128"/>
      <c r="F26" s="128"/>
      <c r="G26" s="118"/>
      <c r="IQ26" s="22" t="s">
        <v>186</v>
      </c>
      <c r="IR26" s="114">
        <v>0</v>
      </c>
      <c r="IU26" s="114" t="s">
        <v>298</v>
      </c>
      <c r="IV26" s="114">
        <v>300</v>
      </c>
    </row>
    <row r="27" spans="1:256">
      <c r="A27" s="1316"/>
      <c r="B27" s="1317"/>
      <c r="C27" s="128"/>
      <c r="D27" s="128"/>
      <c r="E27" s="138"/>
      <c r="F27" s="128"/>
      <c r="G27" s="118"/>
      <c r="ID27" s="139"/>
      <c r="IQ27" s="22" t="s">
        <v>183</v>
      </c>
      <c r="IR27" s="114">
        <v>0</v>
      </c>
      <c r="IU27" s="114" t="s">
        <v>299</v>
      </c>
      <c r="IV27" s="114">
        <v>300</v>
      </c>
    </row>
    <row r="28" spans="1:256" ht="15.75">
      <c r="A28" s="192" t="s">
        <v>303</v>
      </c>
      <c r="B28" s="140" t="e">
        <f>MIN(B23/100000,B17/100000,B26/100000)</f>
        <v>#NUM!</v>
      </c>
      <c r="C28" s="117" t="e">
        <f>IF(B20=1.5,MIN(B28,100),MIN(300,B28))</f>
        <v>#NUM!</v>
      </c>
      <c r="D28" s="128"/>
      <c r="E28" s="128"/>
      <c r="F28" s="128"/>
      <c r="G28" s="118"/>
      <c r="IQ28" s="22" t="s">
        <v>184</v>
      </c>
      <c r="IR28" s="114">
        <v>0</v>
      </c>
      <c r="IU28" s="114" t="s">
        <v>301</v>
      </c>
      <c r="IV28" s="114">
        <v>300</v>
      </c>
    </row>
    <row r="29" spans="1:256" ht="15.75">
      <c r="A29" s="192" t="s">
        <v>432</v>
      </c>
      <c r="B29" s="140" t="e">
        <f>MIN(B23/100000,B17/100000,IR50/100000)</f>
        <v>#NUM!</v>
      </c>
      <c r="C29" s="117" t="e">
        <f>IF(B20=1.5,MIN(B29,100),MIN(400,B29))</f>
        <v>#NUM!</v>
      </c>
      <c r="D29" s="128"/>
      <c r="E29" s="128"/>
      <c r="F29" s="128"/>
      <c r="G29" s="118"/>
      <c r="IQ29" s="22" t="s">
        <v>185</v>
      </c>
      <c r="IR29" s="114">
        <v>0</v>
      </c>
      <c r="IU29" s="114" t="s">
        <v>420</v>
      </c>
      <c r="IV29" s="114">
        <v>300</v>
      </c>
    </row>
    <row r="30" spans="1:256" ht="30">
      <c r="A30" s="192" t="s">
        <v>477</v>
      </c>
      <c r="B30" s="140" t="e">
        <f>MIN(B23/100000,B17/100000,IR53/100000)</f>
        <v>#NUM!</v>
      </c>
      <c r="C30" s="117" t="e">
        <f>IF(B20=1.5,MIN(B30,100),MIN(500,B30))</f>
        <v>#NUM!</v>
      </c>
      <c r="D30" s="128"/>
      <c r="E30" s="128"/>
      <c r="F30" s="128"/>
      <c r="G30" s="118"/>
      <c r="IQ30" s="23" t="s">
        <v>206</v>
      </c>
      <c r="IR30" s="114">
        <v>0</v>
      </c>
      <c r="IU30" s="114" t="s">
        <v>421</v>
      </c>
      <c r="IV30" s="114">
        <v>300</v>
      </c>
    </row>
    <row r="31" spans="1:256">
      <c r="A31" s="128"/>
      <c r="B31" s="128"/>
      <c r="C31" s="128"/>
      <c r="D31" s="128"/>
      <c r="E31" s="128"/>
      <c r="F31" s="128"/>
      <c r="G31" s="118"/>
      <c r="IQ31" s="23" t="s">
        <v>208</v>
      </c>
      <c r="IR31" s="114">
        <v>0</v>
      </c>
      <c r="IU31" s="114" t="s">
        <v>302</v>
      </c>
      <c r="IV31" s="114">
        <v>300</v>
      </c>
    </row>
    <row r="32" spans="1:256">
      <c r="A32" s="128" t="s">
        <v>430</v>
      </c>
      <c r="C32" s="128"/>
      <c r="D32" s="128"/>
      <c r="E32" s="128"/>
      <c r="F32" s="128"/>
      <c r="G32" s="118"/>
      <c r="IQ32" s="23" t="s">
        <v>207</v>
      </c>
      <c r="IR32" s="114">
        <v>0</v>
      </c>
      <c r="IU32" s="114" t="s">
        <v>304</v>
      </c>
      <c r="IV32" s="114">
        <v>300</v>
      </c>
    </row>
    <row r="33" spans="1:256">
      <c r="A33" s="128" t="s">
        <v>431</v>
      </c>
      <c r="B33" s="138"/>
      <c r="C33" s="138"/>
      <c r="D33" s="138"/>
      <c r="E33" s="138"/>
      <c r="F33" s="138"/>
      <c r="G33" s="118"/>
      <c r="IQ33" s="23"/>
      <c r="IU33" s="114" t="s">
        <v>305</v>
      </c>
      <c r="IV33" s="114">
        <v>300</v>
      </c>
    </row>
    <row r="34" spans="1:256" ht="15.75" thickBot="1">
      <c r="A34" s="128"/>
      <c r="B34" s="138"/>
      <c r="C34" s="138"/>
      <c r="D34" s="138"/>
      <c r="E34" s="138"/>
      <c r="F34" s="138"/>
      <c r="G34" s="118"/>
      <c r="IQ34" s="23"/>
      <c r="IU34" s="114" t="s">
        <v>309</v>
      </c>
      <c r="IV34" s="114">
        <v>300</v>
      </c>
    </row>
    <row r="35" spans="1:256" ht="15.95" customHeight="1" thickBot="1">
      <c r="A35" s="141" t="s">
        <v>306</v>
      </c>
      <c r="B35" s="197" t="s">
        <v>128</v>
      </c>
      <c r="C35" s="1318" t="s">
        <v>454</v>
      </c>
      <c r="D35" s="1319"/>
      <c r="E35" s="1319" t="s">
        <v>308</v>
      </c>
      <c r="F35" s="1319"/>
      <c r="G35" s="118"/>
      <c r="IU35" s="114" t="s">
        <v>310</v>
      </c>
      <c r="IV35" s="114">
        <v>300</v>
      </c>
    </row>
    <row r="36" spans="1:256" ht="15.75">
      <c r="A36" s="162" t="s">
        <v>266</v>
      </c>
      <c r="B36" s="196" t="str">
        <f>IF(ISNUMBER(VLOOKUP('Variant Inputs &amp; Comparison'!B6,'Empower HL &amp; NRP'!$IQ$23:$IR$25,2,0)),IF('Credit Summation'!R58="RAAC",MIN(IR14,C28),"NA"),"NA")</f>
        <v>NA</v>
      </c>
      <c r="C36" s="142"/>
      <c r="D36" s="142"/>
      <c r="E36" s="142"/>
      <c r="F36" s="142"/>
      <c r="G36" s="118"/>
      <c r="IU36" s="114" t="s">
        <v>311</v>
      </c>
      <c r="IV36" s="114">
        <v>300</v>
      </c>
    </row>
    <row r="37" spans="1:256" ht="15.75">
      <c r="A37" s="162" t="s">
        <v>453</v>
      </c>
      <c r="B37" s="140" t="str">
        <f>IF(ISNUMBER(VLOOKUP('Variant Inputs &amp; Comparison'!B6,'Empower HL &amp; NRP'!$IQ$23:$IR$25,2,0)),IF(OR('Credit Summation'!R59="L2",'Credit Summation'!R58="RAAC"),MIN(IR14,C28),"NA"),"NA")</f>
        <v>NA</v>
      </c>
      <c r="C37" s="1320"/>
      <c r="D37" s="1321"/>
      <c r="E37" s="1320"/>
      <c r="F37" s="1321"/>
      <c r="G37" s="118"/>
      <c r="IU37" s="114" t="s">
        <v>312</v>
      </c>
      <c r="IV37" s="114">
        <v>300</v>
      </c>
    </row>
    <row r="38" spans="1:256" ht="15.75">
      <c r="A38" s="162" t="s">
        <v>267</v>
      </c>
      <c r="B38" s="140" t="str">
        <f>IF(ISNUMBER(VLOOKUP('Variant Inputs &amp; Comparison'!B6,'Empower HL &amp; NRP'!$IQ$23:$IR$25,2,0)),IF(OR('Credit Summation'!R59="L2",'Credit Summation'!R58="RAAC",'Credit Summation'!R60="L2P"),MIN(C29,300),"NA"),"NA")</f>
        <v>NA</v>
      </c>
      <c r="C38" s="1322" t="str">
        <f>IF(B38="NA","NA",IF(B38&gt;IR14,"Yes","No"))</f>
        <v>NA</v>
      </c>
      <c r="D38" s="1322"/>
      <c r="E38" s="1323" t="str">
        <f>IF(ISERROR(B16/(B38*100000)),"NA",B16/(B38*100000))</f>
        <v>NA</v>
      </c>
      <c r="F38" s="1323"/>
      <c r="G38" s="118"/>
      <c r="IU38" s="114" t="s">
        <v>313</v>
      </c>
      <c r="IV38" s="114">
        <v>300</v>
      </c>
    </row>
    <row r="39" spans="1:256" ht="15.75">
      <c r="A39" s="162" t="s">
        <v>268</v>
      </c>
      <c r="B39" s="140" t="str">
        <f>IF(ISNUMBER(VLOOKUP('Variant Inputs &amp; Comparison'!B6,'Empower HL &amp; NRP'!$IQ$23:$IR$25,2,0)),IF(OR('Credit Summation'!R59="L2",'Credit Summation'!R58="RAAC",'Credit Summation'!R60="L2P",'Credit Summation'!R61="L1"),MIN(C29,400),"NA"),"NA")</f>
        <v>NA</v>
      </c>
      <c r="C39" s="1324" t="str">
        <f>IF(B39="NA","NA",IF(B39&gt;IR14,"Yes","No"))</f>
        <v>NA</v>
      </c>
      <c r="D39" s="1318"/>
      <c r="E39" s="1325" t="str">
        <f>IF(ISERROR(B16/(B39*100000)),"NA",B16/(B39*100000))</f>
        <v>NA</v>
      </c>
      <c r="F39" s="1326"/>
      <c r="G39" s="118"/>
      <c r="IU39" s="114" t="s">
        <v>315</v>
      </c>
      <c r="IV39" s="114">
        <v>300</v>
      </c>
    </row>
    <row r="40" spans="1:256" ht="15.75">
      <c r="A40" s="162" t="s">
        <v>478</v>
      </c>
      <c r="B40" s="140" t="str">
        <f>IF(ISNUMBER(VLOOKUP('Variant Inputs &amp; Comparison'!B6,'Empower HL &amp; NRP'!$IQ$23:$IR$25,2,0)),IF(OR('Credit Summation'!R59="L2",'Credit Summation'!R58="RAAC",'Credit Summation'!R60="L2P",'Credit Summation'!R61="L1"),MIN(C30,500),"NA"),"NA")</f>
        <v>NA</v>
      </c>
      <c r="C40" s="1319" t="str">
        <f>IF(B40="NA","NA",IF(B40&gt;IR14,"Yes","No"))</f>
        <v>NA</v>
      </c>
      <c r="D40" s="1319"/>
      <c r="E40" s="1323" t="str">
        <f>IF(ISERROR(B16/(B40*100000)),"NA",B16/(B40*100000))</f>
        <v>NA</v>
      </c>
      <c r="F40" s="1323"/>
      <c r="G40" s="118"/>
      <c r="IQ40" s="114" t="s">
        <v>317</v>
      </c>
      <c r="IR40" s="193" t="e">
        <f>IF(B3&gt;120,IF(ISERROR(SEARCH("Home",B8,1)),VLOOKUP(B8,IQ21:IR33,2,0),VLOOKUP(B8,IQ21:IR33,2,0)),VLOOKUP(B8,IQ21:IR33,2,0))</f>
        <v>#N/A</v>
      </c>
      <c r="IU40" s="114" t="s">
        <v>316</v>
      </c>
      <c r="IV40" s="114">
        <v>300</v>
      </c>
    </row>
    <row r="41" spans="1:256">
      <c r="A41" s="141"/>
      <c r="B41" s="128"/>
      <c r="C41" s="128"/>
      <c r="D41" s="128"/>
      <c r="E41" s="128"/>
      <c r="F41" s="128"/>
      <c r="G41" s="118"/>
      <c r="IQ41" s="114" t="s">
        <v>319</v>
      </c>
      <c r="IR41" s="114" t="e">
        <f>IF(LEFT(B8,5)="Topup",IR40*B7-B9,IR40*B7)</f>
        <v>#N/A</v>
      </c>
      <c r="IU41" s="114" t="s">
        <v>318</v>
      </c>
      <c r="IV41" s="114">
        <v>300</v>
      </c>
    </row>
    <row r="42" spans="1:256" ht="30">
      <c r="A42" s="162" t="s">
        <v>193</v>
      </c>
      <c r="B42" s="143" t="s">
        <v>167</v>
      </c>
      <c r="C42" s="128"/>
      <c r="D42" s="128"/>
      <c r="E42" s="128"/>
      <c r="F42" s="128"/>
      <c r="G42" s="118"/>
      <c r="IQ42" s="114" t="s">
        <v>321</v>
      </c>
      <c r="IR42" s="146">
        <f>B17</f>
        <v>0</v>
      </c>
      <c r="IU42" s="114" t="s">
        <v>320</v>
      </c>
      <c r="IV42" s="114">
        <v>300</v>
      </c>
    </row>
    <row r="43" spans="1:256">
      <c r="A43" s="141"/>
      <c r="B43" s="128"/>
      <c r="C43" s="128"/>
      <c r="D43" s="128"/>
      <c r="E43" s="128"/>
      <c r="F43" s="128"/>
      <c r="G43" s="118"/>
      <c r="IR43" s="146" t="e">
        <f>MIN(IR41,IR42)</f>
        <v>#N/A</v>
      </c>
      <c r="IU43" s="114" t="s">
        <v>279</v>
      </c>
      <c r="IV43" s="114">
        <v>300</v>
      </c>
    </row>
    <row r="44" spans="1:256">
      <c r="A44" s="1327" t="s">
        <v>194</v>
      </c>
      <c r="B44" s="1328"/>
      <c r="C44" s="1329"/>
      <c r="D44" s="128"/>
      <c r="E44" s="128"/>
      <c r="F44" s="128"/>
      <c r="G44" s="118"/>
    </row>
    <row r="45" spans="1:256" ht="15.75">
      <c r="A45" s="162" t="s">
        <v>455</v>
      </c>
      <c r="B45" s="144">
        <v>90</v>
      </c>
      <c r="C45" s="170"/>
      <c r="D45" s="128"/>
      <c r="E45" s="128"/>
      <c r="F45" s="128"/>
      <c r="G45" s="118"/>
    </row>
    <row r="46" spans="1:256" ht="15.75">
      <c r="A46" s="162" t="s">
        <v>195</v>
      </c>
      <c r="B46" s="187">
        <f>B3</f>
        <v>0</v>
      </c>
      <c r="C46" s="170"/>
      <c r="D46" s="128"/>
      <c r="E46" s="128"/>
      <c r="F46" s="128"/>
      <c r="G46" s="118"/>
    </row>
    <row r="47" spans="1:256" ht="15.75">
      <c r="A47" s="162" t="s">
        <v>196</v>
      </c>
      <c r="B47" s="147">
        <f>B4</f>
        <v>0</v>
      </c>
      <c r="C47" s="145"/>
      <c r="D47" s="128"/>
      <c r="E47" s="128"/>
      <c r="F47" s="128"/>
      <c r="G47" s="118"/>
    </row>
    <row r="48" spans="1:256" ht="15.75">
      <c r="A48" s="162" t="s">
        <v>113</v>
      </c>
      <c r="B48" s="148" t="e">
        <f>PMT(B47/12,B46,-B45*100000)</f>
        <v>#NUM!</v>
      </c>
      <c r="C48" s="145"/>
      <c r="D48" s="128"/>
      <c r="E48" s="128"/>
      <c r="F48" s="128"/>
      <c r="G48" s="118"/>
    </row>
    <row r="49" spans="1:252" ht="15.75">
      <c r="A49" s="162" t="s">
        <v>322</v>
      </c>
      <c r="B49" s="148" t="e">
        <f>B21/B48</f>
        <v>#NUM!</v>
      </c>
      <c r="C49" s="145"/>
      <c r="D49" s="128"/>
      <c r="E49" s="128"/>
      <c r="F49" s="128"/>
      <c r="G49" s="118"/>
      <c r="IQ49" s="114" t="s">
        <v>428</v>
      </c>
      <c r="IR49" s="114" t="e">
        <f>IF(B3&gt;120,IF(ISERROR(SEARCH("Home",B8,1)),VLOOKUP(B8,IQ21:IR33,2,0)+0.05,VLOOKUP(B8,IQ21:IR33,2,0)+0.05),VLOOKUP(B8,IQ21:IR33,2,0)+0.05)</f>
        <v>#N/A</v>
      </c>
    </row>
    <row r="50" spans="1:252" ht="15.75">
      <c r="A50" s="162" t="s">
        <v>323</v>
      </c>
      <c r="B50" s="148">
        <f>IF(ISERROR(B16/(B45*100000)),"NA",B16/(B45*100000))</f>
        <v>0</v>
      </c>
      <c r="C50" s="149" t="str">
        <f>IF(B50&lt;2,"NFA at L1","")</f>
        <v>NFA at L1</v>
      </c>
      <c r="D50" s="128"/>
      <c r="E50" s="128"/>
      <c r="F50" s="128"/>
      <c r="G50" s="118"/>
      <c r="IQ50" s="114" t="s">
        <v>429</v>
      </c>
      <c r="IR50" s="114" t="e">
        <f>IF(LEFT(B8,5)="Topup",IR49*B7-B9,IR49*B7)</f>
        <v>#N/A</v>
      </c>
    </row>
    <row r="51" spans="1:252" ht="15.75">
      <c r="A51" s="162" t="s">
        <v>324</v>
      </c>
      <c r="B51" s="150">
        <v>3</v>
      </c>
      <c r="C51" s="149" t="str">
        <f>IF(B51&lt;5,"NFA at L1","")</f>
        <v>NFA at L1</v>
      </c>
      <c r="D51" s="128"/>
      <c r="E51" s="128"/>
      <c r="F51" s="128"/>
      <c r="G51" s="118"/>
      <c r="IR51" s="146"/>
    </row>
    <row r="52" spans="1:252" ht="30">
      <c r="A52" s="162" t="s">
        <v>440</v>
      </c>
      <c r="B52" s="150">
        <v>3</v>
      </c>
      <c r="C52" s="149" t="str">
        <f>IF(B52=1,"NFA at L2",IF(B52=2,"NFA at L2P",IF(B52&gt;2,"NFA at L1","")))</f>
        <v>NFA at L1</v>
      </c>
      <c r="D52" s="128"/>
      <c r="E52" s="128"/>
      <c r="F52" s="128"/>
      <c r="G52" s="118"/>
      <c r="IQ52" s="114" t="s">
        <v>341</v>
      </c>
      <c r="IR52" s="114">
        <v>0.75</v>
      </c>
    </row>
    <row r="53" spans="1:252" ht="15.75">
      <c r="A53" s="162" t="s">
        <v>325</v>
      </c>
      <c r="B53" s="143" t="s">
        <v>167</v>
      </c>
      <c r="C53" s="149" t="str">
        <f>IF(B53="Yes","NFA at RCF1","")</f>
        <v>NFA at RCF1</v>
      </c>
      <c r="D53" s="128"/>
      <c r="E53" s="128"/>
      <c r="F53" s="128"/>
      <c r="G53" s="118"/>
      <c r="IQ53" s="114" t="s">
        <v>342</v>
      </c>
      <c r="IR53" s="114">
        <f>IF(LEFT(B8,5)="Topup",IR52*B7-B9,IR52*B7)</f>
        <v>0</v>
      </c>
    </row>
    <row r="54" spans="1:252" ht="30">
      <c r="A54" s="162" t="s">
        <v>456</v>
      </c>
      <c r="B54" s="143" t="s">
        <v>167</v>
      </c>
      <c r="C54" s="149" t="str">
        <f>IF(B54="No","NFA at L1","")</f>
        <v/>
      </c>
      <c r="D54" s="128"/>
      <c r="E54" s="128"/>
      <c r="F54" s="128"/>
      <c r="G54" s="118"/>
    </row>
    <row r="55" spans="1:252" ht="15.75">
      <c r="A55" s="162" t="s">
        <v>197</v>
      </c>
      <c r="B55" s="143" t="s">
        <v>167</v>
      </c>
      <c r="C55" s="149" t="str">
        <f>IF(B55="No","NFA at L1","")</f>
        <v/>
      </c>
      <c r="D55" s="128"/>
      <c r="E55" s="128"/>
      <c r="F55" s="128"/>
      <c r="G55" s="118"/>
    </row>
    <row r="56" spans="1:252" ht="15.75">
      <c r="A56" s="162" t="s">
        <v>327</v>
      </c>
      <c r="B56" s="143" t="s">
        <v>167</v>
      </c>
      <c r="C56" s="149" t="str">
        <f>IF(B56="No","NFA at L1","")</f>
        <v/>
      </c>
      <c r="D56" s="128"/>
      <c r="E56" s="128"/>
      <c r="F56" s="128"/>
      <c r="G56" s="118"/>
    </row>
    <row r="57" spans="1:252" ht="15.75">
      <c r="A57" s="162" t="s">
        <v>328</v>
      </c>
      <c r="B57" s="143" t="s">
        <v>167</v>
      </c>
      <c r="C57" s="149" t="str">
        <f>IF(B57="Yes","NFA at RCF-1","")</f>
        <v>NFA at RCF-1</v>
      </c>
      <c r="D57" s="128"/>
      <c r="E57" s="128"/>
      <c r="F57" s="128"/>
      <c r="G57" s="118"/>
    </row>
    <row r="58" spans="1:252" ht="30">
      <c r="A58" s="162" t="s">
        <v>363</v>
      </c>
      <c r="B58" s="143" t="s">
        <v>167</v>
      </c>
      <c r="C58" s="149" t="str">
        <f>IF(B58="Yes","NFA at RCF-1","")</f>
        <v>NFA at RCF-1</v>
      </c>
      <c r="D58" s="128"/>
      <c r="E58" s="128"/>
      <c r="F58" s="128"/>
      <c r="G58" s="118"/>
    </row>
    <row r="59" spans="1:252" ht="15.75">
      <c r="A59" s="162" t="s">
        <v>356</v>
      </c>
      <c r="B59" s="149">
        <f>'Variant Inputs &amp; Comparison'!B8</f>
        <v>0</v>
      </c>
      <c r="C59" s="149" t="str">
        <f>IF(B59&lt;12,"Not Allowed","")</f>
        <v>Not Allowed</v>
      </c>
      <c r="D59" s="151"/>
      <c r="E59" s="151"/>
      <c r="F59" s="151"/>
      <c r="G59" s="118"/>
    </row>
    <row r="60" spans="1:252" ht="15.75">
      <c r="A60" s="113" t="s">
        <v>446</v>
      </c>
      <c r="B60" s="149">
        <f>'Variant Inputs &amp; Comparison'!B6</f>
        <v>0</v>
      </c>
      <c r="C60" s="149" t="str">
        <f>IF(B60="NRP non self occupied","NFA at RCF-1","")</f>
        <v/>
      </c>
      <c r="D60" s="151"/>
      <c r="E60" s="151"/>
      <c r="F60" s="151"/>
      <c r="G60" s="118"/>
    </row>
    <row r="61" spans="1:252" ht="15.75">
      <c r="A61" s="162" t="s">
        <v>492</v>
      </c>
      <c r="B61" s="143" t="s">
        <v>168</v>
      </c>
      <c r="C61" s="149" t="str">
        <f>IF(B61="Yes","NFA at RCF 1","")</f>
        <v/>
      </c>
      <c r="D61" s="151"/>
      <c r="E61" s="151"/>
      <c r="F61" s="151"/>
      <c r="G61" s="118"/>
    </row>
    <row r="62" spans="1:252" ht="30">
      <c r="A62" s="162" t="s">
        <v>493</v>
      </c>
      <c r="B62" s="143" t="s">
        <v>167</v>
      </c>
      <c r="C62" s="149" t="str">
        <f>IF(B62="No","NFA at RCF 1","")</f>
        <v/>
      </c>
      <c r="D62" s="151"/>
      <c r="E62" s="151"/>
      <c r="F62" s="151"/>
      <c r="G62" s="118"/>
    </row>
    <row r="63" spans="1:252">
      <c r="A63" s="163"/>
      <c r="B63" s="151"/>
      <c r="C63" s="151"/>
      <c r="D63" s="151"/>
      <c r="E63" s="151"/>
      <c r="F63" s="151"/>
      <c r="G63" s="118"/>
    </row>
    <row r="64" spans="1:252" ht="29.25">
      <c r="A64" s="162" t="s">
        <v>253</v>
      </c>
      <c r="B64" s="171" t="s">
        <v>251</v>
      </c>
      <c r="C64" s="171" t="s">
        <v>252</v>
      </c>
      <c r="D64" s="171" t="s">
        <v>252</v>
      </c>
      <c r="E64" s="171" t="s">
        <v>252</v>
      </c>
      <c r="F64" s="171" t="s">
        <v>252</v>
      </c>
      <c r="G64" s="118"/>
    </row>
    <row r="65" spans="1:7" ht="15.75">
      <c r="A65" s="162" t="s">
        <v>254</v>
      </c>
      <c r="B65" s="149">
        <f>'Credit Summation'!R23</f>
        <v>0</v>
      </c>
      <c r="C65" s="149" t="str">
        <f>IF('Credit Summation'!$B$1=2,'Credit Summation'!S23,"")</f>
        <v/>
      </c>
      <c r="D65" s="149" t="str">
        <f>IF('Credit Summation'!$B$1=3,'Credit Summation'!T23,"")</f>
        <v/>
      </c>
      <c r="E65" s="149" t="str">
        <f>IF('Credit Summation'!$B$1=4,'Credit Summation'!U23,"")</f>
        <v/>
      </c>
      <c r="F65" s="149" t="str">
        <f>IF('Credit Summation'!$B$1=5,'Credit Summation'!V23,"")</f>
        <v/>
      </c>
      <c r="G65" s="118"/>
    </row>
    <row r="66" spans="1:7" ht="15.75">
      <c r="A66" s="162" t="s">
        <v>259</v>
      </c>
      <c r="B66" s="149" t="str">
        <f>'Credit Summation'!R24</f>
        <v>Not Allowed</v>
      </c>
      <c r="C66" s="149" t="str">
        <f>IF('Credit Summation'!$B$1=2,'Credit Summation'!S24,"")</f>
        <v/>
      </c>
      <c r="D66" s="149" t="str">
        <f>IF('Credit Summation'!$B$1=3,'Credit Summation'!T24,"")</f>
        <v/>
      </c>
      <c r="E66" s="149" t="str">
        <f>IF('Credit Summation'!$B$1=4,'Credit Summation'!U24,"")</f>
        <v/>
      </c>
      <c r="F66" s="149" t="str">
        <f>IF('Credit Summation'!$B$1=5,'Credit Summation'!V24,"")</f>
        <v/>
      </c>
      <c r="G66" s="118"/>
    </row>
    <row r="67" spans="1:7" ht="15.75">
      <c r="A67" s="162" t="s">
        <v>261</v>
      </c>
      <c r="B67" s="149">
        <f>'Credit Summation'!R25</f>
        <v>12</v>
      </c>
      <c r="C67" s="149" t="str">
        <f>IF('Credit Summation'!$B$1=2,'Credit Summation'!S25,"")</f>
        <v/>
      </c>
      <c r="D67" s="149" t="str">
        <f>IF('Credit Summation'!$B$1=3,'Credit Summation'!T25,"")</f>
        <v/>
      </c>
      <c r="E67" s="149" t="str">
        <f>IF('Credit Summation'!$B$1=4,'Credit Summation'!U25,"")</f>
        <v/>
      </c>
      <c r="F67" s="149" t="str">
        <f>IF('Credit Summation'!$B$1=5,'Credit Summation'!V25,"")</f>
        <v/>
      </c>
      <c r="G67" s="118"/>
    </row>
    <row r="68" spans="1:7">
      <c r="A68" s="164"/>
      <c r="B68" s="165"/>
      <c r="C68" s="165"/>
      <c r="D68" s="165"/>
      <c r="E68" s="165"/>
      <c r="F68" s="165"/>
      <c r="G68" s="118"/>
    </row>
    <row r="69" spans="1:7" ht="29.25">
      <c r="A69" s="162" t="s">
        <v>265</v>
      </c>
      <c r="B69" s="171" t="s">
        <v>251</v>
      </c>
      <c r="C69" s="171" t="s">
        <v>252</v>
      </c>
      <c r="D69" s="171" t="s">
        <v>252</v>
      </c>
      <c r="E69" s="171" t="s">
        <v>252</v>
      </c>
      <c r="F69" s="171" t="s">
        <v>252</v>
      </c>
      <c r="G69" s="118"/>
    </row>
    <row r="70" spans="1:7" ht="15.75">
      <c r="A70" s="162" t="s">
        <v>254</v>
      </c>
      <c r="B70" s="149" t="str">
        <f>'Credit Summation'!R52</f>
        <v xml:space="preserve"> L1</v>
      </c>
      <c r="C70" s="149" t="str">
        <f>IF('Credit Summation'!$B$1=2,'Credit Summation'!S52,"")</f>
        <v/>
      </c>
      <c r="D70" s="149" t="str">
        <f>IF('Credit Summation'!$B$1=3,'Credit Summation'!T52,"")</f>
        <v/>
      </c>
      <c r="E70" s="149" t="str">
        <f>IF('Credit Summation'!$B$1=4,'Credit Summation'!U52,"")</f>
        <v/>
      </c>
      <c r="F70" s="149" t="str">
        <f>IF('Credit Summation'!$B$1=5,'Credit Summation'!V52,"")</f>
        <v/>
      </c>
      <c r="G70" s="118"/>
    </row>
    <row r="71" spans="1:7" ht="15.75">
      <c r="A71" s="162" t="s">
        <v>259</v>
      </c>
      <c r="B71" s="149">
        <f>'Credit Summation'!R53</f>
        <v>0</v>
      </c>
      <c r="C71" s="149" t="str">
        <f>IF('Credit Summation'!$B$1=2,'Credit Summation'!S53,"")</f>
        <v/>
      </c>
      <c r="D71" s="149" t="str">
        <f>IF('Credit Summation'!$B$1=3,'Credit Summation'!T53,"")</f>
        <v/>
      </c>
      <c r="E71" s="149" t="str">
        <f>IF('Credit Summation'!$B$1=4,'Credit Summation'!U53,"")</f>
        <v/>
      </c>
      <c r="F71" s="149" t="str">
        <f>IF('Credit Summation'!$B$1=5,'Credit Summation'!V53,"")</f>
        <v/>
      </c>
      <c r="G71" s="118"/>
    </row>
    <row r="72" spans="1:7">
      <c r="A72" s="151"/>
      <c r="B72" s="151"/>
      <c r="C72" s="151"/>
      <c r="D72" s="151"/>
      <c r="E72" s="151"/>
      <c r="F72" s="151"/>
      <c r="G72" s="118"/>
    </row>
    <row r="73" spans="1:7">
      <c r="A73" s="163"/>
      <c r="B73" s="151"/>
      <c r="C73" s="151"/>
      <c r="D73" s="151"/>
      <c r="E73" s="151"/>
      <c r="F73" s="151"/>
      <c r="G73" s="118"/>
    </row>
    <row r="74" spans="1:7">
      <c r="A74" s="163"/>
      <c r="B74" s="151"/>
      <c r="C74" s="151"/>
      <c r="D74" s="151"/>
      <c r="E74" s="151"/>
      <c r="F74" s="151"/>
      <c r="G74" s="118"/>
    </row>
    <row r="75" spans="1:7">
      <c r="A75" s="163"/>
      <c r="B75" s="151"/>
      <c r="C75" s="152"/>
      <c r="D75" s="152"/>
      <c r="E75" s="151"/>
      <c r="F75" s="151"/>
      <c r="G75" s="118"/>
    </row>
    <row r="76" spans="1:7">
      <c r="A76" s="153"/>
      <c r="B76" s="154"/>
      <c r="C76" s="154"/>
      <c r="D76" s="154"/>
      <c r="E76" s="154"/>
      <c r="F76" s="154"/>
      <c r="G76" s="118"/>
    </row>
    <row r="77" spans="1:7">
      <c r="A77" s="155"/>
      <c r="B77" s="154"/>
      <c r="C77" s="154"/>
      <c r="D77" s="154"/>
      <c r="E77" s="154">
        <f>30.4/58</f>
        <v>0.5241379310344827</v>
      </c>
      <c r="F77" s="154"/>
      <c r="G77" s="118"/>
    </row>
    <row r="78" spans="1:7">
      <c r="A78" s="1312"/>
      <c r="B78" s="1313"/>
      <c r="C78" s="1313"/>
      <c r="D78" s="1313"/>
      <c r="E78" s="1313"/>
      <c r="F78" s="1313"/>
      <c r="G78" s="118"/>
    </row>
    <row r="79" spans="1:7">
      <c r="A79" s="1312"/>
      <c r="B79" s="1313"/>
      <c r="C79" s="1313"/>
      <c r="D79" s="1313"/>
      <c r="E79" s="1313"/>
      <c r="F79" s="1313"/>
      <c r="G79" s="118"/>
    </row>
    <row r="80" spans="1:7">
      <c r="A80" s="1312"/>
      <c r="B80" s="1313"/>
      <c r="C80" s="1313"/>
      <c r="D80" s="1313"/>
      <c r="E80" s="1313"/>
      <c r="F80" s="1313"/>
      <c r="G80" s="118"/>
    </row>
    <row r="81" spans="1:7">
      <c r="A81" s="1312"/>
      <c r="B81" s="1313"/>
      <c r="C81" s="1313"/>
      <c r="D81" s="1313"/>
      <c r="E81" s="1313"/>
      <c r="F81" s="1313"/>
      <c r="G81" s="118"/>
    </row>
    <row r="82" spans="1:7" ht="15.75" thickBot="1">
      <c r="A82" s="1314"/>
      <c r="B82" s="1315"/>
      <c r="C82" s="1315"/>
      <c r="D82" s="1315"/>
      <c r="E82" s="1315"/>
      <c r="F82" s="1315"/>
      <c r="G82" s="118"/>
    </row>
    <row r="83" spans="1:7" ht="15.95" customHeight="1">
      <c r="G83" s="118"/>
    </row>
    <row r="84" spans="1:7">
      <c r="G84" s="118"/>
    </row>
    <row r="85" spans="1:7">
      <c r="G85" s="118"/>
    </row>
    <row r="86" spans="1:7" ht="15.75" thickBot="1">
      <c r="G86" s="156"/>
    </row>
  </sheetData>
  <sheetProtection algorithmName="SHA-512" hashValue="tQUqvJW90QlJj/3GODTw0FD9JeImeBcOIBUrLeLi5vQRfKf6wFsmDIDuz8TNVEouKHtODypioHqpllrBk8GXvw==" saltValue="CUPUhpNIqtSHjIwQFQ2kGA==" spinCount="100000" sheet="1" formatCells="0" formatColumns="0"/>
  <mergeCells count="19">
    <mergeCell ref="A25:B25"/>
    <mergeCell ref="A1:G1"/>
    <mergeCell ref="A2:G2"/>
    <mergeCell ref="A14:B14"/>
    <mergeCell ref="A15:B15"/>
    <mergeCell ref="A19:B19"/>
    <mergeCell ref="A78:F82"/>
    <mergeCell ref="A27:B27"/>
    <mergeCell ref="C35:D35"/>
    <mergeCell ref="E35:F35"/>
    <mergeCell ref="C37:D37"/>
    <mergeCell ref="E37:F37"/>
    <mergeCell ref="C38:D38"/>
    <mergeCell ref="E38:F38"/>
    <mergeCell ref="C39:D39"/>
    <mergeCell ref="E39:F39"/>
    <mergeCell ref="C40:D40"/>
    <mergeCell ref="E40:F40"/>
    <mergeCell ref="A44:C44"/>
  </mergeCells>
  <conditionalFormatting sqref="C38:F39 C75:F75 C51 C53:C58">
    <cfRule type="containsText" dxfId="161" priority="31" stopIfTrue="1" operator="containsText" text="NO">
      <formula>NOT(ISERROR(SEARCH("NO",C38)))</formula>
    </cfRule>
    <cfRule type="containsText" dxfId="160" priority="32" stopIfTrue="1" operator="containsText" text="NA">
      <formula>NOT(ISERROR(SEARCH("NA",C38)))</formula>
    </cfRule>
  </conditionalFormatting>
  <conditionalFormatting sqref="B36:B39 B42 B51:B58">
    <cfRule type="containsText" dxfId="159" priority="30" stopIfTrue="1" operator="containsText" text="NA">
      <formula>NOT(ISERROR(SEARCH("NA",B36)))</formula>
    </cfRule>
  </conditionalFormatting>
  <conditionalFormatting sqref="A75:B75">
    <cfRule type="containsText" dxfId="158" priority="28" stopIfTrue="1" operator="containsText" text="NO">
      <formula>NOT(ISERROR(SEARCH("NO",A75)))</formula>
    </cfRule>
    <cfRule type="containsText" dxfId="157" priority="29" stopIfTrue="1" operator="containsText" text="NA">
      <formula>NOT(ISERROR(SEARCH("NA",A75)))</formula>
    </cfRule>
  </conditionalFormatting>
  <conditionalFormatting sqref="B64:F64 A73:F74 D59:F63 A68:F68 B69:F69">
    <cfRule type="containsText" dxfId="156" priority="26" stopIfTrue="1" operator="containsText" text="NO">
      <formula>NOT(ISERROR(SEARCH("NO",A59)))</formula>
    </cfRule>
    <cfRule type="containsText" dxfId="155" priority="27" stopIfTrue="1" operator="containsText" text="NA">
      <formula>NOT(ISERROR(SEARCH("NA",A59)))</formula>
    </cfRule>
  </conditionalFormatting>
  <conditionalFormatting sqref="A45:C45 C46:C48 B47 A49:C60 A44:A48 B69:F71">
    <cfRule type="expression" dxfId="154" priority="33" stopIfTrue="1">
      <formula>$B$42="No"</formula>
    </cfRule>
  </conditionalFormatting>
  <conditionalFormatting sqref="B48">
    <cfRule type="expression" dxfId="153" priority="23" stopIfTrue="1">
      <formula>$B$42="No"</formula>
    </cfRule>
  </conditionalFormatting>
  <conditionalFormatting sqref="C40:F40">
    <cfRule type="containsText" dxfId="152" priority="21" stopIfTrue="1" operator="containsText" text="NO">
      <formula>NOT(ISERROR(SEARCH("NO",C40)))</formula>
    </cfRule>
    <cfRule type="containsText" dxfId="151" priority="22" stopIfTrue="1" operator="containsText" text="NA">
      <formula>NOT(ISERROR(SEARCH("NA",C40)))</formula>
    </cfRule>
  </conditionalFormatting>
  <conditionalFormatting sqref="B40">
    <cfRule type="containsText" dxfId="150" priority="20" stopIfTrue="1" operator="containsText" text="NA">
      <formula>NOT(ISERROR(SEARCH("NA",B40)))</formula>
    </cfRule>
  </conditionalFormatting>
  <conditionalFormatting sqref="A63:C63">
    <cfRule type="containsText" dxfId="149" priority="18" stopIfTrue="1" operator="containsText" text="NO">
      <formula>NOT(ISERROR(SEARCH("NO",A63)))</formula>
    </cfRule>
    <cfRule type="containsText" dxfId="148" priority="19" stopIfTrue="1" operator="containsText" text="NA">
      <formula>NOT(ISERROR(SEARCH("NA",A63)))</formula>
    </cfRule>
  </conditionalFormatting>
  <conditionalFormatting sqref="A64:A67">
    <cfRule type="expression" dxfId="147" priority="17" stopIfTrue="1">
      <formula>$B$42="No"</formula>
    </cfRule>
  </conditionalFormatting>
  <conditionalFormatting sqref="A69:A71">
    <cfRule type="expression" dxfId="146" priority="16" stopIfTrue="1">
      <formula>$B$42="No"</formula>
    </cfRule>
  </conditionalFormatting>
  <conditionalFormatting sqref="B64:F67">
    <cfRule type="expression" dxfId="145" priority="15" stopIfTrue="1">
      <formula>$B$42="No"</formula>
    </cfRule>
  </conditionalFormatting>
  <conditionalFormatting sqref="C50">
    <cfRule type="containsText" dxfId="144" priority="13" stopIfTrue="1" operator="containsText" text="NO">
      <formula>NOT(ISERROR(SEARCH("NO",C50)))</formula>
    </cfRule>
    <cfRule type="containsText" dxfId="143" priority="14" stopIfTrue="1" operator="containsText" text="NA">
      <formula>NOT(ISERROR(SEARCH("NA",C50)))</formula>
    </cfRule>
  </conditionalFormatting>
  <conditionalFormatting sqref="B46">
    <cfRule type="expression" dxfId="142" priority="10" stopIfTrue="1">
      <formula>$B$42="No"</formula>
    </cfRule>
  </conditionalFormatting>
  <conditionalFormatting sqref="A72:F72">
    <cfRule type="containsText" dxfId="141" priority="8" stopIfTrue="1" operator="containsText" text="NO">
      <formula>NOT(ISERROR(SEARCH("NO",A72)))</formula>
    </cfRule>
    <cfRule type="containsText" dxfId="140" priority="9" stopIfTrue="1" operator="containsText" text="NA">
      <formula>NOT(ISERROR(SEARCH("NA",A72)))</formula>
    </cfRule>
  </conditionalFormatting>
  <conditionalFormatting sqref="A61:A62 C61:C62">
    <cfRule type="expression" dxfId="139" priority="7" stopIfTrue="1">
      <formula>$B$40="No"</formula>
    </cfRule>
  </conditionalFormatting>
  <conditionalFormatting sqref="C61:C62">
    <cfRule type="containsText" dxfId="138" priority="5" stopIfTrue="1" operator="containsText" text="NO">
      <formula>NOT(ISERROR(SEARCH("NO",C61)))</formula>
    </cfRule>
    <cfRule type="containsText" dxfId="137" priority="6" stopIfTrue="1" operator="containsText" text="NA">
      <formula>NOT(ISERROR(SEARCH("NA",C61)))</formula>
    </cfRule>
  </conditionalFormatting>
  <conditionalFormatting sqref="B62">
    <cfRule type="containsText" dxfId="136" priority="3" stopIfTrue="1" operator="containsText" text="NA">
      <formula>NOT(ISERROR(SEARCH("NA",B62)))</formula>
    </cfRule>
  </conditionalFormatting>
  <conditionalFormatting sqref="B62">
    <cfRule type="expression" dxfId="135" priority="4" stopIfTrue="1">
      <formula>$B$42="No"</formula>
    </cfRule>
  </conditionalFormatting>
  <conditionalFormatting sqref="B61">
    <cfRule type="containsText" dxfId="134" priority="1" stopIfTrue="1" operator="containsText" text="NA">
      <formula>NOT(ISERROR(SEARCH("NA",B61)))</formula>
    </cfRule>
  </conditionalFormatting>
  <conditionalFormatting sqref="B61">
    <cfRule type="expression" dxfId="133" priority="2" stopIfTrue="1">
      <formula>$B$42="No"</formula>
    </cfRule>
  </conditionalFormatting>
  <dataValidations count="6">
    <dataValidation type="whole" operator="lessThanOrEqual" allowBlank="1" showInputMessage="1" showErrorMessage="1" errorTitle="Maximum Tenor can be 120 only" sqref="B46" xr:uid="{00000000-0002-0000-0A00-000000000000}">
      <formula1>120</formula1>
    </dataValidation>
    <dataValidation type="list" allowBlank="1" showInputMessage="1" showErrorMessage="1" sqref="B42 B53:B58 B61:B62" xr:uid="{00000000-0002-0000-0A00-000001000000}">
      <formula1>"Yes,No"</formula1>
    </dataValidation>
    <dataValidation type="whole" allowBlank="1" showInputMessage="1" showErrorMessage="1" sqref="B52" xr:uid="{00000000-0002-0000-0A00-000002000000}">
      <formula1>0</formula1>
      <formula2>5000</formula2>
    </dataValidation>
    <dataValidation operator="lessThanOrEqual" allowBlank="1" showInputMessage="1" showErrorMessage="1" sqref="B47:B49" xr:uid="{00000000-0002-0000-0A00-000003000000}"/>
    <dataValidation type="decimal" operator="lessThanOrEqual" allowBlank="1" showInputMessage="1" showErrorMessage="1" errorTitle="Amount more than maximum amount" error="Amount more than maximum amount" sqref="B45" xr:uid="{00000000-0002-0000-0A00-000004000000}">
      <formula1>MAX(B36:B40)+0.01</formula1>
    </dataValidation>
    <dataValidation type="whole" operator="lessThanOrEqual" allowBlank="1" showInputMessage="1" showErrorMessage="1" errorTitle="Maximum Tenor can be 180 only" error="Maximum Tenor can be 180 only" sqref="B3" xr:uid="{00000000-0002-0000-0A00-000005000000}">
      <formula1>180</formula1>
    </dataValidation>
  </dataValidations>
  <pageMargins left="0.25" right="0.25" top="0.75" bottom="0.75" header="0.3" footer="0.3"/>
  <pageSetup paperSize="9" scale="10" orientation="landscape" useFirstPageNumber="1" horizontalDpi="300" verticalDpi="300" r:id="rId1"/>
  <headerFooter alignWithMargins="0">
    <oddHeader>&amp;C&amp;A</oddHeader>
    <oddFooter>&amp;CPage &amp;P</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rgb="FFC00000"/>
    <pageSetUpPr fitToPage="1"/>
  </sheetPr>
  <dimension ref="A1:IV84"/>
  <sheetViews>
    <sheetView topLeftCell="A13" workbookViewId="0">
      <selection activeCell="A13" sqref="A13"/>
    </sheetView>
  </sheetViews>
  <sheetFormatPr defaultColWidth="13.625" defaultRowHeight="15" zeroHeight="1"/>
  <cols>
    <col min="1" max="1" width="48.75" style="114" customWidth="1"/>
    <col min="2" max="2" width="23" style="114" customWidth="1"/>
    <col min="3" max="6" width="13.5" style="114" customWidth="1"/>
    <col min="7" max="7" width="71.125" style="157" bestFit="1" customWidth="1"/>
    <col min="8" max="8" width="12.375" style="114" customWidth="1"/>
    <col min="9" max="250" width="10.125" style="114" customWidth="1"/>
    <col min="251" max="251" width="34.875" style="114" customWidth="1"/>
    <col min="252" max="252" width="38.625" style="114" customWidth="1"/>
    <col min="253" max="253" width="12.625" style="114" customWidth="1"/>
    <col min="254" max="254" width="17.75" style="114" customWidth="1"/>
    <col min="255" max="255" width="13.5" style="114" customWidth="1"/>
    <col min="256" max="256" width="13.625" style="114" customWidth="1"/>
    <col min="257" max="16384" width="13.625" style="114"/>
  </cols>
  <sheetData>
    <row r="1" spans="1:256" hidden="1">
      <c r="A1" s="1332" t="s">
        <v>269</v>
      </c>
      <c r="B1" s="1333"/>
      <c r="C1" s="1333"/>
      <c r="D1" s="1333"/>
      <c r="E1" s="1333"/>
      <c r="F1" s="1333"/>
      <c r="G1" s="1334"/>
      <c r="IQ1" s="22"/>
    </row>
    <row r="2" spans="1:256" hidden="1">
      <c r="A2" s="1335" t="s">
        <v>270</v>
      </c>
      <c r="B2" s="1336"/>
      <c r="C2" s="1336"/>
      <c r="D2" s="1336"/>
      <c r="E2" s="1336"/>
      <c r="F2" s="1336"/>
      <c r="G2" s="1337"/>
      <c r="IQ2" s="22"/>
      <c r="IR2" s="114" t="s">
        <v>271</v>
      </c>
    </row>
    <row r="3" spans="1:256" ht="15.75" hidden="1">
      <c r="A3" s="115" t="s">
        <v>272</v>
      </c>
      <c r="B3" s="181">
        <f>IF('Variant Inputs &amp; Comparison'!B6="Home Loan",MIN(240,Eligibility!F35),MIN(180,Eligibility!F35))</f>
        <v>0</v>
      </c>
      <c r="C3" s="116"/>
      <c r="D3" s="116"/>
      <c r="E3" s="117"/>
      <c r="F3" s="117"/>
      <c r="G3" s="118"/>
      <c r="IQ3" s="22"/>
      <c r="IR3" s="114" t="s">
        <v>273</v>
      </c>
    </row>
    <row r="4" spans="1:256" ht="15.75" hidden="1">
      <c r="A4" s="119" t="s">
        <v>196</v>
      </c>
      <c r="B4" s="182">
        <f>Eligibility!F36</f>
        <v>0</v>
      </c>
      <c r="C4" s="116"/>
      <c r="D4" s="116"/>
      <c r="E4" s="117"/>
      <c r="F4" s="117"/>
      <c r="G4" s="118"/>
      <c r="IQ4" s="22"/>
      <c r="IR4" s="114" t="s">
        <v>274</v>
      </c>
      <c r="IV4" s="120" t="s">
        <v>275</v>
      </c>
    </row>
    <row r="5" spans="1:256" hidden="1">
      <c r="A5" s="211" t="s">
        <v>276</v>
      </c>
      <c r="B5" s="121" t="e">
        <f>PMT(B4/12,B3,-100000)</f>
        <v>#NUM!</v>
      </c>
      <c r="C5" s="116"/>
      <c r="D5" s="116"/>
      <c r="E5" s="117"/>
      <c r="F5" s="117"/>
      <c r="G5" s="118"/>
      <c r="IQ5" s="22"/>
      <c r="IU5" s="122" t="s">
        <v>277</v>
      </c>
      <c r="IV5" s="120" t="e">
        <f>+B5*25</f>
        <v>#NUM!</v>
      </c>
    </row>
    <row r="6" spans="1:256" hidden="1">
      <c r="A6" s="211" t="s">
        <v>278</v>
      </c>
      <c r="B6" s="183">
        <f>'Variant Inputs &amp; Comparison'!B3</f>
        <v>0</v>
      </c>
      <c r="C6" s="116"/>
      <c r="D6" s="116"/>
      <c r="E6" s="117"/>
      <c r="F6" s="117"/>
      <c r="G6" s="118"/>
      <c r="IQ6" s="22"/>
      <c r="IU6" s="122"/>
      <c r="IV6" s="120"/>
    </row>
    <row r="7" spans="1:256" hidden="1">
      <c r="A7" s="211" t="s">
        <v>280</v>
      </c>
      <c r="B7" s="184">
        <f>Eligibility!F46*100000</f>
        <v>0</v>
      </c>
      <c r="C7" s="116"/>
      <c r="D7" s="116"/>
      <c r="E7" s="117"/>
      <c r="F7" s="117"/>
      <c r="G7" s="118"/>
      <c r="IQ7" s="22"/>
      <c r="IU7" s="122"/>
      <c r="IV7" s="120"/>
    </row>
    <row r="8" spans="1:256" hidden="1">
      <c r="A8" s="211" t="s">
        <v>175</v>
      </c>
      <c r="B8" s="183">
        <f>'Variant Inputs &amp; Comparison'!B6</f>
        <v>0</v>
      </c>
      <c r="C8" s="116"/>
      <c r="D8" s="116"/>
      <c r="E8" s="117"/>
      <c r="F8" s="117"/>
      <c r="G8" s="118"/>
      <c r="IQ8" s="22"/>
      <c r="IU8" s="122"/>
      <c r="IV8" s="120"/>
    </row>
    <row r="9" spans="1:256" hidden="1">
      <c r="A9" s="211" t="s">
        <v>281</v>
      </c>
      <c r="B9" s="183">
        <f>'Variant Inputs &amp; Comparison'!B7</f>
        <v>0</v>
      </c>
      <c r="C9" s="116"/>
      <c r="D9" s="116"/>
      <c r="E9" s="117"/>
      <c r="F9" s="117"/>
      <c r="G9" s="118"/>
      <c r="IQ9" s="23"/>
      <c r="IU9" s="122"/>
      <c r="IV9" s="120"/>
    </row>
    <row r="10" spans="1:256" hidden="1">
      <c r="A10" s="123"/>
      <c r="B10" s="124"/>
      <c r="C10" s="116"/>
      <c r="D10" s="116"/>
      <c r="E10" s="117"/>
      <c r="F10" s="117"/>
      <c r="G10" s="118"/>
      <c r="IQ10" s="23"/>
      <c r="IU10" s="122"/>
      <c r="IV10" s="120"/>
    </row>
    <row r="11" spans="1:256" hidden="1">
      <c r="A11" s="123"/>
      <c r="B11" s="124"/>
      <c r="C11" s="116"/>
      <c r="D11" s="116"/>
      <c r="E11" s="117"/>
      <c r="F11" s="117"/>
      <c r="G11" s="118"/>
      <c r="IQ11" s="23"/>
      <c r="IU11" s="122"/>
      <c r="IV11" s="120"/>
    </row>
    <row r="12" spans="1:256" hidden="1">
      <c r="A12" s="123"/>
      <c r="B12" s="124"/>
      <c r="C12" s="116"/>
      <c r="D12" s="116"/>
      <c r="E12" s="117"/>
      <c r="F12" s="117"/>
      <c r="G12" s="118"/>
      <c r="IQ12" s="23"/>
      <c r="IU12" s="122"/>
      <c r="IV12" s="120"/>
    </row>
    <row r="13" spans="1:256" ht="15.75" thickBot="1">
      <c r="A13" s="125"/>
      <c r="B13" s="126"/>
      <c r="C13" s="116"/>
      <c r="D13" s="116"/>
      <c r="E13" s="117"/>
      <c r="F13" s="117"/>
      <c r="G13" s="118"/>
      <c r="IU13" s="114" t="s">
        <v>282</v>
      </c>
      <c r="IV13" s="127" t="e">
        <f>B5*50</f>
        <v>#NUM!</v>
      </c>
    </row>
    <row r="14" spans="1:256" ht="15.75">
      <c r="A14" s="1338" t="s">
        <v>283</v>
      </c>
      <c r="B14" s="1339"/>
      <c r="C14" s="160"/>
      <c r="D14" s="160"/>
      <c r="E14" s="160"/>
      <c r="F14" s="160"/>
      <c r="G14" s="161"/>
      <c r="IQ14" s="114" t="s">
        <v>284</v>
      </c>
      <c r="IR14" s="114" t="e">
        <f>VLOOKUP(TRIM(B6),IU:IV,2,0)</f>
        <v>#N/A</v>
      </c>
      <c r="IU14" s="114" t="s">
        <v>213</v>
      </c>
      <c r="IV14" s="129">
        <f>B21</f>
        <v>0</v>
      </c>
    </row>
    <row r="15" spans="1:256" ht="15.75">
      <c r="A15" s="1340" t="s">
        <v>285</v>
      </c>
      <c r="B15" s="1341"/>
      <c r="C15" s="128"/>
      <c r="D15" s="128"/>
      <c r="E15" s="128"/>
      <c r="F15" s="128"/>
      <c r="G15" s="118"/>
      <c r="IU15" s="114" t="s">
        <v>286</v>
      </c>
      <c r="IV15" s="129">
        <f>+IV14/4</f>
        <v>0</v>
      </c>
    </row>
    <row r="16" spans="1:256" ht="15.75">
      <c r="A16" s="119" t="s">
        <v>287</v>
      </c>
      <c r="B16" s="130">
        <f>'Credit Summation'!B19</f>
        <v>0</v>
      </c>
      <c r="C16" s="128"/>
      <c r="D16" s="128"/>
      <c r="E16" s="128"/>
      <c r="F16" s="128"/>
      <c r="G16" s="118"/>
      <c r="IU16" s="114" t="s">
        <v>288</v>
      </c>
      <c r="IV16" s="129">
        <f>+IV14/3</f>
        <v>0</v>
      </c>
    </row>
    <row r="17" spans="1:256" ht="15.75">
      <c r="A17" s="131" t="s">
        <v>289</v>
      </c>
      <c r="B17" s="132">
        <f>IF('Variant Inputs &amp; Comparison'!B5="Services",B16,B16/2)</f>
        <v>0</v>
      </c>
      <c r="C17" s="128"/>
      <c r="D17" s="128"/>
      <c r="E17" s="128"/>
      <c r="F17" s="128"/>
      <c r="G17" s="118"/>
      <c r="IU17" s="114" t="s">
        <v>290</v>
      </c>
      <c r="IV17" s="129">
        <f>+IV14/2</f>
        <v>0</v>
      </c>
    </row>
    <row r="18" spans="1:256">
      <c r="A18" s="133"/>
      <c r="B18" s="134"/>
      <c r="C18" s="128"/>
      <c r="D18" s="128"/>
      <c r="E18" s="128"/>
      <c r="F18" s="128"/>
      <c r="G18" s="118"/>
      <c r="IT18" s="114" t="e">
        <f>IF(p&gt;B,4,IF(Q&gt;A,3,2))</f>
        <v>#NUM!</v>
      </c>
    </row>
    <row r="19" spans="1:256" ht="15.75">
      <c r="A19" s="1330" t="s">
        <v>291</v>
      </c>
      <c r="B19" s="1331"/>
      <c r="C19" s="128"/>
      <c r="D19" s="128"/>
      <c r="E19" s="128"/>
      <c r="F19" s="128"/>
      <c r="G19" s="118"/>
      <c r="IT19" s="135">
        <v>3</v>
      </c>
      <c r="IU19" s="136">
        <v>5</v>
      </c>
      <c r="IV19" s="136" t="e">
        <f>+IV14/IU5</f>
        <v>#VALUE!</v>
      </c>
    </row>
    <row r="20" spans="1:256" ht="15.75">
      <c r="A20" s="131" t="s">
        <v>292</v>
      </c>
      <c r="B20" s="132">
        <f>IT19</f>
        <v>3</v>
      </c>
      <c r="C20" s="128"/>
      <c r="D20" s="128"/>
      <c r="E20" s="128"/>
      <c r="F20" s="128"/>
      <c r="G20" s="118"/>
      <c r="IN20" s="114" t="s">
        <v>359</v>
      </c>
    </row>
    <row r="21" spans="1:256" ht="15.75">
      <c r="A21" s="137" t="s">
        <v>293</v>
      </c>
      <c r="B21" s="132">
        <f>IF('Variant Inputs &amp; Comparison'!B9="Yes",'Daily-Balance'!B23,'Daily-Balance'!B22)</f>
        <v>0</v>
      </c>
      <c r="C21" s="128"/>
      <c r="D21" s="128"/>
      <c r="E21" s="128"/>
      <c r="F21" s="128"/>
      <c r="G21" s="118"/>
      <c r="IL21" s="114" t="s">
        <v>294</v>
      </c>
      <c r="IM21" s="114">
        <v>300</v>
      </c>
      <c r="IN21" s="114">
        <v>100</v>
      </c>
      <c r="IQ21" s="22" t="s">
        <v>155</v>
      </c>
      <c r="IR21" s="114">
        <v>0.6</v>
      </c>
      <c r="IU21" s="114" t="s">
        <v>294</v>
      </c>
      <c r="IV21" s="114">
        <v>300</v>
      </c>
    </row>
    <row r="22" spans="1:256" ht="15.75">
      <c r="A22" s="131" t="s">
        <v>295</v>
      </c>
      <c r="B22" s="132">
        <f>+B21/B20</f>
        <v>0</v>
      </c>
      <c r="C22" s="128"/>
      <c r="D22" s="128"/>
      <c r="E22" s="128"/>
      <c r="F22" s="128"/>
      <c r="G22" s="118"/>
      <c r="IL22" s="114" t="s">
        <v>296</v>
      </c>
      <c r="IM22" s="114">
        <v>300</v>
      </c>
      <c r="IN22" s="114">
        <v>100</v>
      </c>
      <c r="IQ22" s="22" t="s">
        <v>156</v>
      </c>
      <c r="IR22" s="114">
        <v>0.5</v>
      </c>
      <c r="IU22" s="114" t="s">
        <v>296</v>
      </c>
      <c r="IV22" s="114">
        <v>300</v>
      </c>
    </row>
    <row r="23" spans="1:256" ht="15.75">
      <c r="A23" s="131" t="s">
        <v>245</v>
      </c>
      <c r="B23" s="132" t="e">
        <f>(B22/B5)*100000</f>
        <v>#NUM!</v>
      </c>
      <c r="C23" s="128"/>
      <c r="D23" s="128"/>
      <c r="E23" s="128"/>
      <c r="F23" s="128"/>
      <c r="G23" s="118"/>
      <c r="IL23" s="114" t="s">
        <v>297</v>
      </c>
      <c r="IM23" s="114">
        <v>300</v>
      </c>
      <c r="IN23" s="114">
        <v>100</v>
      </c>
      <c r="IQ23" s="22" t="s">
        <v>166</v>
      </c>
      <c r="IR23" s="114">
        <v>0.65</v>
      </c>
      <c r="IU23" s="114" t="s">
        <v>297</v>
      </c>
      <c r="IV23" s="114">
        <v>300</v>
      </c>
    </row>
    <row r="24" spans="1:256">
      <c r="A24" s="133"/>
      <c r="B24" s="134"/>
      <c r="C24" s="128"/>
      <c r="D24" s="128"/>
      <c r="E24" s="128"/>
      <c r="F24" s="128"/>
      <c r="G24" s="118"/>
      <c r="IL24" s="114" t="s">
        <v>418</v>
      </c>
      <c r="IM24" s="114">
        <v>200</v>
      </c>
      <c r="IN24" s="114">
        <v>75</v>
      </c>
      <c r="IQ24" s="22" t="s">
        <v>165</v>
      </c>
      <c r="IR24" s="114">
        <v>0.55000000000000004</v>
      </c>
      <c r="IU24" s="114" t="s">
        <v>418</v>
      </c>
      <c r="IV24" s="114">
        <v>200</v>
      </c>
    </row>
    <row r="25" spans="1:256" ht="15.75">
      <c r="A25" s="1330" t="s">
        <v>202</v>
      </c>
      <c r="B25" s="1331"/>
      <c r="C25" s="128"/>
      <c r="D25" s="128"/>
      <c r="E25" s="128"/>
      <c r="F25" s="128"/>
      <c r="G25" s="118"/>
      <c r="IL25" s="114" t="s">
        <v>419</v>
      </c>
      <c r="IM25" s="114">
        <v>200</v>
      </c>
      <c r="IN25" s="114">
        <v>75</v>
      </c>
      <c r="IQ25" s="23" t="s">
        <v>157</v>
      </c>
      <c r="IR25" s="114">
        <v>0.7</v>
      </c>
      <c r="IU25" s="114" t="s">
        <v>419</v>
      </c>
      <c r="IV25" s="114">
        <v>200</v>
      </c>
    </row>
    <row r="26" spans="1:256" ht="15.75">
      <c r="A26" s="131" t="s">
        <v>300</v>
      </c>
      <c r="B26" s="132" t="e">
        <f>IR39</f>
        <v>#N/A</v>
      </c>
      <c r="C26" s="128"/>
      <c r="D26" s="128"/>
      <c r="E26" s="128"/>
      <c r="F26" s="128"/>
      <c r="G26" s="118"/>
      <c r="IL26" s="114" t="s">
        <v>298</v>
      </c>
      <c r="IM26" s="114">
        <v>300</v>
      </c>
      <c r="IN26" s="114">
        <v>100</v>
      </c>
      <c r="IQ26" s="22" t="s">
        <v>186</v>
      </c>
      <c r="IR26" s="114">
        <v>0.6</v>
      </c>
      <c r="IU26" s="114" t="s">
        <v>298</v>
      </c>
      <c r="IV26" s="114">
        <v>300</v>
      </c>
    </row>
    <row r="27" spans="1:256">
      <c r="A27" s="1316"/>
      <c r="B27" s="1317"/>
      <c r="C27" s="128"/>
      <c r="D27" s="128"/>
      <c r="E27" s="138"/>
      <c r="F27" s="128"/>
      <c r="G27" s="118"/>
      <c r="ID27" s="139"/>
      <c r="IL27" s="114" t="s">
        <v>299</v>
      </c>
      <c r="IM27" s="114">
        <v>300</v>
      </c>
      <c r="IN27" s="114">
        <v>100</v>
      </c>
      <c r="IQ27" s="22" t="s">
        <v>183</v>
      </c>
      <c r="IR27" s="114">
        <v>0.5</v>
      </c>
      <c r="IU27" s="114" t="s">
        <v>299</v>
      </c>
      <c r="IV27" s="114">
        <v>300</v>
      </c>
    </row>
    <row r="28" spans="1:256" ht="15.75">
      <c r="A28" s="192" t="s">
        <v>303</v>
      </c>
      <c r="B28" s="140" t="e">
        <f>MIN(B23/100000,B17/100000,B26/100000)</f>
        <v>#NUM!</v>
      </c>
      <c r="C28" s="138"/>
      <c r="D28" s="128"/>
      <c r="E28" s="128"/>
      <c r="F28" s="128"/>
      <c r="G28" s="118"/>
      <c r="IL28" s="114" t="s">
        <v>301</v>
      </c>
      <c r="IM28" s="114">
        <v>300</v>
      </c>
      <c r="IN28" s="114">
        <v>100</v>
      </c>
      <c r="IQ28" s="22" t="s">
        <v>184</v>
      </c>
      <c r="IR28" s="114">
        <v>0.65</v>
      </c>
      <c r="IU28" s="114" t="s">
        <v>301</v>
      </c>
      <c r="IV28" s="114">
        <v>300</v>
      </c>
    </row>
    <row r="29" spans="1:256" ht="15.75">
      <c r="A29" s="192" t="s">
        <v>432</v>
      </c>
      <c r="B29" s="140" t="e">
        <f>MIN(B23/100000,B17/100000,IR48/100000)</f>
        <v>#NUM!</v>
      </c>
      <c r="C29" s="138"/>
      <c r="D29" s="128"/>
      <c r="E29" s="128"/>
      <c r="F29" s="128"/>
      <c r="G29" s="118"/>
      <c r="IL29" s="114" t="s">
        <v>420</v>
      </c>
      <c r="IM29" s="114">
        <v>200</v>
      </c>
      <c r="IN29" s="114">
        <v>75</v>
      </c>
      <c r="IQ29" s="22" t="s">
        <v>185</v>
      </c>
      <c r="IR29" s="114">
        <v>0.55000000000000004</v>
      </c>
      <c r="IU29" s="114" t="s">
        <v>420</v>
      </c>
      <c r="IV29" s="114">
        <v>200</v>
      </c>
    </row>
    <row r="30" spans="1:256" ht="30">
      <c r="A30" s="192" t="s">
        <v>477</v>
      </c>
      <c r="B30" s="140" t="e">
        <f>MIN(B23/100000,B17/100000,IR53/100000)</f>
        <v>#NUM!</v>
      </c>
      <c r="C30" s="138"/>
      <c r="D30" s="128"/>
      <c r="E30" s="128"/>
      <c r="F30" s="128"/>
      <c r="G30" s="118"/>
      <c r="IL30" s="114" t="s">
        <v>421</v>
      </c>
      <c r="IM30" s="114">
        <v>200</v>
      </c>
      <c r="IN30" s="114">
        <v>75</v>
      </c>
      <c r="IQ30" s="23" t="s">
        <v>206</v>
      </c>
      <c r="IR30" s="114">
        <v>0.7</v>
      </c>
      <c r="IU30" s="114" t="s">
        <v>421</v>
      </c>
      <c r="IV30" s="114">
        <v>200</v>
      </c>
    </row>
    <row r="31" spans="1:256">
      <c r="A31" s="128" t="s">
        <v>430</v>
      </c>
      <c r="C31" s="128"/>
      <c r="D31" s="128"/>
      <c r="E31" s="128"/>
      <c r="F31" s="128"/>
      <c r="G31" s="118"/>
      <c r="IL31" s="114" t="s">
        <v>302</v>
      </c>
      <c r="IM31" s="114">
        <v>300</v>
      </c>
      <c r="IN31" s="114">
        <v>100</v>
      </c>
      <c r="IQ31" s="23" t="s">
        <v>208</v>
      </c>
      <c r="IR31" s="114">
        <v>0.7</v>
      </c>
      <c r="IU31" s="114" t="s">
        <v>302</v>
      </c>
      <c r="IV31" s="114">
        <v>300</v>
      </c>
    </row>
    <row r="32" spans="1:256">
      <c r="A32" s="128"/>
      <c r="B32" s="128"/>
      <c r="C32" s="128"/>
      <c r="D32" s="138"/>
      <c r="E32" s="138"/>
      <c r="F32" s="138"/>
      <c r="G32" s="118"/>
      <c r="IL32" s="114" t="s">
        <v>304</v>
      </c>
      <c r="IM32" s="114">
        <v>300</v>
      </c>
      <c r="IN32" s="114">
        <v>100</v>
      </c>
      <c r="IQ32" s="23" t="s">
        <v>207</v>
      </c>
      <c r="IR32" s="114">
        <v>0.7</v>
      </c>
      <c r="IU32" s="114" t="s">
        <v>304</v>
      </c>
      <c r="IV32" s="114">
        <v>300</v>
      </c>
    </row>
    <row r="33" spans="1:256" ht="15.95" customHeight="1">
      <c r="A33" s="141" t="s">
        <v>306</v>
      </c>
      <c r="C33" s="1319" t="s">
        <v>307</v>
      </c>
      <c r="D33" s="1319"/>
      <c r="E33" s="1319" t="s">
        <v>308</v>
      </c>
      <c r="F33" s="1319"/>
      <c r="G33" s="118"/>
      <c r="IL33" s="114" t="s">
        <v>305</v>
      </c>
      <c r="IM33" s="114">
        <v>300</v>
      </c>
      <c r="IN33" s="114">
        <v>100</v>
      </c>
      <c r="IU33" s="114" t="s">
        <v>305</v>
      </c>
      <c r="IV33" s="114">
        <v>300</v>
      </c>
    </row>
    <row r="34" spans="1:256" ht="15.75">
      <c r="A34" s="162" t="s">
        <v>266</v>
      </c>
      <c r="B34" s="140" t="str">
        <f>IF('Credit Summation'!R41="Cannot be Done","NA",IF('Credit Summation'!R41="RAAC",MIN(IR14,B28),"NA"))</f>
        <v>NA</v>
      </c>
      <c r="C34" s="142"/>
      <c r="D34" s="142"/>
      <c r="E34" s="142"/>
      <c r="F34" s="142"/>
      <c r="G34" s="118"/>
      <c r="IL34" s="114" t="s">
        <v>309</v>
      </c>
      <c r="IM34" s="114">
        <v>300</v>
      </c>
      <c r="IN34" s="114">
        <v>100</v>
      </c>
      <c r="IU34" s="114" t="s">
        <v>309</v>
      </c>
      <c r="IV34" s="114">
        <v>300</v>
      </c>
    </row>
    <row r="35" spans="1:256" ht="15.75">
      <c r="A35" s="162" t="s">
        <v>267</v>
      </c>
      <c r="B35" s="140" t="str">
        <f>IF('Credit Summation'!R42="Cannot be Done","NA",IF(OR('Credit Summation'!R42="ZCH",'Credit Summation'!R41="RAAC"),MIN(IR14,B28),"NA"))</f>
        <v>NA</v>
      </c>
      <c r="C35" s="1320"/>
      <c r="D35" s="1321"/>
      <c r="E35" s="1320"/>
      <c r="F35" s="1321"/>
      <c r="G35" s="118"/>
      <c r="IL35" s="114" t="s">
        <v>310</v>
      </c>
      <c r="IM35" s="114">
        <v>200</v>
      </c>
      <c r="IN35" s="114">
        <v>75</v>
      </c>
      <c r="IU35" s="114" t="s">
        <v>310</v>
      </c>
      <c r="IV35" s="114">
        <v>200</v>
      </c>
    </row>
    <row r="36" spans="1:256" ht="15.75">
      <c r="A36" s="162" t="s">
        <v>268</v>
      </c>
      <c r="B36" s="140" t="str">
        <f>IF('Credit Summation'!R43="Cannot be Done","NA",IF(OR('Credit Summation'!R42="ZCH",'Credit Summation'!R41="RAAC",'Credit Summation'!R43="L1"),MIN(B29,400),"NA"))</f>
        <v>NA</v>
      </c>
      <c r="C36" s="1322" t="str">
        <f>IF(B36="NA","NA",IF(B36&gt;IR14,"Yes","NA"))</f>
        <v>NA</v>
      </c>
      <c r="D36" s="1322"/>
      <c r="E36" s="1323" t="str">
        <f>IF(ISERROR(B16/(B36*100000)),"NA",B16/(B36*100000))</f>
        <v>NA</v>
      </c>
      <c r="F36" s="1323"/>
      <c r="G36" s="118"/>
      <c r="IL36" s="114" t="s">
        <v>311</v>
      </c>
      <c r="IM36" s="114">
        <v>200</v>
      </c>
      <c r="IN36" s="114">
        <v>75</v>
      </c>
      <c r="IS36" s="114" t="s">
        <v>576</v>
      </c>
      <c r="IT36" s="114" t="s">
        <v>577</v>
      </c>
      <c r="IU36" s="114" t="s">
        <v>311</v>
      </c>
      <c r="IV36" s="114">
        <v>200</v>
      </c>
    </row>
    <row r="37" spans="1:256" ht="15.75" hidden="1">
      <c r="A37" s="162" t="s">
        <v>478</v>
      </c>
      <c r="B37" s="140"/>
      <c r="C37" s="1324" t="e">
        <f>IF(B37="NA","NA",IF(B37&gt;IR14,"Yes","No"))</f>
        <v>#N/A</v>
      </c>
      <c r="D37" s="1318"/>
      <c r="E37" s="1325" t="str">
        <f>IF(ISERROR(B16/(B37*100000)),"NA",B16/(B37*100000))</f>
        <v>NA</v>
      </c>
      <c r="F37" s="1326"/>
      <c r="G37" s="118"/>
      <c r="IL37" s="114" t="s">
        <v>312</v>
      </c>
      <c r="IM37" s="114">
        <v>200</v>
      </c>
      <c r="IN37" s="114">
        <v>75</v>
      </c>
      <c r="IU37" s="114" t="s">
        <v>312</v>
      </c>
      <c r="IV37" s="114">
        <v>200</v>
      </c>
    </row>
    <row r="38" spans="1:256" ht="15.75">
      <c r="A38" s="162" t="s">
        <v>468</v>
      </c>
      <c r="B38" s="140" t="str">
        <f>IF('Credit Summation'!R44="Cannot be Done","NA",IF(OR('Credit Summation'!R44="Head Secured Credit",'Credit Summation'!R42="ZCH",'Credit Summation'!R41="RAAC",'Credit Summation'!R43="L1"),MIN(B30,500),"NA"))</f>
        <v>NA</v>
      </c>
      <c r="C38" s="1322" t="str">
        <f>IF(B38="NA","NA",IF(B38&gt;IR14,"Yes","NA"))</f>
        <v>NA</v>
      </c>
      <c r="D38" s="1322"/>
      <c r="E38" s="1323" t="str">
        <f>IF(ISERROR(B16/(B38*100000)),"NA",B16/(B38*100000))</f>
        <v>NA</v>
      </c>
      <c r="F38" s="1323"/>
      <c r="G38" s="118"/>
      <c r="IL38" s="114" t="s">
        <v>313</v>
      </c>
      <c r="IM38" s="114">
        <v>200</v>
      </c>
      <c r="IN38" s="114">
        <v>75</v>
      </c>
      <c r="IQ38" s="114" t="s">
        <v>317</v>
      </c>
      <c r="IR38" s="114" t="e">
        <f>IF(B3&gt;120,IF(ISERROR(SEARCH("Home",B8,1)),VLOOKUP(B8,IQ21:IR32,2,0)-0.05,VLOOKUP(B8,IQ21:IR32,2,0)),VLOOKUP(B8,IQ21:IR32,2,0))</f>
        <v>#N/A</v>
      </c>
      <c r="IS38" s="114" t="e">
        <f>+IR38+0.05</f>
        <v>#N/A</v>
      </c>
      <c r="IT38" s="114">
        <v>0.75</v>
      </c>
      <c r="IU38" s="114" t="s">
        <v>313</v>
      </c>
      <c r="IV38" s="114">
        <v>200</v>
      </c>
    </row>
    <row r="39" spans="1:256">
      <c r="A39" s="141"/>
      <c r="B39" s="128"/>
      <c r="C39" s="128"/>
      <c r="D39" s="128"/>
      <c r="E39" s="128"/>
      <c r="F39" s="128"/>
      <c r="G39" s="118"/>
      <c r="IL39" s="114" t="s">
        <v>315</v>
      </c>
      <c r="IM39" s="114">
        <v>200</v>
      </c>
      <c r="IN39" s="114">
        <v>75</v>
      </c>
      <c r="IQ39" s="114" t="s">
        <v>319</v>
      </c>
      <c r="IR39" s="114" t="e">
        <f>IF(LEFT(B8,5)="Topup",IR38*B7-B9,IR38*B7)</f>
        <v>#N/A</v>
      </c>
      <c r="IS39" s="114" t="e">
        <f>IF(LEFT(B8,5)="Topup",IS38*B7-B9,IS38*B7)</f>
        <v>#N/A</v>
      </c>
      <c r="IT39" s="114">
        <f>IF(LEFT(B8,5)="Topup",IT38*B7-B9,IT38*B7)</f>
        <v>0</v>
      </c>
      <c r="IU39" s="114" t="s">
        <v>315</v>
      </c>
      <c r="IV39" s="114">
        <v>200</v>
      </c>
    </row>
    <row r="40" spans="1:256" ht="30">
      <c r="A40" s="162" t="s">
        <v>193</v>
      </c>
      <c r="B40" s="143" t="s">
        <v>167</v>
      </c>
      <c r="C40" s="128"/>
      <c r="D40" s="128"/>
      <c r="E40" s="128"/>
      <c r="F40" s="128"/>
      <c r="G40" s="118"/>
      <c r="IL40" s="114" t="s">
        <v>316</v>
      </c>
      <c r="IM40" s="114">
        <v>200</v>
      </c>
      <c r="IN40" s="114">
        <v>75</v>
      </c>
      <c r="IQ40" s="114" t="s">
        <v>321</v>
      </c>
      <c r="IR40" s="146">
        <f>B17</f>
        <v>0</v>
      </c>
      <c r="IU40" s="114" t="s">
        <v>316</v>
      </c>
      <c r="IV40" s="114">
        <v>200</v>
      </c>
    </row>
    <row r="41" spans="1:256">
      <c r="A41" s="141"/>
      <c r="B41" s="128"/>
      <c r="C41" s="128"/>
      <c r="D41" s="128"/>
      <c r="E41" s="128"/>
      <c r="F41" s="128"/>
      <c r="G41" s="118"/>
      <c r="IL41" s="114" t="s">
        <v>318</v>
      </c>
      <c r="IM41" s="114">
        <v>200</v>
      </c>
      <c r="IN41" s="114">
        <v>75</v>
      </c>
      <c r="IR41" s="146" t="e">
        <f>MIN(IR39,IR40)</f>
        <v>#N/A</v>
      </c>
      <c r="IU41" s="114" t="s">
        <v>318</v>
      </c>
      <c r="IV41" s="114">
        <v>200</v>
      </c>
    </row>
    <row r="42" spans="1:256">
      <c r="A42" s="1327" t="s">
        <v>194</v>
      </c>
      <c r="B42" s="1328"/>
      <c r="C42" s="1329"/>
      <c r="D42" s="128"/>
      <c r="E42" s="128"/>
      <c r="F42" s="128"/>
      <c r="G42" s="118"/>
      <c r="IL42" s="114" t="s">
        <v>320</v>
      </c>
      <c r="IM42" s="114">
        <v>200</v>
      </c>
      <c r="IN42" s="114">
        <v>75</v>
      </c>
      <c r="IU42" s="114" t="s">
        <v>320</v>
      </c>
      <c r="IV42" s="114">
        <v>200</v>
      </c>
    </row>
    <row r="43" spans="1:256" ht="15.75">
      <c r="A43" s="162" t="s">
        <v>375</v>
      </c>
      <c r="B43" s="144">
        <v>412.5</v>
      </c>
      <c r="C43" s="170"/>
      <c r="D43" s="128"/>
      <c r="E43" s="128"/>
      <c r="F43" s="128"/>
      <c r="G43" s="118"/>
      <c r="IL43" s="114" t="s">
        <v>279</v>
      </c>
      <c r="IM43" s="114">
        <v>100</v>
      </c>
      <c r="IN43" s="114">
        <v>50</v>
      </c>
      <c r="IQ43" s="114" t="s">
        <v>574</v>
      </c>
      <c r="IR43" s="114" t="e">
        <f>IF(B3&gt;120,IF(ISERROR(SEARCH("Home",B8,1)),VLOOKUP(B8,IQ21:IR32,2,0)-0.05,VLOOKUP(B8,IQ21:IR32,2,0)),VLOOKUP(B8,IQ21:IR32,2,0))</f>
        <v>#N/A</v>
      </c>
      <c r="IU43" s="114" t="s">
        <v>279</v>
      </c>
      <c r="IV43" s="114">
        <v>100</v>
      </c>
    </row>
    <row r="44" spans="1:256" ht="15.75">
      <c r="A44" s="162" t="s">
        <v>195</v>
      </c>
      <c r="B44" s="187">
        <f>B3</f>
        <v>0</v>
      </c>
      <c r="C44" s="170"/>
      <c r="D44" s="128"/>
      <c r="E44" s="128"/>
      <c r="F44" s="128"/>
      <c r="G44" s="118"/>
      <c r="IQ44" s="114" t="s">
        <v>575</v>
      </c>
      <c r="IR44" s="114" t="e">
        <f>IF(LEFT(B8,5)="Topup",IR38*B7-B9,IR38*B7)</f>
        <v>#N/A</v>
      </c>
    </row>
    <row r="45" spans="1:256" ht="15.75">
      <c r="A45" s="162" t="s">
        <v>196</v>
      </c>
      <c r="B45" s="147">
        <f>B4</f>
        <v>0</v>
      </c>
      <c r="C45" s="145"/>
      <c r="D45" s="128"/>
      <c r="E45" s="128"/>
      <c r="F45" s="128"/>
      <c r="G45" s="118"/>
    </row>
    <row r="46" spans="1:256" ht="15.75">
      <c r="A46" s="162" t="s">
        <v>113</v>
      </c>
      <c r="B46" s="148" t="e">
        <f>PMT(B45/12,B44,-B43*100000)</f>
        <v>#NUM!</v>
      </c>
      <c r="C46" s="145"/>
      <c r="D46" s="128"/>
      <c r="E46" s="128"/>
      <c r="F46" s="128"/>
      <c r="G46" s="118"/>
    </row>
    <row r="47" spans="1:256" ht="15.75">
      <c r="A47" s="162" t="s">
        <v>322</v>
      </c>
      <c r="B47" s="148" t="e">
        <f>B21/B46</f>
        <v>#NUM!</v>
      </c>
      <c r="C47" s="145"/>
      <c r="D47" s="128"/>
      <c r="E47" s="128"/>
      <c r="F47" s="128"/>
      <c r="G47" s="118"/>
      <c r="IQ47" s="114" t="s">
        <v>428</v>
      </c>
      <c r="IR47" s="114" t="e">
        <f>IF(B3&gt;120,IF(ISERROR(SEARCH("Home",B8,1)),VLOOKUP(B8,IQ21:IR32,2,0),VLOOKUP(B8,IQ21:IR32,2,0)+0.05),VLOOKUP(B8,IQ21:IR32,2,0)+0.05)</f>
        <v>#N/A</v>
      </c>
    </row>
    <row r="48" spans="1:256" ht="15.75">
      <c r="A48" s="162" t="s">
        <v>323</v>
      </c>
      <c r="B48" s="148">
        <f>IF(ISERROR(B16/(B43*100000)),"NA",B16/(B43*100000))</f>
        <v>0</v>
      </c>
      <c r="C48" s="149" t="str">
        <f>IF(B48&lt;2,"NFA at L1","")</f>
        <v>NFA at L1</v>
      </c>
      <c r="D48" s="128"/>
      <c r="E48" s="128"/>
      <c r="F48" s="128"/>
      <c r="G48" s="118"/>
      <c r="IQ48" s="114" t="s">
        <v>429</v>
      </c>
      <c r="IR48" s="114" t="e">
        <f>IF(LEFT(B8,5)="Topup",IR47*B7-B9,IR47*B7)</f>
        <v>#N/A</v>
      </c>
    </row>
    <row r="49" spans="1:252" ht="15.75">
      <c r="A49" s="162" t="s">
        <v>457</v>
      </c>
      <c r="B49" s="150" t="e">
        <f>IF(B43="NA","NA",IF(B43&gt;IR14,"Yes","No"))</f>
        <v>#N/A</v>
      </c>
      <c r="C49" s="149" t="e">
        <f>IF(B49="Yes","NFA at L1","")</f>
        <v>#N/A</v>
      </c>
      <c r="D49" s="128"/>
      <c r="E49" s="128"/>
      <c r="F49" s="128"/>
      <c r="G49" s="118"/>
      <c r="IR49" s="146"/>
    </row>
    <row r="50" spans="1:252" ht="15.75">
      <c r="A50" s="162" t="s">
        <v>324</v>
      </c>
      <c r="B50" s="150">
        <v>3</v>
      </c>
      <c r="C50" s="149" t="str">
        <f>IF(B50&lt;4,"NFA at L1","")</f>
        <v>NFA at L1</v>
      </c>
      <c r="D50" s="128"/>
      <c r="E50" s="128"/>
      <c r="F50" s="128"/>
      <c r="G50" s="118"/>
      <c r="IR50" s="146"/>
    </row>
    <row r="51" spans="1:252" ht="45">
      <c r="A51" s="162" t="s">
        <v>465</v>
      </c>
      <c r="B51" s="150">
        <v>3</v>
      </c>
      <c r="C51" s="149" t="str">
        <f>IF(B51=1,"NFA at L2",IF(B51=2,"NFA at L2P",IF(B51&gt;2,"Not allowed","")))</f>
        <v>Not allowed</v>
      </c>
      <c r="D51" s="128"/>
      <c r="E51" s="128"/>
      <c r="F51" s="128"/>
      <c r="G51" s="118"/>
    </row>
    <row r="52" spans="1:252" ht="15.75">
      <c r="A52" s="162" t="s">
        <v>325</v>
      </c>
      <c r="B52" s="143" t="s">
        <v>167</v>
      </c>
      <c r="C52" s="149" t="str">
        <f>IF(B52="Yes","Not Allowed","")</f>
        <v>Not Allowed</v>
      </c>
      <c r="D52" s="128"/>
      <c r="E52" s="128"/>
      <c r="F52" s="128"/>
      <c r="G52" s="118"/>
      <c r="IQ52" s="114" t="s">
        <v>341</v>
      </c>
      <c r="IR52" s="114">
        <v>0.75</v>
      </c>
    </row>
    <row r="53" spans="1:252" ht="30">
      <c r="A53" s="162" t="s">
        <v>326</v>
      </c>
      <c r="B53" s="150">
        <v>3</v>
      </c>
      <c r="C53" s="149" t="str">
        <f>IF(B53&lt;4,"NFA at L1","")</f>
        <v>NFA at L1</v>
      </c>
      <c r="D53" s="128"/>
      <c r="E53" s="128"/>
      <c r="F53" s="128"/>
      <c r="G53" s="118"/>
      <c r="IQ53" s="114" t="s">
        <v>342</v>
      </c>
      <c r="IR53" s="114">
        <f>IF(LEFT(B8,5)="Topup",IR52*B7-B9,IR52*B7)</f>
        <v>0</v>
      </c>
    </row>
    <row r="54" spans="1:252" ht="30">
      <c r="A54" s="162" t="s">
        <v>456</v>
      </c>
      <c r="B54" s="143" t="s">
        <v>167</v>
      </c>
      <c r="C54" s="149" t="str">
        <f>IF(B54="No","NFA at L1","")</f>
        <v/>
      </c>
      <c r="D54" s="128"/>
      <c r="E54" s="128"/>
      <c r="F54" s="128"/>
      <c r="G54" s="118"/>
    </row>
    <row r="55" spans="1:252" ht="15.75">
      <c r="A55" s="162" t="s">
        <v>197</v>
      </c>
      <c r="B55" s="143" t="s">
        <v>167</v>
      </c>
      <c r="C55" s="149" t="str">
        <f>IF(B55="No","NFA at L1","")</f>
        <v/>
      </c>
      <c r="D55" s="128"/>
      <c r="E55" s="128"/>
      <c r="F55" s="128"/>
      <c r="G55" s="118"/>
    </row>
    <row r="56" spans="1:252" ht="15.75">
      <c r="A56" s="162" t="s">
        <v>327</v>
      </c>
      <c r="B56" s="143" t="s">
        <v>167</v>
      </c>
      <c r="C56" s="149" t="str">
        <f>IF(B56="No","NFA at L1","")</f>
        <v/>
      </c>
      <c r="D56" s="128"/>
      <c r="E56" s="128"/>
      <c r="F56" s="128"/>
      <c r="G56" s="118"/>
    </row>
    <row r="57" spans="1:252" ht="15.75">
      <c r="A57" s="162" t="s">
        <v>328</v>
      </c>
      <c r="B57" s="143" t="s">
        <v>167</v>
      </c>
      <c r="C57" s="149" t="str">
        <f>IF(B57="Yes","NFA at L1","")</f>
        <v>NFA at L1</v>
      </c>
      <c r="D57" s="128"/>
      <c r="E57" s="128"/>
      <c r="F57" s="128"/>
      <c r="G57" s="118"/>
    </row>
    <row r="58" spans="1:252" ht="30">
      <c r="A58" s="162" t="s">
        <v>363</v>
      </c>
      <c r="B58" s="143" t="s">
        <v>167</v>
      </c>
      <c r="C58" s="149" t="str">
        <f>IF(B58="Yes","NFA at L1","")</f>
        <v>NFA at L1</v>
      </c>
      <c r="D58" s="128"/>
      <c r="E58" s="128"/>
      <c r="F58" s="128"/>
      <c r="G58" s="118"/>
    </row>
    <row r="59" spans="1:252" ht="15.75">
      <c r="A59" s="162" t="s">
        <v>356</v>
      </c>
      <c r="B59" s="149" t="str">
        <f>IF(ISNUMBER(SEARCH("Top",'Variant Inputs &amp; Comparison'!B6,1)),'Variant Inputs &amp; Comparison'!B8,"NA")</f>
        <v>NA</v>
      </c>
      <c r="C59" s="149" t="str">
        <f>IF(B59="NA","NA",IF(B59&lt;12,"Not Allowed",""))</f>
        <v>NA</v>
      </c>
      <c r="D59" s="151"/>
      <c r="E59" s="151"/>
      <c r="F59" s="151"/>
      <c r="G59" s="118"/>
    </row>
    <row r="60" spans="1:252" ht="15.75">
      <c r="A60" s="162" t="s">
        <v>492</v>
      </c>
      <c r="B60" s="143" t="s">
        <v>168</v>
      </c>
      <c r="C60" s="149" t="str">
        <f>IF(B60="Yes","NFA at RCF 1","")</f>
        <v/>
      </c>
      <c r="D60" s="151"/>
      <c r="E60" s="151"/>
      <c r="F60" s="151"/>
      <c r="G60" s="118"/>
    </row>
    <row r="61" spans="1:252">
      <c r="A61" s="163"/>
      <c r="B61" s="151"/>
      <c r="C61" s="151"/>
      <c r="D61" s="151"/>
      <c r="E61" s="151"/>
      <c r="F61" s="151"/>
      <c r="G61" s="118"/>
    </row>
    <row r="62" spans="1:252" ht="15.75">
      <c r="A62" s="162" t="s">
        <v>253</v>
      </c>
      <c r="B62" s="171" t="s">
        <v>251</v>
      </c>
      <c r="C62" s="171" t="s">
        <v>252</v>
      </c>
      <c r="D62" s="171" t="s">
        <v>252</v>
      </c>
      <c r="E62" s="171" t="s">
        <v>252</v>
      </c>
      <c r="F62" s="171" t="s">
        <v>252</v>
      </c>
      <c r="G62" s="118"/>
    </row>
    <row r="63" spans="1:252" ht="15.75">
      <c r="A63" s="162" t="s">
        <v>254</v>
      </c>
      <c r="B63" s="149">
        <f>'Credit Summation'!R23</f>
        <v>0</v>
      </c>
      <c r="C63" s="149">
        <f>'Credit Summation'!S23</f>
        <v>0</v>
      </c>
      <c r="D63" s="149">
        <f>'Credit Summation'!T23</f>
        <v>0</v>
      </c>
      <c r="E63" s="149">
        <f>'Credit Summation'!U23</f>
        <v>0</v>
      </c>
      <c r="F63" s="149">
        <f>'Credit Summation'!V23</f>
        <v>0</v>
      </c>
      <c r="G63" s="118"/>
    </row>
    <row r="64" spans="1:252" ht="15.75">
      <c r="A64" s="162" t="s">
        <v>259</v>
      </c>
      <c r="B64" s="149" t="str">
        <f>'Credit Summation'!R24</f>
        <v>Not Allowed</v>
      </c>
      <c r="C64" s="149">
        <f>'Credit Summation'!S24</f>
        <v>0</v>
      </c>
      <c r="D64" s="149">
        <f>'Credit Summation'!T24</f>
        <v>12</v>
      </c>
      <c r="E64" s="149">
        <f>'Credit Summation'!U24</f>
        <v>12</v>
      </c>
      <c r="F64" s="149">
        <f>'Credit Summation'!V24</f>
        <v>12</v>
      </c>
      <c r="G64" s="118"/>
    </row>
    <row r="65" spans="1:7" ht="15.75">
      <c r="A65" s="162" t="s">
        <v>261</v>
      </c>
      <c r="B65" s="149">
        <f>'Credit Summation'!R25</f>
        <v>12</v>
      </c>
      <c r="C65" s="149">
        <f>'Credit Summation'!S25</f>
        <v>0</v>
      </c>
      <c r="D65" s="149">
        <f>'Credit Summation'!T25</f>
        <v>12</v>
      </c>
      <c r="E65" s="149">
        <f>'Credit Summation'!U25</f>
        <v>12</v>
      </c>
      <c r="F65" s="149">
        <f>'Credit Summation'!V25</f>
        <v>12</v>
      </c>
      <c r="G65" s="118"/>
    </row>
    <row r="66" spans="1:7" ht="15.75">
      <c r="A66" s="162" t="s">
        <v>263</v>
      </c>
      <c r="B66" s="149" t="str">
        <f>'Credit Summation'!R26</f>
        <v>Not Applicable</v>
      </c>
      <c r="C66" s="149">
        <f>'Credit Summation'!S26</f>
        <v>3</v>
      </c>
      <c r="D66" s="149">
        <f>'Credit Summation'!T26</f>
        <v>3</v>
      </c>
      <c r="E66" s="149">
        <f>'Credit Summation'!U26</f>
        <v>3</v>
      </c>
      <c r="F66" s="149">
        <f>'Credit Summation'!V26</f>
        <v>3</v>
      </c>
      <c r="G66" s="118"/>
    </row>
    <row r="67" spans="1:7" ht="15.75">
      <c r="A67" s="162" t="s">
        <v>264</v>
      </c>
      <c r="B67" s="149">
        <f>'Credit Summation'!R27</f>
        <v>3</v>
      </c>
      <c r="C67" s="149">
        <f>'Credit Summation'!S27</f>
        <v>3</v>
      </c>
      <c r="D67" s="149">
        <f>'Credit Summation'!T27</f>
        <v>3</v>
      </c>
      <c r="E67" s="149">
        <f>'Credit Summation'!U27</f>
        <v>3</v>
      </c>
      <c r="F67" s="149">
        <f>'Credit Summation'!V27</f>
        <v>3</v>
      </c>
      <c r="G67" s="118"/>
    </row>
    <row r="68" spans="1:7">
      <c r="A68" s="164"/>
      <c r="B68" s="165"/>
      <c r="C68" s="165"/>
      <c r="D68" s="165"/>
      <c r="E68" s="165"/>
      <c r="F68" s="165"/>
      <c r="G68" s="118"/>
    </row>
    <row r="69" spans="1:7" ht="15.75">
      <c r="A69" s="162" t="s">
        <v>265</v>
      </c>
      <c r="B69" s="171" t="s">
        <v>251</v>
      </c>
      <c r="C69" s="171" t="s">
        <v>252</v>
      </c>
      <c r="D69" s="171" t="s">
        <v>252</v>
      </c>
      <c r="E69" s="171" t="s">
        <v>252</v>
      </c>
      <c r="F69" s="171" t="s">
        <v>252</v>
      </c>
      <c r="G69" s="118"/>
    </row>
    <row r="70" spans="1:7" ht="15.75">
      <c r="A70" s="162" t="s">
        <v>254</v>
      </c>
      <c r="B70" s="149" t="str">
        <f>'Credit Summation'!R30</f>
        <v>Not Allowed</v>
      </c>
      <c r="C70" s="149" t="str">
        <f>'Credit Summation'!S30</f>
        <v/>
      </c>
      <c r="D70" s="149" t="str">
        <f>'Credit Summation'!T30</f>
        <v/>
      </c>
      <c r="E70" s="149" t="str">
        <f>'Credit Summation'!U30</f>
        <v/>
      </c>
      <c r="F70" s="149" t="str">
        <f>'Credit Summation'!V30</f>
        <v/>
      </c>
      <c r="G70" s="118"/>
    </row>
    <row r="71" spans="1:7" ht="15.75">
      <c r="A71" s="162" t="s">
        <v>259</v>
      </c>
      <c r="B71" s="149" t="str">
        <f>'Credit Summation'!R31</f>
        <v>Not Allowed</v>
      </c>
      <c r="C71" s="149"/>
      <c r="D71" s="149"/>
      <c r="E71" s="149"/>
      <c r="F71" s="149"/>
      <c r="G71" s="118"/>
    </row>
    <row r="72" spans="1:7" ht="15.75">
      <c r="A72" s="162" t="s">
        <v>261</v>
      </c>
      <c r="B72" s="149" t="str">
        <f>'Credit Summation'!R32</f>
        <v>Not Allowed</v>
      </c>
      <c r="C72" s="149"/>
      <c r="D72" s="149"/>
      <c r="E72" s="149"/>
      <c r="F72" s="149"/>
      <c r="G72" s="118"/>
    </row>
    <row r="73" spans="1:7" ht="15.75">
      <c r="A73" s="162" t="s">
        <v>263</v>
      </c>
      <c r="B73" s="149" t="str">
        <f>'Credit Summation'!R33</f>
        <v>Allowed</v>
      </c>
      <c r="C73" s="149"/>
      <c r="D73" s="149"/>
      <c r="E73" s="149"/>
      <c r="F73" s="149"/>
      <c r="G73" s="118"/>
    </row>
    <row r="74" spans="1:7" ht="15.75">
      <c r="A74" s="162" t="s">
        <v>264</v>
      </c>
      <c r="B74" s="149" t="str">
        <f>'Credit Summation'!R34</f>
        <v>Not Allowed</v>
      </c>
      <c r="C74" s="149" t="str">
        <f>'Credit Summation'!S34</f>
        <v>Not Allowed</v>
      </c>
      <c r="D74" s="149" t="str">
        <f>'Credit Summation'!T34</f>
        <v/>
      </c>
      <c r="E74" s="149" t="str">
        <f>'Credit Summation'!U34</f>
        <v/>
      </c>
      <c r="F74" s="149" t="str">
        <f>'Credit Summation'!V34</f>
        <v/>
      </c>
      <c r="G74" s="118"/>
    </row>
    <row r="75" spans="1:7">
      <c r="A75" s="163"/>
      <c r="B75" s="151"/>
      <c r="C75" s="151"/>
      <c r="D75" s="151"/>
      <c r="E75" s="151"/>
      <c r="F75" s="151"/>
      <c r="G75" s="118"/>
    </row>
    <row r="76" spans="1:7">
      <c r="A76" s="163"/>
      <c r="B76" s="151"/>
      <c r="C76" s="151"/>
      <c r="D76" s="151"/>
      <c r="E76" s="151"/>
      <c r="F76" s="151"/>
      <c r="G76" s="118"/>
    </row>
    <row r="77" spans="1:7">
      <c r="A77" s="163"/>
      <c r="B77" s="151"/>
      <c r="C77" s="152"/>
      <c r="D77" s="152"/>
      <c r="E77" s="151"/>
      <c r="F77" s="151"/>
      <c r="G77" s="118"/>
    </row>
    <row r="78" spans="1:7">
      <c r="A78" s="153"/>
      <c r="B78" s="154"/>
      <c r="C78" s="154"/>
      <c r="D78" s="154"/>
      <c r="E78" s="154"/>
      <c r="F78" s="154"/>
      <c r="G78" s="118"/>
    </row>
    <row r="79" spans="1:7">
      <c r="A79" s="155"/>
      <c r="B79" s="154"/>
      <c r="C79" s="154"/>
      <c r="D79" s="154"/>
      <c r="E79" s="154">
        <f>30.4/58</f>
        <v>0.5241379310344827</v>
      </c>
      <c r="F79" s="154"/>
      <c r="G79" s="118"/>
    </row>
    <row r="80" spans="1:7">
      <c r="A80" s="1312"/>
      <c r="B80" s="1313"/>
      <c r="C80" s="1313"/>
      <c r="D80" s="1313"/>
      <c r="E80" s="1313"/>
      <c r="F80" s="1313"/>
      <c r="G80" s="118"/>
    </row>
    <row r="81" spans="1:7" ht="15.95" customHeight="1">
      <c r="A81" s="1312"/>
      <c r="B81" s="1313"/>
      <c r="C81" s="1313"/>
      <c r="D81" s="1313"/>
      <c r="E81" s="1313"/>
      <c r="F81" s="1313"/>
      <c r="G81" s="118"/>
    </row>
    <row r="82" spans="1:7">
      <c r="A82" s="1312"/>
      <c r="B82" s="1313"/>
      <c r="C82" s="1313"/>
      <c r="D82" s="1313"/>
      <c r="E82" s="1313"/>
      <c r="F82" s="1313"/>
      <c r="G82" s="118"/>
    </row>
    <row r="83" spans="1:7">
      <c r="A83" s="1312"/>
      <c r="B83" s="1313"/>
      <c r="C83" s="1313"/>
      <c r="D83" s="1313"/>
      <c r="E83" s="1313"/>
      <c r="F83" s="1313"/>
      <c r="G83" s="118"/>
    </row>
    <row r="84" spans="1:7" ht="15.75" thickBot="1">
      <c r="A84" s="1314"/>
      <c r="B84" s="1315"/>
      <c r="C84" s="1315"/>
      <c r="D84" s="1315"/>
      <c r="E84" s="1315"/>
      <c r="F84" s="1315"/>
      <c r="G84" s="156"/>
    </row>
  </sheetData>
  <sheetProtection algorithmName="SHA-512" hashValue="nGzgBucHUPdB36WbJTp/+Dy3SsSR9HRemW0ItOJ9/VP5iZabVUmNwHpYOfQUyAuUr6KY+XAdh7y3UW7/ZI0z7g==" saltValue="Q/7XD64GEo3iMItHp+1Vfg==" spinCount="100000" sheet="1" formatCells="0" formatColumns="0"/>
  <mergeCells count="19">
    <mergeCell ref="A25:B25"/>
    <mergeCell ref="A1:G1"/>
    <mergeCell ref="A2:G2"/>
    <mergeCell ref="A14:B14"/>
    <mergeCell ref="A15:B15"/>
    <mergeCell ref="A19:B19"/>
    <mergeCell ref="A80:F84"/>
    <mergeCell ref="A27:B27"/>
    <mergeCell ref="C33:D33"/>
    <mergeCell ref="E33:F33"/>
    <mergeCell ref="C35:D35"/>
    <mergeCell ref="E35:F35"/>
    <mergeCell ref="C36:D36"/>
    <mergeCell ref="E36:F36"/>
    <mergeCell ref="C37:D37"/>
    <mergeCell ref="E37:F37"/>
    <mergeCell ref="C38:D38"/>
    <mergeCell ref="E38:F38"/>
    <mergeCell ref="A42:C42"/>
  </mergeCells>
  <conditionalFormatting sqref="C36:F37 C77:F77 C50 C53:C58">
    <cfRule type="containsText" dxfId="132" priority="37" stopIfTrue="1" operator="containsText" text="NO">
      <formula>NOT(ISERROR(SEARCH("NO",C36)))</formula>
    </cfRule>
    <cfRule type="containsText" dxfId="131" priority="38" stopIfTrue="1" operator="containsText" text="NA">
      <formula>NOT(ISERROR(SEARCH("NA",C36)))</formula>
    </cfRule>
  </conditionalFormatting>
  <conditionalFormatting sqref="B34:B37 B50:B58 B40">
    <cfRule type="containsText" dxfId="130" priority="36" stopIfTrue="1" operator="containsText" text="NA">
      <formula>NOT(ISERROR(SEARCH("NA",B34)))</formula>
    </cfRule>
  </conditionalFormatting>
  <conditionalFormatting sqref="A77:B77">
    <cfRule type="containsText" dxfId="129" priority="34" stopIfTrue="1" operator="containsText" text="NO">
      <formula>NOT(ISERROR(SEARCH("NO",A77)))</formula>
    </cfRule>
    <cfRule type="containsText" dxfId="128" priority="35" stopIfTrue="1" operator="containsText" text="NA">
      <formula>NOT(ISERROR(SEARCH("NA",A77)))</formula>
    </cfRule>
  </conditionalFormatting>
  <conditionalFormatting sqref="B62:F62 A75:F76 D59:F61 A68:F68 B69:F69">
    <cfRule type="containsText" dxfId="127" priority="32" stopIfTrue="1" operator="containsText" text="NO">
      <formula>NOT(ISERROR(SEARCH("NO",A59)))</formula>
    </cfRule>
    <cfRule type="containsText" dxfId="126" priority="33" stopIfTrue="1" operator="containsText" text="NA">
      <formula>NOT(ISERROR(SEARCH("NA",A59)))</formula>
    </cfRule>
  </conditionalFormatting>
  <conditionalFormatting sqref="C49">
    <cfRule type="containsText" dxfId="125" priority="30" stopIfTrue="1" operator="containsText" text="NO">
      <formula>NOT(ISERROR(SEARCH("NO",C49)))</formula>
    </cfRule>
    <cfRule type="containsText" dxfId="124" priority="31" stopIfTrue="1" operator="containsText" text="NA">
      <formula>NOT(ISERROR(SEARCH("NA",C49)))</formula>
    </cfRule>
  </conditionalFormatting>
  <conditionalFormatting sqref="A43:C43 C44:C46 B69:F74 B45 A53:C53 A52:B52 A42:A46 B54:C54 A55:C60 A47:C51">
    <cfRule type="expression" dxfId="123" priority="39" stopIfTrue="1">
      <formula>$B$40="No"</formula>
    </cfRule>
  </conditionalFormatting>
  <conditionalFormatting sqref="B46">
    <cfRule type="expression" dxfId="122" priority="29" stopIfTrue="1">
      <formula>$B$40="No"</formula>
    </cfRule>
  </conditionalFormatting>
  <conditionalFormatting sqref="E38:F38">
    <cfRule type="containsText" dxfId="121" priority="27" stopIfTrue="1" operator="containsText" text="NO">
      <formula>NOT(ISERROR(SEARCH("NO",E38)))</formula>
    </cfRule>
    <cfRule type="containsText" dxfId="120" priority="28" stopIfTrue="1" operator="containsText" text="NA">
      <formula>NOT(ISERROR(SEARCH("NA",E38)))</formula>
    </cfRule>
  </conditionalFormatting>
  <conditionalFormatting sqref="A61:C61">
    <cfRule type="containsText" dxfId="119" priority="24" stopIfTrue="1" operator="containsText" text="NO">
      <formula>NOT(ISERROR(SEARCH("NO",A61)))</formula>
    </cfRule>
    <cfRule type="containsText" dxfId="118" priority="25" stopIfTrue="1" operator="containsText" text="NA">
      <formula>NOT(ISERROR(SEARCH("NA",A61)))</formula>
    </cfRule>
  </conditionalFormatting>
  <conditionalFormatting sqref="A62:A67">
    <cfRule type="expression" dxfId="117" priority="16" stopIfTrue="1">
      <formula>$B$40="No"</formula>
    </cfRule>
  </conditionalFormatting>
  <conditionalFormatting sqref="A69:A74">
    <cfRule type="expression" dxfId="116" priority="15" stopIfTrue="1">
      <formula>$B$40="No"</formula>
    </cfRule>
  </conditionalFormatting>
  <conditionalFormatting sqref="B62:F67">
    <cfRule type="expression" dxfId="115" priority="14" stopIfTrue="1">
      <formula>$B$40="No"</formula>
    </cfRule>
  </conditionalFormatting>
  <conditionalFormatting sqref="C48">
    <cfRule type="containsText" dxfId="114" priority="12" stopIfTrue="1" operator="containsText" text="NO">
      <formula>NOT(ISERROR(SEARCH("NO",C48)))</formula>
    </cfRule>
    <cfRule type="containsText" dxfId="113" priority="13" stopIfTrue="1" operator="containsText" text="NA">
      <formula>NOT(ISERROR(SEARCH("NA",C48)))</formula>
    </cfRule>
  </conditionalFormatting>
  <conditionalFormatting sqref="B49">
    <cfRule type="containsText" dxfId="112" priority="10" stopIfTrue="1" operator="containsText" text="NO">
      <formula>NOT(ISERROR(SEARCH("NO",B49)))</formula>
    </cfRule>
    <cfRule type="containsText" dxfId="111" priority="11" stopIfTrue="1" operator="containsText" text="NA">
      <formula>NOT(ISERROR(SEARCH("NA",B49)))</formula>
    </cfRule>
  </conditionalFormatting>
  <conditionalFormatting sqref="B44">
    <cfRule type="expression" dxfId="110" priority="9" stopIfTrue="1">
      <formula>$B$40="No"</formula>
    </cfRule>
  </conditionalFormatting>
  <conditionalFormatting sqref="B38">
    <cfRule type="containsText" dxfId="109" priority="8" stopIfTrue="1" operator="containsText" text="NA">
      <formula>NOT(ISERROR(SEARCH("NA",B38)))</formula>
    </cfRule>
  </conditionalFormatting>
  <conditionalFormatting sqref="C38:D38">
    <cfRule type="containsText" dxfId="108" priority="6" stopIfTrue="1" operator="containsText" text="NO">
      <formula>NOT(ISERROR(SEARCH("NO",C38)))</formula>
    </cfRule>
    <cfRule type="containsText" dxfId="107" priority="7" stopIfTrue="1" operator="containsText" text="NA">
      <formula>NOT(ISERROR(SEARCH("NA",C38)))</formula>
    </cfRule>
  </conditionalFormatting>
  <conditionalFormatting sqref="A54">
    <cfRule type="expression" dxfId="106" priority="5" stopIfTrue="1">
      <formula>$B$42="No"</formula>
    </cfRule>
  </conditionalFormatting>
  <conditionalFormatting sqref="C60">
    <cfRule type="containsText" dxfId="105" priority="3" stopIfTrue="1" operator="containsText" text="NO">
      <formula>NOT(ISERROR(SEARCH("NO",C60)))</formula>
    </cfRule>
    <cfRule type="containsText" dxfId="104" priority="4" stopIfTrue="1" operator="containsText" text="NA">
      <formula>NOT(ISERROR(SEARCH("NA",C60)))</formula>
    </cfRule>
  </conditionalFormatting>
  <conditionalFormatting sqref="B60">
    <cfRule type="containsText" dxfId="103" priority="2" stopIfTrue="1" operator="containsText" text="NA">
      <formula>NOT(ISERROR(SEARCH("NA",B60)))</formula>
    </cfRule>
  </conditionalFormatting>
  <conditionalFormatting sqref="B49">
    <cfRule type="containsText" dxfId="102" priority="1" stopIfTrue="1" operator="containsText" text="NA">
      <formula>NOT(ISERROR(SEARCH("NA",B49)))</formula>
    </cfRule>
  </conditionalFormatting>
  <dataValidations disablePrompts="1" count="6">
    <dataValidation type="whole" operator="lessThanOrEqual" allowBlank="1" showInputMessage="1" showErrorMessage="1" errorTitle="Maximum Tenor can be 180 only" error="Maximum Tenor can be 180 only" sqref="B3" xr:uid="{00000000-0002-0000-0B00-000000000000}">
      <formula1>180</formula1>
    </dataValidation>
    <dataValidation operator="lessThanOrEqual" allowBlank="1" showInputMessage="1" showErrorMessage="1" sqref="B45:B47" xr:uid="{00000000-0002-0000-0B00-000001000000}"/>
    <dataValidation type="whole" allowBlank="1" showInputMessage="1" showErrorMessage="1" sqref="B51 B53" xr:uid="{00000000-0002-0000-0B00-000002000000}">
      <formula1>0</formula1>
      <formula2>5000</formula2>
    </dataValidation>
    <dataValidation type="list" allowBlank="1" showInputMessage="1" showErrorMessage="1" sqref="B52 B40 B54:B58 B60" xr:uid="{00000000-0002-0000-0B00-000003000000}">
      <formula1>"Yes,No"</formula1>
    </dataValidation>
    <dataValidation type="whole" operator="lessThanOrEqual" allowBlank="1" showInputMessage="1" showErrorMessage="1" errorTitle="Maximum Tenor can be 120 only" sqref="B44" xr:uid="{00000000-0002-0000-0B00-000004000000}">
      <formula1>120</formula1>
    </dataValidation>
    <dataValidation type="decimal" operator="lessThanOrEqual" allowBlank="1" showInputMessage="1" showErrorMessage="1" sqref="B43" xr:uid="{00000000-0002-0000-0B00-000005000000}">
      <formula1>MAX(B34:B38)+0.01</formula1>
    </dataValidation>
  </dataValidations>
  <pageMargins left="0.25" right="0.25" top="0.75" bottom="0.75" header="0.3" footer="0.3"/>
  <pageSetup paperSize="9" scale="10" orientation="landscape" useFirstPageNumber="1" horizontalDpi="300" verticalDpi="300" r:id="rId1"/>
  <headerFooter alignWithMargins="0">
    <oddHeader>&amp;C&amp;A</oddHeader>
    <oddFooter>&amp;CPage &amp;P</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rgb="FFC00000"/>
    <pageSetUpPr fitToPage="1"/>
  </sheetPr>
  <dimension ref="A1:IX64"/>
  <sheetViews>
    <sheetView zoomScaleNormal="100" workbookViewId="0"/>
  </sheetViews>
  <sheetFormatPr defaultColWidth="6.625" defaultRowHeight="14.25" zeroHeight="1"/>
  <cols>
    <col min="1" max="1" width="57.25" style="56" bestFit="1" customWidth="1"/>
    <col min="2" max="2" width="26.125" style="56" bestFit="1" customWidth="1"/>
    <col min="3" max="3" width="20" style="56" bestFit="1" customWidth="1"/>
    <col min="4" max="253" width="6.625" style="56"/>
    <col min="254" max="254" width="31.5" style="56" customWidth="1"/>
    <col min="255" max="255" width="19.25" style="56" customWidth="1"/>
    <col min="256" max="256" width="42.375" style="56" bestFit="1" customWidth="1"/>
    <col min="257" max="257" width="17.875" style="56" customWidth="1"/>
    <col min="258" max="16384" width="6.625" style="56"/>
  </cols>
  <sheetData>
    <row r="1" spans="1:257" ht="15">
      <c r="A1" s="32" t="s">
        <v>218</v>
      </c>
      <c r="B1" s="32" t="s">
        <v>217</v>
      </c>
    </row>
    <row r="2" spans="1:257">
      <c r="A2" s="175" t="s">
        <v>242</v>
      </c>
      <c r="B2" s="212">
        <f>'Variant Inputs &amp; Comparison'!F4</f>
        <v>0</v>
      </c>
    </row>
    <row r="3" spans="1:257">
      <c r="A3" s="175" t="s">
        <v>243</v>
      </c>
      <c r="B3" s="212">
        <f>'Variant Inputs &amp; Comparison'!F5</f>
        <v>0</v>
      </c>
    </row>
    <row r="4" spans="1:257">
      <c r="A4" s="166" t="s">
        <v>247</v>
      </c>
      <c r="B4" s="212">
        <f>'Variant Inputs &amp; Comparison'!F6</f>
        <v>0</v>
      </c>
      <c r="N4" s="31" t="s">
        <v>249</v>
      </c>
      <c r="O4" s="56" t="e">
        <f>PMT(Eligibility!F36/12,MIN(180,'Express BT - Non Home'!B6),-100000)</f>
        <v>#NUM!</v>
      </c>
      <c r="Q4" s="31" t="s">
        <v>480</v>
      </c>
      <c r="R4" s="31" t="s">
        <v>483</v>
      </c>
    </row>
    <row r="5" spans="1:257">
      <c r="A5" s="166" t="s">
        <v>360</v>
      </c>
      <c r="B5" s="212">
        <f>'Variant Inputs &amp; Comparison'!F7</f>
        <v>0</v>
      </c>
      <c r="Q5" s="31" t="s">
        <v>481</v>
      </c>
    </row>
    <row r="6" spans="1:257">
      <c r="A6" s="166" t="s">
        <v>248</v>
      </c>
      <c r="B6" s="212">
        <f>'Variant Inputs &amp; Comparison'!F8</f>
        <v>0</v>
      </c>
      <c r="Q6" s="31" t="s">
        <v>482</v>
      </c>
    </row>
    <row r="7" spans="1:257">
      <c r="A7" s="166" t="s">
        <v>201</v>
      </c>
      <c r="B7" s="212">
        <f>'Variant Inputs &amp; Comparison'!B6</f>
        <v>0</v>
      </c>
    </row>
    <row r="8" spans="1:257">
      <c r="A8" s="31"/>
    </row>
    <row r="9" spans="1:257">
      <c r="IT9" s="31" t="s">
        <v>402</v>
      </c>
      <c r="IV9" s="31" t="s">
        <v>362</v>
      </c>
    </row>
    <row r="10" spans="1:257">
      <c r="A10" s="166" t="s">
        <v>374</v>
      </c>
      <c r="B10" s="219">
        <f>+B4*B5*1.25/100000</f>
        <v>0</v>
      </c>
      <c r="C10" s="31" t="s">
        <v>376</v>
      </c>
      <c r="IT10" s="31" t="s">
        <v>403</v>
      </c>
      <c r="IU10" s="56">
        <v>18</v>
      </c>
      <c r="IV10" s="31" t="s">
        <v>403</v>
      </c>
      <c r="IW10" s="56">
        <v>12</v>
      </c>
    </row>
    <row r="11" spans="1:257">
      <c r="IT11" s="31" t="s">
        <v>404</v>
      </c>
      <c r="IU11" s="56">
        <v>18</v>
      </c>
      <c r="IV11" s="31" t="s">
        <v>404</v>
      </c>
      <c r="IW11" s="31">
        <v>12</v>
      </c>
    </row>
    <row r="12" spans="1:257">
      <c r="A12" s="175" t="s">
        <v>329</v>
      </c>
      <c r="B12" s="219">
        <f>B2+B3+B10</f>
        <v>0</v>
      </c>
      <c r="IT12" s="31" t="s">
        <v>405</v>
      </c>
      <c r="IU12" s="56">
        <v>18</v>
      </c>
      <c r="IV12" s="31" t="s">
        <v>405</v>
      </c>
      <c r="IW12" s="56">
        <v>12</v>
      </c>
    </row>
    <row r="13" spans="1:257">
      <c r="E13" s="31"/>
      <c r="IT13" s="31" t="s">
        <v>346</v>
      </c>
      <c r="IU13" s="56">
        <v>18</v>
      </c>
      <c r="IV13" s="31" t="s">
        <v>346</v>
      </c>
      <c r="IW13" s="56">
        <v>12</v>
      </c>
    </row>
    <row r="14" spans="1:257">
      <c r="A14" s="175" t="s">
        <v>244</v>
      </c>
      <c r="B14" s="219" t="e">
        <f>'Banking product- Eligibility'!IR39/100000</f>
        <v>#N/A</v>
      </c>
      <c r="IT14" s="31" t="s">
        <v>347</v>
      </c>
      <c r="IU14" s="56">
        <v>18</v>
      </c>
      <c r="IV14" s="31" t="s">
        <v>347</v>
      </c>
      <c r="IW14" s="56">
        <v>12</v>
      </c>
    </row>
    <row r="15" spans="1:257">
      <c r="A15" s="166" t="s">
        <v>566</v>
      </c>
      <c r="B15" s="219" t="e">
        <f>'Banking product- Eligibility'!IS39/100000</f>
        <v>#N/A</v>
      </c>
      <c r="IT15" s="31"/>
      <c r="IV15" s="31"/>
    </row>
    <row r="16" spans="1:257">
      <c r="A16" s="166" t="s">
        <v>567</v>
      </c>
      <c r="B16" s="219">
        <f>'Banking product- Eligibility'!IT39/100000</f>
        <v>0</v>
      </c>
      <c r="IT16" s="31"/>
      <c r="IV16" s="31"/>
    </row>
    <row r="17" spans="1:258">
      <c r="IT17" s="31" t="s">
        <v>406</v>
      </c>
      <c r="IU17" s="56">
        <v>18</v>
      </c>
      <c r="IV17" s="31" t="s">
        <v>406</v>
      </c>
      <c r="IW17" s="56">
        <v>12</v>
      </c>
    </row>
    <row r="18" spans="1:258">
      <c r="A18" s="175" t="s">
        <v>245</v>
      </c>
      <c r="B18" s="219" t="e">
        <f>'Daily-Balance'!B23/1.25/O4</f>
        <v>#NUM!</v>
      </c>
      <c r="IT18" s="31" t="s">
        <v>407</v>
      </c>
      <c r="IU18" s="56">
        <v>18</v>
      </c>
      <c r="IV18" s="31" t="s">
        <v>407</v>
      </c>
      <c r="IW18" s="56">
        <v>12</v>
      </c>
    </row>
    <row r="19" spans="1:258">
      <c r="IT19" s="31" t="s">
        <v>348</v>
      </c>
      <c r="IU19" s="56">
        <v>24</v>
      </c>
      <c r="IV19" s="31" t="s">
        <v>348</v>
      </c>
      <c r="IW19" s="56">
        <v>24</v>
      </c>
    </row>
    <row r="20" spans="1:258">
      <c r="A20" s="175" t="s">
        <v>246</v>
      </c>
      <c r="B20" s="219" t="e">
        <f>'Banking product- Eligibility'!IR14</f>
        <v>#N/A</v>
      </c>
      <c r="IT20" s="31" t="s">
        <v>350</v>
      </c>
      <c r="IU20" s="56">
        <v>24</v>
      </c>
      <c r="IV20" s="31" t="s">
        <v>350</v>
      </c>
      <c r="IW20" s="56">
        <v>24</v>
      </c>
    </row>
    <row r="21" spans="1:258">
      <c r="IT21" s="31" t="s">
        <v>349</v>
      </c>
      <c r="IU21" s="56">
        <v>24</v>
      </c>
      <c r="IV21" s="31" t="s">
        <v>349</v>
      </c>
      <c r="IW21" s="56">
        <v>24</v>
      </c>
    </row>
    <row r="22" spans="1:258">
      <c r="A22" s="175" t="s">
        <v>434</v>
      </c>
      <c r="B22" s="219" t="e">
        <f>((130%*Eligibility!F30-Eligibility!F32)/'GTP - Eligibility'!Z12)/100000</f>
        <v>#NUM!</v>
      </c>
      <c r="IT22" s="31" t="s">
        <v>351</v>
      </c>
      <c r="IU22" s="56">
        <v>24</v>
      </c>
      <c r="IV22" s="31" t="s">
        <v>351</v>
      </c>
      <c r="IW22" s="56">
        <v>24</v>
      </c>
    </row>
    <row r="23" spans="1:258">
      <c r="A23" s="175" t="s">
        <v>564</v>
      </c>
      <c r="B23" s="219" t="e">
        <f>((150%*Eligibility!F30-Eligibility!F32)/'GTP - Eligibility'!Z12)/100000</f>
        <v>#NUM!</v>
      </c>
      <c r="IT23" s="31" t="s">
        <v>422</v>
      </c>
      <c r="IU23" s="56">
        <v>24</v>
      </c>
      <c r="IV23" s="31" t="s">
        <v>422</v>
      </c>
      <c r="IW23" s="56">
        <v>24</v>
      </c>
    </row>
    <row r="24" spans="1:258">
      <c r="IT24" s="31" t="s">
        <v>423</v>
      </c>
      <c r="IU24" s="56">
        <v>24</v>
      </c>
      <c r="IV24" s="31" t="s">
        <v>423</v>
      </c>
      <c r="IW24" s="56">
        <v>24</v>
      </c>
    </row>
    <row r="25" spans="1:258">
      <c r="A25" s="167" t="s">
        <v>571</v>
      </c>
      <c r="B25" s="229" t="e">
        <f>MAX(MIN(B22,B15),MIN(B23,B14))</f>
        <v>#NUM!</v>
      </c>
      <c r="IT25" s="31"/>
      <c r="IV25" s="31"/>
    </row>
    <row r="26" spans="1:258">
      <c r="A26" s="167" t="s">
        <v>572</v>
      </c>
      <c r="B26" s="229" t="e">
        <f>MAX(MIN(B22,B16),MIN(B23,B14))</f>
        <v>#NUM!</v>
      </c>
      <c r="IT26" s="31"/>
      <c r="IV26" s="31"/>
    </row>
    <row r="27" spans="1:258">
      <c r="IT27" s="31" t="s">
        <v>424</v>
      </c>
      <c r="IU27" s="56">
        <v>24</v>
      </c>
      <c r="IV27" s="31" t="s">
        <v>424</v>
      </c>
      <c r="IW27" s="56">
        <v>24</v>
      </c>
    </row>
    <row r="28" spans="1:258">
      <c r="A28" s="175"/>
      <c r="B28" s="175" t="s">
        <v>412</v>
      </c>
      <c r="C28" s="175" t="s">
        <v>401</v>
      </c>
      <c r="IT28" s="31" t="s">
        <v>425</v>
      </c>
      <c r="IU28" s="56">
        <v>24</v>
      </c>
      <c r="IV28" s="31" t="s">
        <v>425</v>
      </c>
      <c r="IW28" s="56">
        <v>24</v>
      </c>
    </row>
    <row r="29" spans="1:258">
      <c r="A29" s="175" t="s">
        <v>343</v>
      </c>
      <c r="B29" s="229" t="e">
        <f>MIN(B22,B20,B18,B14,B12,300)</f>
        <v>#NUM!</v>
      </c>
      <c r="C29" s="175" t="e">
        <f>B29-$B$2</f>
        <v>#NUM!</v>
      </c>
      <c r="IT29" s="31" t="s">
        <v>556</v>
      </c>
      <c r="IU29" s="56">
        <v>24</v>
      </c>
      <c r="IV29" s="31" t="s">
        <v>556</v>
      </c>
      <c r="IW29" s="56">
        <v>24</v>
      </c>
      <c r="IX29" s="31" t="s">
        <v>562</v>
      </c>
    </row>
    <row r="30" spans="1:258">
      <c r="A30" s="175" t="s">
        <v>344</v>
      </c>
      <c r="B30" s="229" t="e">
        <f>MIN(B25,B18,B12,400,'Banking product- Eligibility'!IR48/100000)</f>
        <v>#N/A</v>
      </c>
      <c r="C30" s="175" t="e">
        <f>B30-$B$2</f>
        <v>#N/A</v>
      </c>
      <c r="IT30" s="31" t="s">
        <v>557</v>
      </c>
      <c r="IU30" s="56">
        <v>24</v>
      </c>
      <c r="IV30" s="31" t="s">
        <v>557</v>
      </c>
      <c r="IW30" s="56">
        <v>24</v>
      </c>
      <c r="IX30" s="31" t="s">
        <v>562</v>
      </c>
    </row>
    <row r="31" spans="1:258">
      <c r="A31" s="166" t="s">
        <v>475</v>
      </c>
      <c r="B31" s="229" t="e">
        <f>MIN(B26,B18,B12,500,'Banking product- Eligibility'!IR53/100000)</f>
        <v>#NUM!</v>
      </c>
      <c r="C31" s="175" t="e">
        <f>B31-$B$2</f>
        <v>#NUM!</v>
      </c>
      <c r="IT31" s="31" t="s">
        <v>558</v>
      </c>
      <c r="IU31" s="56">
        <v>24</v>
      </c>
      <c r="IV31" s="31" t="s">
        <v>558</v>
      </c>
      <c r="IW31" s="56">
        <v>24</v>
      </c>
      <c r="IX31" s="31" t="s">
        <v>562</v>
      </c>
    </row>
    <row r="32" spans="1:258">
      <c r="IT32" s="31" t="s">
        <v>559</v>
      </c>
      <c r="IU32" s="56">
        <v>24</v>
      </c>
      <c r="IV32" s="31" t="s">
        <v>559</v>
      </c>
      <c r="IW32" s="56">
        <v>24</v>
      </c>
      <c r="IX32" s="31" t="s">
        <v>562</v>
      </c>
    </row>
    <row r="33" spans="1:258">
      <c r="IT33" s="31" t="s">
        <v>560</v>
      </c>
      <c r="IU33" s="56">
        <v>24</v>
      </c>
      <c r="IV33" s="31" t="s">
        <v>560</v>
      </c>
      <c r="IW33" s="56">
        <v>24</v>
      </c>
      <c r="IX33" s="31" t="s">
        <v>562</v>
      </c>
    </row>
    <row r="34" spans="1:258">
      <c r="IT34" s="31" t="s">
        <v>563</v>
      </c>
      <c r="IU34" s="56">
        <v>24</v>
      </c>
      <c r="IV34" s="31" t="s">
        <v>563</v>
      </c>
      <c r="IW34" s="56">
        <v>24</v>
      </c>
      <c r="IX34" s="31" t="s">
        <v>562</v>
      </c>
    </row>
    <row r="35" spans="1:258">
      <c r="IT35" s="31" t="s">
        <v>561</v>
      </c>
      <c r="IU35" s="56">
        <v>24</v>
      </c>
      <c r="IV35" s="31" t="s">
        <v>561</v>
      </c>
      <c r="IW35" s="56">
        <v>24</v>
      </c>
      <c r="IX35" s="31" t="s">
        <v>562</v>
      </c>
    </row>
    <row r="36" spans="1:258">
      <c r="IT36" s="31"/>
    </row>
    <row r="37" spans="1:258">
      <c r="IT37" s="31"/>
    </row>
    <row r="38" spans="1:258">
      <c r="IT38" s="31"/>
    </row>
    <row r="39" spans="1:258">
      <c r="IT39" s="31"/>
    </row>
    <row r="40" spans="1:258">
      <c r="IT40" s="31"/>
    </row>
    <row r="41" spans="1:258">
      <c r="A41" s="56" t="e">
        <f>MIN(MAX(B29:B31)-B2-B3)</f>
        <v>#NUM!</v>
      </c>
      <c r="IT41" s="31"/>
    </row>
    <row r="42" spans="1:258" ht="15">
      <c r="A42" s="1342" t="s">
        <v>194</v>
      </c>
      <c r="B42" s="1342"/>
      <c r="C42" s="1342"/>
    </row>
    <row r="43" spans="1:258" ht="15">
      <c r="A43" s="206"/>
      <c r="B43" s="206" t="s">
        <v>484</v>
      </c>
      <c r="C43" s="206" t="s">
        <v>485</v>
      </c>
    </row>
    <row r="44" spans="1:258" ht="15">
      <c r="A44" s="113" t="s">
        <v>486</v>
      </c>
      <c r="B44" s="148" t="e">
        <f>MIN(MAX(B29:B31),B2+B3)</f>
        <v>#NUM!</v>
      </c>
      <c r="C44" s="148" t="e">
        <f>MAX(0,A41*PMT(B47/1200,B46,-A41*100000)/PMT(C47/1200,C46,-A41*100000))</f>
        <v>#NUM!</v>
      </c>
      <c r="E44" s="205"/>
    </row>
    <row r="45" spans="1:258" ht="15">
      <c r="A45" s="113" t="s">
        <v>487</v>
      </c>
      <c r="B45" s="148" t="e">
        <f>B44</f>
        <v>#NUM!</v>
      </c>
      <c r="C45" s="223">
        <v>0</v>
      </c>
      <c r="E45" s="205"/>
    </row>
    <row r="46" spans="1:258" ht="15">
      <c r="A46" s="113" t="s">
        <v>195</v>
      </c>
      <c r="B46" s="187">
        <f>MIN(180,Eligibility!F35)</f>
        <v>0</v>
      </c>
      <c r="C46" s="187">
        <f>'Variant Inputs &amp; Comparison'!F11</f>
        <v>0</v>
      </c>
    </row>
    <row r="47" spans="1:258" ht="15">
      <c r="A47" s="113" t="s">
        <v>196</v>
      </c>
      <c r="B47" s="207">
        <f>Eligibility!F36</f>
        <v>0</v>
      </c>
      <c r="C47" s="207">
        <v>0.14000000000000001</v>
      </c>
    </row>
    <row r="48" spans="1:258" ht="15">
      <c r="A48" s="113" t="s">
        <v>113</v>
      </c>
      <c r="B48" s="208" t="e">
        <f>PMT(B47/12,B46,-B45*100000)</f>
        <v>#NUM!</v>
      </c>
      <c r="C48" s="208" t="e">
        <f>PMT(C47/12,C46,-C45*100000)</f>
        <v>#NUM!</v>
      </c>
    </row>
    <row r="49" spans="1:3" ht="15">
      <c r="A49" s="113" t="s">
        <v>322</v>
      </c>
      <c r="B49" s="1343" t="e">
        <f>IF('Variant Inputs &amp; Comparison'!B9="Yes",'Daily-Balance'!B23,'Daily-Balance'!B22)/(B48+C48)</f>
        <v>#NUM!</v>
      </c>
      <c r="C49" s="1343"/>
    </row>
    <row r="50" spans="1:3" ht="15">
      <c r="A50" s="113" t="s">
        <v>457</v>
      </c>
      <c r="B50" s="143" t="s">
        <v>168</v>
      </c>
      <c r="C50" s="149" t="str">
        <f>IF(B50="Yes","NFA at L1","")</f>
        <v/>
      </c>
    </row>
    <row r="51" spans="1:3" ht="15">
      <c r="A51" s="113" t="s">
        <v>568</v>
      </c>
      <c r="B51" s="150"/>
      <c r="C51" s="149" t="str">
        <f>IF(ISERROR(SEARCH("Home",'Variant Inputs &amp; Comparison'!B6,1)),IF(B51&lt;4,"NFA at L1",""),"")</f>
        <v>NFA at L1</v>
      </c>
    </row>
    <row r="52" spans="1:3" ht="15">
      <c r="A52" s="113" t="s">
        <v>467</v>
      </c>
      <c r="B52" s="150">
        <v>5</v>
      </c>
      <c r="C52" s="149" t="str">
        <f>IF(B52&gt;0,"NFA at L1","")</f>
        <v>NFA at L1</v>
      </c>
    </row>
    <row r="53" spans="1:3" ht="15">
      <c r="A53" s="113" t="s">
        <v>569</v>
      </c>
      <c r="B53" s="150">
        <v>5</v>
      </c>
      <c r="C53" s="149" t="str">
        <f>IF(ISERROR(SEARCH("Home",'Variant Inputs &amp; Comparison'!B6,1)),IF(B53&gt;2,"NFA at L1",""),"")</f>
        <v>NFA at L1</v>
      </c>
    </row>
    <row r="54" spans="1:3" ht="15">
      <c r="A54" s="113" t="s">
        <v>325</v>
      </c>
      <c r="B54" s="143" t="s">
        <v>168</v>
      </c>
      <c r="C54" s="149" t="str">
        <f>IF(B54="Yes","Not Allowed","")</f>
        <v/>
      </c>
    </row>
    <row r="55" spans="1:3" ht="30">
      <c r="A55" s="162" t="s">
        <v>456</v>
      </c>
      <c r="B55" s="143" t="s">
        <v>168</v>
      </c>
      <c r="C55" s="149" t="str">
        <f>IF(B55="No","NFA at L1","")</f>
        <v>NFA at L1</v>
      </c>
    </row>
    <row r="56" spans="1:3" ht="15">
      <c r="A56" s="113" t="s">
        <v>328</v>
      </c>
      <c r="B56" s="143" t="s">
        <v>167</v>
      </c>
      <c r="C56" s="149" t="str">
        <f>IF(B56="Yes","NFA at L1","")</f>
        <v>NFA at L1</v>
      </c>
    </row>
    <row r="57" spans="1:3" ht="30">
      <c r="A57" s="113" t="s">
        <v>570</v>
      </c>
      <c r="B57" s="143" t="s">
        <v>168</v>
      </c>
      <c r="C57" s="149" t="str">
        <f>IF(B57="Yes","NFA at L1","")</f>
        <v/>
      </c>
    </row>
    <row r="58" spans="1:3" ht="15">
      <c r="A58" s="113" t="s">
        <v>356</v>
      </c>
      <c r="B58" s="149">
        <f>'Variant Inputs &amp; Comparison'!F6</f>
        <v>0</v>
      </c>
      <c r="C58" s="149"/>
    </row>
    <row r="59" spans="1:3" ht="15">
      <c r="A59" s="113" t="str">
        <f>IF('Variant Inputs &amp; Comparison'!B6="Home Loan","Is the customer having more than 2 housing loans","")</f>
        <v/>
      </c>
      <c r="B59" s="143"/>
      <c r="C59" s="149" t="str">
        <f>IF('Variant Inputs &amp; Comparison'!B6="Home Loan",IF(B59="Yes","NFA at RCF1",""),"")</f>
        <v/>
      </c>
    </row>
    <row r="60" spans="1:3" ht="15">
      <c r="A60" s="113" t="str">
        <f>IF('Variant Inputs &amp; Comparison'!B6="Home Loan","Minimum CIBIL score of the applicants","")</f>
        <v/>
      </c>
      <c r="B60" s="143" t="s">
        <v>480</v>
      </c>
      <c r="C60" s="149" t="str">
        <f>IF('Variant Inputs &amp; Comparison'!B6="Home Loan",IF(B60="&lt;730","NFA at RCF-1",IF(B60="730-760","NFA at L1","RAAC")),"")</f>
        <v/>
      </c>
    </row>
    <row r="61" spans="1:3" ht="15">
      <c r="A61" s="113" t="s">
        <v>469</v>
      </c>
      <c r="B61" s="149" t="e">
        <f>IF(B46&lt;120,IF(AND((B45+C45)/Eligibility!F46&gt;0.6,(B45+C45)/Eligibility!F46&lt;0.65),"NFA at L1",IF((B45+C45)/Eligibility!F46&gt;0.65,"Head Secured Credit","")),IF(AND((B45+C45)/Eligibility!F46&gt;0.55,(B45+C45)/Eligibility!F46&lt;0.6),"NFA at L1",IF((B45+C45)/Eligibility!F46&gt;0.6,"Head Secured Credit","")))</f>
        <v>#NUM!</v>
      </c>
      <c r="C61" s="149"/>
    </row>
    <row r="62" spans="1:3" ht="15">
      <c r="A62" s="113" t="s">
        <v>470</v>
      </c>
      <c r="B62" s="168" t="e">
        <f>IF((B45+C45)&lt;=B20,"",IF((B45+C45)&lt;400,"NFA at L1","NFA at Head Secured-Credit"))</f>
        <v>#NUM!</v>
      </c>
      <c r="C62" s="149"/>
    </row>
    <row r="63" spans="1:3" ht="15">
      <c r="A63" s="113" t="s">
        <v>491</v>
      </c>
      <c r="B63" s="143" t="s">
        <v>167</v>
      </c>
      <c r="C63" s="149" t="str">
        <f>IF(B63="Yes","NFA at L1","")</f>
        <v>NFA at L1</v>
      </c>
    </row>
    <row r="64" spans="1:3"/>
  </sheetData>
  <sheetProtection algorithmName="SHA-512" hashValue="5HPPdFkoNwJLzANITKEzFXPpd9aPH5n8Wf/XgQgAqQtmXVvh7he+LIJDgD1R/XuyQj0JPpel5N1br7jgyAJWpQ==" saltValue="ilsgO/Yl/uwkQUcQVYSDGg==" spinCount="100000" sheet="1" objects="1" scenarios="1"/>
  <mergeCells count="2">
    <mergeCell ref="A42:C42"/>
    <mergeCell ref="B49:C49"/>
  </mergeCells>
  <conditionalFormatting sqref="B51:B57 B59">
    <cfRule type="containsText" dxfId="101" priority="60" stopIfTrue="1" operator="containsText" text="NA">
      <formula>NOT(ISERROR(SEARCH("NA",B51)))</formula>
    </cfRule>
  </conditionalFormatting>
  <conditionalFormatting sqref="A58:C58 A59:B59 A44:B44 A42:A48 A45:C48 A49:B49 A51:B54 A50 A56:B57 B55 A60:A63">
    <cfRule type="expression" dxfId="100" priority="63" stopIfTrue="1">
      <formula>#REF!="No"</formula>
    </cfRule>
  </conditionalFormatting>
  <conditionalFormatting sqref="C51:C53">
    <cfRule type="containsText" dxfId="99" priority="49" stopIfTrue="1" operator="containsText" text="NO">
      <formula>NOT(ISERROR(SEARCH("NO",C51)))</formula>
    </cfRule>
    <cfRule type="containsText" dxfId="98" priority="50" stopIfTrue="1" operator="containsText" text="NA">
      <formula>NOT(ISERROR(SEARCH("NA",C51)))</formula>
    </cfRule>
  </conditionalFormatting>
  <conditionalFormatting sqref="C51:C53">
    <cfRule type="expression" dxfId="97" priority="51" stopIfTrue="1">
      <formula>#REF!="No"</formula>
    </cfRule>
  </conditionalFormatting>
  <conditionalFormatting sqref="C55">
    <cfRule type="containsText" dxfId="96" priority="46" stopIfTrue="1" operator="containsText" text="NO">
      <formula>NOT(ISERROR(SEARCH("NO",C55)))</formula>
    </cfRule>
    <cfRule type="containsText" dxfId="95" priority="47" stopIfTrue="1" operator="containsText" text="NA">
      <formula>NOT(ISERROR(SEARCH("NA",C55)))</formula>
    </cfRule>
  </conditionalFormatting>
  <conditionalFormatting sqref="C55">
    <cfRule type="expression" dxfId="94" priority="48" stopIfTrue="1">
      <formula>#REF!="No"</formula>
    </cfRule>
  </conditionalFormatting>
  <conditionalFormatting sqref="C56">
    <cfRule type="containsText" dxfId="93" priority="40" stopIfTrue="1" operator="containsText" text="NO">
      <formula>NOT(ISERROR(SEARCH("NO",C56)))</formula>
    </cfRule>
    <cfRule type="containsText" dxfId="92" priority="41" stopIfTrue="1" operator="containsText" text="NA">
      <formula>NOT(ISERROR(SEARCH("NA",C56)))</formula>
    </cfRule>
  </conditionalFormatting>
  <conditionalFormatting sqref="C56">
    <cfRule type="expression" dxfId="91" priority="42" stopIfTrue="1">
      <formula>#REF!="No"</formula>
    </cfRule>
  </conditionalFormatting>
  <conditionalFormatting sqref="C57">
    <cfRule type="containsText" dxfId="90" priority="37" stopIfTrue="1" operator="containsText" text="NO">
      <formula>NOT(ISERROR(SEARCH("NO",C57)))</formula>
    </cfRule>
    <cfRule type="containsText" dxfId="89" priority="38" stopIfTrue="1" operator="containsText" text="NA">
      <formula>NOT(ISERROR(SEARCH("NA",C57)))</formula>
    </cfRule>
  </conditionalFormatting>
  <conditionalFormatting sqref="C57">
    <cfRule type="expression" dxfId="88" priority="39" stopIfTrue="1">
      <formula>#REF!="No"</formula>
    </cfRule>
  </conditionalFormatting>
  <conditionalFormatting sqref="B47:B48 C48">
    <cfRule type="containsText" dxfId="87" priority="35" stopIfTrue="1" operator="containsText" text="NO">
      <formula>NOT(ISERROR(SEARCH("NO",B47)))</formula>
    </cfRule>
    <cfRule type="containsText" dxfId="86" priority="36" stopIfTrue="1" operator="containsText" text="NA">
      <formula>NOT(ISERROR(SEARCH("NA",B47)))</formula>
    </cfRule>
  </conditionalFormatting>
  <conditionalFormatting sqref="C47:C48">
    <cfRule type="containsText" dxfId="85" priority="33" stopIfTrue="1" operator="containsText" text="NO">
      <formula>NOT(ISERROR(SEARCH("NO",C47)))</formula>
    </cfRule>
    <cfRule type="containsText" dxfId="84" priority="34" stopIfTrue="1" operator="containsText" text="NA">
      <formula>NOT(ISERROR(SEARCH("NA",C47)))</formula>
    </cfRule>
  </conditionalFormatting>
  <conditionalFormatting sqref="C44">
    <cfRule type="expression" dxfId="83" priority="32" stopIfTrue="1">
      <formula>#REF!="No"</formula>
    </cfRule>
  </conditionalFormatting>
  <conditionalFormatting sqref="C50">
    <cfRule type="containsText" dxfId="82" priority="25" stopIfTrue="1" operator="containsText" text="NO">
      <formula>NOT(ISERROR(SEARCH("NO",C50)))</formula>
    </cfRule>
    <cfRule type="containsText" dxfId="81" priority="26" stopIfTrue="1" operator="containsText" text="NA">
      <formula>NOT(ISERROR(SEARCH("NA",C50)))</formula>
    </cfRule>
  </conditionalFormatting>
  <conditionalFormatting sqref="C50">
    <cfRule type="expression" dxfId="80" priority="27" stopIfTrue="1">
      <formula>#REF!="No"</formula>
    </cfRule>
  </conditionalFormatting>
  <conditionalFormatting sqref="C60:C62">
    <cfRule type="containsText" dxfId="79" priority="22" stopIfTrue="1" operator="containsText" text="NO">
      <formula>NOT(ISERROR(SEARCH("NO",C60)))</formula>
    </cfRule>
    <cfRule type="containsText" dxfId="78" priority="23" stopIfTrue="1" operator="containsText" text="NA">
      <formula>NOT(ISERROR(SEARCH("NA",C60)))</formula>
    </cfRule>
  </conditionalFormatting>
  <conditionalFormatting sqref="C60:C62">
    <cfRule type="expression" dxfId="77" priority="24" stopIfTrue="1">
      <formula>#REF!="No"</formula>
    </cfRule>
  </conditionalFormatting>
  <conditionalFormatting sqref="B61">
    <cfRule type="containsText" dxfId="76" priority="19" stopIfTrue="1" operator="containsText" text="NO">
      <formula>NOT(ISERROR(SEARCH("NO",B61)))</formula>
    </cfRule>
    <cfRule type="containsText" dxfId="75" priority="20" stopIfTrue="1" operator="containsText" text="NA">
      <formula>NOT(ISERROR(SEARCH("NA",B61)))</formula>
    </cfRule>
  </conditionalFormatting>
  <conditionalFormatting sqref="B61">
    <cfRule type="expression" dxfId="74" priority="21" stopIfTrue="1">
      <formula>#REF!="No"</formula>
    </cfRule>
  </conditionalFormatting>
  <conditionalFormatting sqref="B62">
    <cfRule type="containsText" dxfId="73" priority="16" stopIfTrue="1" operator="containsText" text="NO">
      <formula>NOT(ISERROR(SEARCH("NO",B62)))</formula>
    </cfRule>
    <cfRule type="containsText" dxfId="72" priority="17" stopIfTrue="1" operator="containsText" text="NA">
      <formula>NOT(ISERROR(SEARCH("NA",B62)))</formula>
    </cfRule>
  </conditionalFormatting>
  <conditionalFormatting sqref="B62">
    <cfRule type="expression" dxfId="71" priority="18" stopIfTrue="1">
      <formula>#REF!="No"</formula>
    </cfRule>
  </conditionalFormatting>
  <conditionalFormatting sqref="A55">
    <cfRule type="expression" dxfId="70" priority="15" stopIfTrue="1">
      <formula>$B$47="No"</formula>
    </cfRule>
  </conditionalFormatting>
  <conditionalFormatting sqref="C59">
    <cfRule type="containsText" dxfId="69" priority="12" stopIfTrue="1" operator="containsText" text="NO">
      <formula>NOT(ISERROR(SEARCH("NO",C59)))</formula>
    </cfRule>
    <cfRule type="containsText" dxfId="68" priority="13" stopIfTrue="1" operator="containsText" text="NA">
      <formula>NOT(ISERROR(SEARCH("NA",C59)))</formula>
    </cfRule>
  </conditionalFormatting>
  <conditionalFormatting sqref="C59">
    <cfRule type="expression" dxfId="67" priority="14" stopIfTrue="1">
      <formula>#REF!="No"</formula>
    </cfRule>
  </conditionalFormatting>
  <conditionalFormatting sqref="B63">
    <cfRule type="containsText" dxfId="66" priority="10" stopIfTrue="1" operator="containsText" text="NA">
      <formula>NOT(ISERROR(SEARCH("NA",B63)))</formula>
    </cfRule>
  </conditionalFormatting>
  <conditionalFormatting sqref="B63">
    <cfRule type="expression" dxfId="65" priority="11" stopIfTrue="1">
      <formula>#REF!="No"</formula>
    </cfRule>
  </conditionalFormatting>
  <conditionalFormatting sqref="C63">
    <cfRule type="containsText" dxfId="64" priority="4" stopIfTrue="1" operator="containsText" text="NO">
      <formula>NOT(ISERROR(SEARCH("NO",C63)))</formula>
    </cfRule>
    <cfRule type="containsText" dxfId="63" priority="5" stopIfTrue="1" operator="containsText" text="NA">
      <formula>NOT(ISERROR(SEARCH("NA",C63)))</formula>
    </cfRule>
  </conditionalFormatting>
  <conditionalFormatting sqref="C63">
    <cfRule type="expression" dxfId="62" priority="6" stopIfTrue="1">
      <formula>#REF!="No"</formula>
    </cfRule>
  </conditionalFormatting>
  <conditionalFormatting sqref="C45">
    <cfRule type="expression" dxfId="61" priority="1">
      <formula>$C$45&gt;$C$44</formula>
    </cfRule>
  </conditionalFormatting>
  <dataValidations count="6">
    <dataValidation operator="lessThanOrEqual" allowBlank="1" showInputMessage="1" showErrorMessage="1" sqref="B44:B49 C48" xr:uid="{00000000-0002-0000-0C00-000000000000}"/>
    <dataValidation type="whole" allowBlank="1" showInputMessage="1" showErrorMessage="1" sqref="B52:B53" xr:uid="{00000000-0002-0000-0C00-000001000000}">
      <formula1>0</formula1>
      <formula2>5000</formula2>
    </dataValidation>
    <dataValidation type="list" allowBlank="1" showInputMessage="1" showErrorMessage="1" sqref="B54:B57 B63" xr:uid="{00000000-0002-0000-0C00-000002000000}">
      <formula1>"Yes,No"</formula1>
    </dataValidation>
    <dataValidation type="whole" operator="lessThanOrEqual" allowBlank="1" showInputMessage="1" showErrorMessage="1" sqref="C46" xr:uid="{00000000-0002-0000-0C00-000003000000}">
      <formula1>180</formula1>
    </dataValidation>
    <dataValidation type="decimal" operator="lessThanOrEqual" allowBlank="1" showInputMessage="1" showErrorMessage="1" sqref="C45" xr:uid="{00000000-0002-0000-0C00-000004000000}">
      <formula1>C44</formula1>
    </dataValidation>
    <dataValidation type="list" allowBlank="1" showInputMessage="1" showErrorMessage="1" sqref="B50 B59" xr:uid="{00000000-0002-0000-0C00-000005000000}">
      <formula1>"Yes, No"</formula1>
    </dataValidation>
  </dataValidations>
  <pageMargins left="0.7" right="0.7" top="0.75" bottom="0.75" header="0.3" footer="0.3"/>
  <pageSetup paperSize="9" scale="10"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C00-000006000000}">
          <x14:formula1>
            <xm:f>IF('Variant Inputs &amp; Comparison'!B6="Home Loan",$Q$4:$Q$6,$R$4)</xm:f>
          </x14:formula1>
          <xm:sqref>B60</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rgb="FFC00000"/>
    <pageSetUpPr fitToPage="1"/>
  </sheetPr>
  <dimension ref="A1:IX61"/>
  <sheetViews>
    <sheetView zoomScaleNormal="100" workbookViewId="0">
      <selection activeCell="B3" sqref="B3"/>
    </sheetView>
  </sheetViews>
  <sheetFormatPr defaultColWidth="6.625" defaultRowHeight="14.25" zeroHeight="1"/>
  <cols>
    <col min="1" max="1" width="57.25" style="56" bestFit="1" customWidth="1"/>
    <col min="2" max="2" width="26.125" style="56" bestFit="1" customWidth="1"/>
    <col min="3" max="3" width="20" style="56" bestFit="1" customWidth="1"/>
    <col min="4" max="253" width="6.625" style="56"/>
    <col min="254" max="254" width="31.5" style="56" customWidth="1"/>
    <col min="255" max="255" width="19.25" style="56" customWidth="1"/>
    <col min="256" max="256" width="42.375" style="56" bestFit="1" customWidth="1"/>
    <col min="257" max="257" width="17.875" style="56" customWidth="1"/>
    <col min="258" max="16384" width="6.625" style="56"/>
  </cols>
  <sheetData>
    <row r="1" spans="1:257" ht="15">
      <c r="A1" s="32" t="s">
        <v>218</v>
      </c>
      <c r="B1" s="32" t="s">
        <v>217</v>
      </c>
    </row>
    <row r="2" spans="1:257">
      <c r="A2" s="175" t="s">
        <v>242</v>
      </c>
      <c r="B2" s="226">
        <f>'Variant Inputs &amp; Comparison'!F4</f>
        <v>0</v>
      </c>
    </row>
    <row r="3" spans="1:257">
      <c r="A3" s="175" t="s">
        <v>243</v>
      </c>
      <c r="B3" s="226">
        <f>'Variant Inputs &amp; Comparison'!F5</f>
        <v>0</v>
      </c>
    </row>
    <row r="4" spans="1:257">
      <c r="A4" s="166" t="s">
        <v>247</v>
      </c>
      <c r="B4" s="226">
        <f>'Variant Inputs &amp; Comparison'!F6</f>
        <v>0</v>
      </c>
      <c r="N4" s="31" t="s">
        <v>249</v>
      </c>
      <c r="O4" s="56" t="e">
        <f>PMT(Eligibility!F36/12,MIN(180,'Express BT - Home'!B6),-100000)</f>
        <v>#NUM!</v>
      </c>
      <c r="Q4" s="31" t="s">
        <v>480</v>
      </c>
      <c r="R4" s="31" t="s">
        <v>483</v>
      </c>
    </row>
    <row r="5" spans="1:257">
      <c r="A5" s="166" t="s">
        <v>360</v>
      </c>
      <c r="B5" s="226">
        <f>'Variant Inputs &amp; Comparison'!F7</f>
        <v>0</v>
      </c>
      <c r="Q5" s="31" t="s">
        <v>481</v>
      </c>
    </row>
    <row r="6" spans="1:257">
      <c r="A6" s="166" t="s">
        <v>248</v>
      </c>
      <c r="B6" s="226">
        <f>'Variant Inputs &amp; Comparison'!F8</f>
        <v>0</v>
      </c>
      <c r="Q6" s="31" t="s">
        <v>482</v>
      </c>
    </row>
    <row r="7" spans="1:257">
      <c r="A7" s="166" t="s">
        <v>201</v>
      </c>
      <c r="B7" s="226">
        <f>'Variant Inputs &amp; Comparison'!B6</f>
        <v>0</v>
      </c>
    </row>
    <row r="8" spans="1:257">
      <c r="A8" s="31"/>
    </row>
    <row r="9" spans="1:257">
      <c r="IT9" s="31" t="s">
        <v>402</v>
      </c>
      <c r="IV9" s="31" t="s">
        <v>362</v>
      </c>
    </row>
    <row r="10" spans="1:257">
      <c r="A10" s="175" t="s">
        <v>329</v>
      </c>
      <c r="B10" s="219" t="e">
        <f>IF(B4&lt;=24,MIN(B5*115%/Eligibility!F37,100%*'Variant Inputs &amp; Comparison'!F9),MIN(B5*115%/Eligibility!F37,130%*'Variant Inputs &amp; Comparison'!F9))</f>
        <v>#NUM!</v>
      </c>
      <c r="IT10" s="31" t="s">
        <v>405</v>
      </c>
      <c r="IU10" s="56">
        <v>18</v>
      </c>
      <c r="IV10" s="31" t="s">
        <v>405</v>
      </c>
      <c r="IW10" s="56">
        <v>12</v>
      </c>
    </row>
    <row r="11" spans="1:257">
      <c r="E11" s="31"/>
      <c r="IT11" s="31" t="s">
        <v>346</v>
      </c>
      <c r="IU11" s="56">
        <v>18</v>
      </c>
      <c r="IV11" s="31" t="s">
        <v>346</v>
      </c>
      <c r="IW11" s="56">
        <v>12</v>
      </c>
    </row>
    <row r="12" spans="1:257">
      <c r="A12" s="175" t="s">
        <v>244</v>
      </c>
      <c r="B12" s="219" t="e">
        <f>'Banking product- Eligibility'!IR39/100000</f>
        <v>#N/A</v>
      </c>
      <c r="IT12" s="31" t="s">
        <v>347</v>
      </c>
      <c r="IU12" s="56">
        <v>18</v>
      </c>
      <c r="IV12" s="31" t="s">
        <v>347</v>
      </c>
      <c r="IW12" s="56">
        <v>12</v>
      </c>
    </row>
    <row r="13" spans="1:257">
      <c r="A13" s="175"/>
      <c r="B13" s="219"/>
      <c r="IT13" s="31"/>
      <c r="IV13" s="31"/>
    </row>
    <row r="14" spans="1:257">
      <c r="A14" s="175" t="s">
        <v>245</v>
      </c>
      <c r="B14" s="219" t="e">
        <f>'Daily-Balance'!B23/1.25/O4</f>
        <v>#NUM!</v>
      </c>
      <c r="IT14" s="31" t="s">
        <v>407</v>
      </c>
      <c r="IU14" s="56">
        <v>18</v>
      </c>
      <c r="IV14" s="31" t="s">
        <v>407</v>
      </c>
      <c r="IW14" s="56">
        <v>12</v>
      </c>
    </row>
    <row r="15" spans="1:257">
      <c r="IT15" s="31" t="s">
        <v>348</v>
      </c>
      <c r="IU15" s="56">
        <v>24</v>
      </c>
      <c r="IV15" s="31" t="s">
        <v>348</v>
      </c>
      <c r="IW15" s="56">
        <v>24</v>
      </c>
    </row>
    <row r="16" spans="1:257">
      <c r="A16" s="175" t="s">
        <v>246</v>
      </c>
      <c r="B16" s="219" t="e">
        <f>'Banking product- Eligibility'!IR14</f>
        <v>#N/A</v>
      </c>
      <c r="IT16" s="31" t="s">
        <v>350</v>
      </c>
      <c r="IU16" s="56">
        <v>24</v>
      </c>
      <c r="IV16" s="31" t="s">
        <v>350</v>
      </c>
      <c r="IW16" s="56">
        <v>24</v>
      </c>
    </row>
    <row r="17" spans="1:258">
      <c r="IT17" s="31" t="s">
        <v>349</v>
      </c>
      <c r="IU17" s="56">
        <v>24</v>
      </c>
      <c r="IV17" s="31" t="s">
        <v>349</v>
      </c>
      <c r="IW17" s="56">
        <v>24</v>
      </c>
    </row>
    <row r="18" spans="1:258">
      <c r="A18" s="186"/>
      <c r="B18" s="185"/>
      <c r="C18" s="185"/>
      <c r="IT18" s="31" t="s">
        <v>560</v>
      </c>
      <c r="IU18" s="56">
        <v>24</v>
      </c>
      <c r="IV18" s="31" t="s">
        <v>560</v>
      </c>
      <c r="IW18" s="56">
        <v>24</v>
      </c>
      <c r="IX18" s="31" t="s">
        <v>562</v>
      </c>
    </row>
    <row r="19" spans="1:258">
      <c r="A19" s="1344" t="str">
        <f>IF(ISNUMBER(SEARCH("Home",'Variant Inputs &amp; Comparison'!B6,1)),'Variant Inputs &amp; Comparison'!B6,"No")</f>
        <v>No</v>
      </c>
      <c r="B19" s="1344"/>
      <c r="C19" s="222"/>
      <c r="IT19" s="31" t="s">
        <v>563</v>
      </c>
      <c r="IU19" s="56">
        <v>24</v>
      </c>
      <c r="IV19" s="31" t="s">
        <v>563</v>
      </c>
      <c r="IW19" s="56">
        <v>24</v>
      </c>
      <c r="IX19" s="31" t="s">
        <v>562</v>
      </c>
    </row>
    <row r="20" spans="1:258">
      <c r="A20" s="166" t="s">
        <v>435</v>
      </c>
      <c r="B20" s="219" t="e">
        <f>MIN(B10,B12,B14,B16,B2+B21)</f>
        <v>#N/A</v>
      </c>
      <c r="C20" s="221"/>
      <c r="IT20" s="31" t="s">
        <v>561</v>
      </c>
      <c r="IU20" s="56">
        <v>24</v>
      </c>
      <c r="IV20" s="31" t="s">
        <v>561</v>
      </c>
      <c r="IW20" s="56">
        <v>24</v>
      </c>
      <c r="IX20" s="31" t="s">
        <v>562</v>
      </c>
    </row>
    <row r="21" spans="1:258">
      <c r="A21" s="166" t="s">
        <v>355</v>
      </c>
      <c r="B21" s="219" t="e">
        <f>IF(VLOOKUP('Variant Inputs &amp; Comparison'!B3,'Banking product- Eligibility'!$IL$21:$IN$43,3,0)&gt;'Express BT - Home'!B10-'Express BT - Home'!B2,'Express BT - Home'!B10-'Express BT - Home'!B2,VLOOKUP('Variant Inputs &amp; Comparison'!B3,'Banking product- Eligibility'!$IL$21:$IN$43,3,0))</f>
        <v>#N/A</v>
      </c>
      <c r="C21" s="185"/>
      <c r="IT21" s="31"/>
    </row>
    <row r="22" spans="1:258">
      <c r="A22" s="166" t="s">
        <v>436</v>
      </c>
      <c r="B22" s="219" t="e">
        <f>MIN(B10,B14,400,B2+B21,IF('GTP - Eligibility'!Z35&gt;'Banking product- Eligibility'!IR38*100,('Banking product- Eligibility'!IR38+0.05)*Eligibility!F46,'Express BT - Home'!B12))</f>
        <v>#N/A</v>
      </c>
      <c r="C22" s="185"/>
      <c r="IT22" s="31"/>
    </row>
    <row r="23" spans="1:258">
      <c r="A23" s="166" t="s">
        <v>476</v>
      </c>
      <c r="B23" s="219" t="e">
        <f>IF(B21="Not Applicable","Not applicable",MIN(B10,B14,500,B2+B21,IF('GTP - Eligibility'!Z35&gt;'Banking product- Eligibility'!IR38*100,('GTP - Eligibility'!Z35)*Eligibility!F46,'Express BT - Home'!B12)))</f>
        <v>#N/A</v>
      </c>
      <c r="C23" s="185"/>
      <c r="IT23" s="31"/>
    </row>
    <row r="24" spans="1:258">
      <c r="IT24" s="31"/>
    </row>
    <row r="25" spans="1:258">
      <c r="IT25" s="31"/>
    </row>
    <row r="26" spans="1:258">
      <c r="A26" s="220" t="e">
        <f>IF(B7="Home Loan",MIN(MAX(B22:B23,B20)-B2),MIN(MAX(#REF!)-B2-B3))</f>
        <v>#REF!</v>
      </c>
      <c r="B26" s="185"/>
      <c r="C26" s="185"/>
      <c r="IT26" s="31"/>
    </row>
    <row r="27" spans="1:258" ht="15">
      <c r="A27" s="1342" t="s">
        <v>194</v>
      </c>
      <c r="B27" s="1342"/>
      <c r="C27" s="1342"/>
    </row>
    <row r="28" spans="1:258" ht="15">
      <c r="A28" s="225"/>
      <c r="B28" s="225" t="s">
        <v>484</v>
      </c>
      <c r="C28" s="225" t="s">
        <v>485</v>
      </c>
    </row>
    <row r="29" spans="1:258" ht="15">
      <c r="A29" s="113" t="s">
        <v>486</v>
      </c>
      <c r="B29" s="148" t="e">
        <f>MIN(MAX(B22:B23,B20),B2)</f>
        <v>#N/A</v>
      </c>
      <c r="C29" s="148" t="e">
        <f>MAX(0,A26*PMT(B32/1200,B31,-A26*100000)/PMT(C32/1200,C31,-A26*100000))</f>
        <v>#REF!</v>
      </c>
      <c r="E29" s="205"/>
    </row>
    <row r="30" spans="1:258" ht="15">
      <c r="A30" s="113" t="s">
        <v>487</v>
      </c>
      <c r="B30" s="148" t="e">
        <f>B29</f>
        <v>#N/A</v>
      </c>
      <c r="C30" s="223">
        <v>0</v>
      </c>
      <c r="E30" s="205"/>
    </row>
    <row r="31" spans="1:258" ht="15">
      <c r="A31" s="113" t="s">
        <v>195</v>
      </c>
      <c r="B31" s="187">
        <f>MIN(240,Eligibility!F35)</f>
        <v>0</v>
      </c>
      <c r="C31" s="187">
        <f>'Variant Inputs &amp; Comparison'!F11</f>
        <v>0</v>
      </c>
    </row>
    <row r="32" spans="1:258" ht="15">
      <c r="A32" s="113" t="s">
        <v>196</v>
      </c>
      <c r="B32" s="207">
        <f>Eligibility!F36</f>
        <v>0</v>
      </c>
      <c r="C32" s="207">
        <f>'Variant Inputs &amp; Comparison'!F10</f>
        <v>0</v>
      </c>
    </row>
    <row r="33" spans="1:3" ht="15">
      <c r="A33" s="113" t="s">
        <v>113</v>
      </c>
      <c r="B33" s="208" t="e">
        <f>PMT(B32/12,B31,-B30*100000)</f>
        <v>#N/A</v>
      </c>
      <c r="C33" s="208" t="e">
        <f>PMT(C32/12,C31,-C30*100000)</f>
        <v>#NUM!</v>
      </c>
    </row>
    <row r="34" spans="1:3" ht="15">
      <c r="A34" s="113" t="s">
        <v>322</v>
      </c>
      <c r="B34" s="1343" t="e">
        <f>IF('Variant Inputs &amp; Comparison'!B9="Yes",'Daily-Balance'!B23,'Daily-Balance'!B22)/(B33+C33)</f>
        <v>#N/A</v>
      </c>
      <c r="C34" s="1343"/>
    </row>
    <row r="35" spans="1:3" ht="15">
      <c r="A35" s="113" t="s">
        <v>467</v>
      </c>
      <c r="B35" s="150">
        <v>5</v>
      </c>
      <c r="C35" s="149" t="str">
        <f>IF(B35&gt;0,"NFA at L1","")</f>
        <v>NFA at L1</v>
      </c>
    </row>
    <row r="36" spans="1:3" ht="30">
      <c r="A36" s="162" t="s">
        <v>456</v>
      </c>
      <c r="B36" s="143" t="s">
        <v>168</v>
      </c>
      <c r="C36" s="149" t="str">
        <f>IF(B36="No","NFA at L1","")</f>
        <v>NFA at L1</v>
      </c>
    </row>
    <row r="37" spans="1:3" ht="15">
      <c r="A37" s="113" t="s">
        <v>328</v>
      </c>
      <c r="B37" s="143" t="s">
        <v>167</v>
      </c>
      <c r="C37" s="149" t="str">
        <f>IF(B37="Yes","NFA at L1","")</f>
        <v>NFA at L1</v>
      </c>
    </row>
    <row r="38" spans="1:3" ht="30">
      <c r="A38" s="113" t="str">
        <f>IF('Variant Inputs &amp; Comparison'!B6="Home Loan","Is there any Loan taken in last 6 months other than auto loan","Is there any unsecured,LAP,Gold Loan, Car Loan refinance loan taken in last 12 months")</f>
        <v>Is there any unsecured,LAP,Gold Loan, Car Loan refinance loan taken in last 12 months</v>
      </c>
      <c r="B38" s="143" t="s">
        <v>168</v>
      </c>
      <c r="C38" s="149" t="str">
        <f>IF(B38="Yes","NFA at L1","")</f>
        <v/>
      </c>
    </row>
    <row r="39" spans="1:3" ht="15">
      <c r="A39" s="113" t="s">
        <v>356</v>
      </c>
      <c r="B39" s="149">
        <f>'Variant Inputs &amp; Comparison'!F6</f>
        <v>0</v>
      </c>
      <c r="C39" s="149"/>
    </row>
    <row r="40" spans="1:3" ht="15">
      <c r="A40" s="113" t="str">
        <f>IF('Variant Inputs &amp; Comparison'!B6="Home Loan","Is the customer having more than 2 housing loans","")</f>
        <v/>
      </c>
      <c r="B40" s="143"/>
      <c r="C40" s="149" t="str">
        <f>IF('Variant Inputs &amp; Comparison'!B6="Home Loan",IF(B40="Yes","NFA at RCF1",""),"")</f>
        <v/>
      </c>
    </row>
    <row r="41" spans="1:3" ht="15">
      <c r="A41" s="113" t="str">
        <f>IF('Variant Inputs &amp; Comparison'!B6="Home Loan","Minimum CIBIL score of the applicants","")</f>
        <v/>
      </c>
      <c r="B41" s="143" t="s">
        <v>480</v>
      </c>
      <c r="C41" s="149" t="str">
        <f>IF('Variant Inputs &amp; Comparison'!B6="Home Loan",IF(B41="&lt;730","NFA at RCF-1",IF(B41="730-760","NFA at L1","RAAC")),"")</f>
        <v/>
      </c>
    </row>
    <row r="42" spans="1:3" ht="15">
      <c r="A42" s="113" t="s">
        <v>469</v>
      </c>
      <c r="B42" s="149" t="e">
        <f>IF((B30+C30)/Eligibility!F46&gt;0.75,"NFA at Head-Secured Credit",IF((B30+C30)/Eligibility!F46&gt;0.7,"NFA at L1",""))</f>
        <v>#N/A</v>
      </c>
      <c r="C42" s="149"/>
    </row>
    <row r="43" spans="1:3" ht="15">
      <c r="A43" s="113" t="s">
        <v>565</v>
      </c>
      <c r="B43" s="168" t="e">
        <f>IF((B30+C30)&lt;=B16,"",IF((B30+C30)&lt;400,"NFA at L1","NFA at Head Secured-Credit"))</f>
        <v>#N/A</v>
      </c>
      <c r="C43" s="149"/>
    </row>
    <row r="44" spans="1:3" ht="15">
      <c r="A44" s="113" t="s">
        <v>491</v>
      </c>
      <c r="B44" s="143" t="s">
        <v>167</v>
      </c>
      <c r="C44" s="149" t="str">
        <f>IF(B44="Yes","NFA at L1","")</f>
        <v>NFA at L1</v>
      </c>
    </row>
    <row r="45" spans="1:3"/>
    <row r="46" spans="1:3"/>
    <row r="47" spans="1:3"/>
    <row r="48" spans="1:3"/>
    <row r="49"/>
    <row r="50"/>
    <row r="51"/>
    <row r="52"/>
    <row r="53"/>
    <row r="54"/>
    <row r="55"/>
    <row r="56"/>
    <row r="57"/>
    <row r="58"/>
    <row r="59"/>
    <row r="60"/>
    <row r="61"/>
  </sheetData>
  <sheetProtection algorithmName="SHA-512" hashValue="LoJAdusFFaeUylypQIlfcivqnCtzCeqEhxBaNCx7PIa25qrD7Fe0lTh5LlzTh+W7TIfGei6HmsZMU55oy2bPGg==" saltValue="ofMNbInwfBUI9mhJPdSLQA==" spinCount="100000" sheet="1" objects="1" scenarios="1"/>
  <mergeCells count="3">
    <mergeCell ref="A19:B19"/>
    <mergeCell ref="A27:C27"/>
    <mergeCell ref="B34:C34"/>
  </mergeCells>
  <conditionalFormatting sqref="A22">
    <cfRule type="expression" dxfId="60" priority="44">
      <formula>$A$19="No"</formula>
    </cfRule>
  </conditionalFormatting>
  <conditionalFormatting sqref="B40 B35:B38">
    <cfRule type="containsText" dxfId="59" priority="42" stopIfTrue="1" operator="containsText" text="NA">
      <formula>NOT(ISERROR(SEARCH("NA",B35)))</formula>
    </cfRule>
  </conditionalFormatting>
  <conditionalFormatting sqref="A39:C39 A40:B40 A29:B29 A26:A28 A30:C33 A37:B38 B36 A41:A44 A34:B34 A35:C35">
    <cfRule type="expression" dxfId="58" priority="43" stopIfTrue="1">
      <formula>#REF!="No"</formula>
    </cfRule>
  </conditionalFormatting>
  <conditionalFormatting sqref="C35">
    <cfRule type="containsText" dxfId="57" priority="39" stopIfTrue="1" operator="containsText" text="NO">
      <formula>NOT(ISERROR(SEARCH("NO",C35)))</formula>
    </cfRule>
    <cfRule type="containsText" dxfId="56" priority="40" stopIfTrue="1" operator="containsText" text="NA">
      <formula>NOT(ISERROR(SEARCH("NA",C35)))</formula>
    </cfRule>
  </conditionalFormatting>
  <conditionalFormatting sqref="C36">
    <cfRule type="containsText" dxfId="55" priority="36" stopIfTrue="1" operator="containsText" text="NO">
      <formula>NOT(ISERROR(SEARCH("NO",C36)))</formula>
    </cfRule>
    <cfRule type="containsText" dxfId="54" priority="37" stopIfTrue="1" operator="containsText" text="NA">
      <formula>NOT(ISERROR(SEARCH("NA",C36)))</formula>
    </cfRule>
  </conditionalFormatting>
  <conditionalFormatting sqref="C36">
    <cfRule type="expression" dxfId="53" priority="38" stopIfTrue="1">
      <formula>#REF!="No"</formula>
    </cfRule>
  </conditionalFormatting>
  <conditionalFormatting sqref="C37">
    <cfRule type="containsText" dxfId="52" priority="33" stopIfTrue="1" operator="containsText" text="NO">
      <formula>NOT(ISERROR(SEARCH("NO",C37)))</formula>
    </cfRule>
    <cfRule type="containsText" dxfId="51" priority="34" stopIfTrue="1" operator="containsText" text="NA">
      <formula>NOT(ISERROR(SEARCH("NA",C37)))</formula>
    </cfRule>
  </conditionalFormatting>
  <conditionalFormatting sqref="C37">
    <cfRule type="expression" dxfId="50" priority="35" stopIfTrue="1">
      <formula>#REF!="No"</formula>
    </cfRule>
  </conditionalFormatting>
  <conditionalFormatting sqref="C38">
    <cfRule type="containsText" dxfId="49" priority="30" stopIfTrue="1" operator="containsText" text="NO">
      <formula>NOT(ISERROR(SEARCH("NO",C38)))</formula>
    </cfRule>
    <cfRule type="containsText" dxfId="48" priority="31" stopIfTrue="1" operator="containsText" text="NA">
      <formula>NOT(ISERROR(SEARCH("NA",C38)))</formula>
    </cfRule>
  </conditionalFormatting>
  <conditionalFormatting sqref="C38">
    <cfRule type="expression" dxfId="47" priority="32" stopIfTrue="1">
      <formula>#REF!="No"</formula>
    </cfRule>
  </conditionalFormatting>
  <conditionalFormatting sqref="B32:B33 C33">
    <cfRule type="containsText" dxfId="46" priority="28" stopIfTrue="1" operator="containsText" text="NO">
      <formula>NOT(ISERROR(SEARCH("NO",B32)))</formula>
    </cfRule>
    <cfRule type="containsText" dxfId="45" priority="29" stopIfTrue="1" operator="containsText" text="NA">
      <formula>NOT(ISERROR(SEARCH("NA",B32)))</formula>
    </cfRule>
  </conditionalFormatting>
  <conditionalFormatting sqref="C32:C33">
    <cfRule type="containsText" dxfId="44" priority="26" stopIfTrue="1" operator="containsText" text="NO">
      <formula>NOT(ISERROR(SEARCH("NO",C32)))</formula>
    </cfRule>
    <cfRule type="containsText" dxfId="43" priority="27" stopIfTrue="1" operator="containsText" text="NA">
      <formula>NOT(ISERROR(SEARCH("NA",C32)))</formula>
    </cfRule>
  </conditionalFormatting>
  <conditionalFormatting sqref="C29">
    <cfRule type="expression" dxfId="42" priority="25" stopIfTrue="1">
      <formula>#REF!="No"</formula>
    </cfRule>
  </conditionalFormatting>
  <conditionalFormatting sqref="C41:C43">
    <cfRule type="containsText" dxfId="41" priority="19" stopIfTrue="1" operator="containsText" text="NO">
      <formula>NOT(ISERROR(SEARCH("NO",C41)))</formula>
    </cfRule>
    <cfRule type="containsText" dxfId="40" priority="20" stopIfTrue="1" operator="containsText" text="NA">
      <formula>NOT(ISERROR(SEARCH("NA",C41)))</formula>
    </cfRule>
  </conditionalFormatting>
  <conditionalFormatting sqref="C41:C43">
    <cfRule type="expression" dxfId="39" priority="21" stopIfTrue="1">
      <formula>#REF!="No"</formula>
    </cfRule>
  </conditionalFormatting>
  <conditionalFormatting sqref="B42">
    <cfRule type="containsText" dxfId="38" priority="16" stopIfTrue="1" operator="containsText" text="NO">
      <formula>NOT(ISERROR(SEARCH("NO",B42)))</formula>
    </cfRule>
    <cfRule type="containsText" dxfId="37" priority="17" stopIfTrue="1" operator="containsText" text="NA">
      <formula>NOT(ISERROR(SEARCH("NA",B42)))</formula>
    </cfRule>
  </conditionalFormatting>
  <conditionalFormatting sqref="B42">
    <cfRule type="expression" dxfId="36" priority="18" stopIfTrue="1">
      <formula>#REF!="No"</formula>
    </cfRule>
  </conditionalFormatting>
  <conditionalFormatting sqref="B43">
    <cfRule type="containsText" dxfId="35" priority="13" stopIfTrue="1" operator="containsText" text="NO">
      <formula>NOT(ISERROR(SEARCH("NO",B43)))</formula>
    </cfRule>
    <cfRule type="containsText" dxfId="34" priority="14" stopIfTrue="1" operator="containsText" text="NA">
      <formula>NOT(ISERROR(SEARCH("NA",B43)))</formula>
    </cfRule>
  </conditionalFormatting>
  <conditionalFormatting sqref="B43">
    <cfRule type="expression" dxfId="33" priority="15" stopIfTrue="1">
      <formula>#REF!="No"</formula>
    </cfRule>
  </conditionalFormatting>
  <conditionalFormatting sqref="A36">
    <cfRule type="expression" dxfId="32" priority="12" stopIfTrue="1">
      <formula>$B$32="No"</formula>
    </cfRule>
  </conditionalFormatting>
  <conditionalFormatting sqref="C40">
    <cfRule type="containsText" dxfId="31" priority="9" stopIfTrue="1" operator="containsText" text="NO">
      <formula>NOT(ISERROR(SEARCH("NO",C40)))</formula>
    </cfRule>
    <cfRule type="containsText" dxfId="30" priority="10" stopIfTrue="1" operator="containsText" text="NA">
      <formula>NOT(ISERROR(SEARCH("NA",C40)))</formula>
    </cfRule>
  </conditionalFormatting>
  <conditionalFormatting sqref="C40">
    <cfRule type="expression" dxfId="29" priority="11" stopIfTrue="1">
      <formula>#REF!="No"</formula>
    </cfRule>
  </conditionalFormatting>
  <conditionalFormatting sqref="B44">
    <cfRule type="containsText" dxfId="28" priority="7" stopIfTrue="1" operator="containsText" text="NA">
      <formula>NOT(ISERROR(SEARCH("NA",B44)))</formula>
    </cfRule>
  </conditionalFormatting>
  <conditionalFormatting sqref="B44">
    <cfRule type="expression" dxfId="27" priority="8" stopIfTrue="1">
      <formula>#REF!="No"</formula>
    </cfRule>
  </conditionalFormatting>
  <conditionalFormatting sqref="C44">
    <cfRule type="containsText" dxfId="26" priority="4" stopIfTrue="1" operator="containsText" text="NO">
      <formula>NOT(ISERROR(SEARCH("NO",C44)))</formula>
    </cfRule>
    <cfRule type="containsText" dxfId="25" priority="5" stopIfTrue="1" operator="containsText" text="NA">
      <formula>NOT(ISERROR(SEARCH("NA",C44)))</formula>
    </cfRule>
  </conditionalFormatting>
  <conditionalFormatting sqref="C44">
    <cfRule type="expression" dxfId="24" priority="6" stopIfTrue="1">
      <formula>#REF!="No"</formula>
    </cfRule>
  </conditionalFormatting>
  <conditionalFormatting sqref="A19:B23">
    <cfRule type="expression" dxfId="23" priority="2">
      <formula>$A$19&lt;&gt;"Home Loan"</formula>
    </cfRule>
  </conditionalFormatting>
  <conditionalFormatting sqref="C30">
    <cfRule type="expression" dxfId="22" priority="1">
      <formula>$C$30&gt;$C$29</formula>
    </cfRule>
  </conditionalFormatting>
  <dataValidations count="6">
    <dataValidation type="list" allowBlank="1" showInputMessage="1" showErrorMessage="1" sqref="B40" xr:uid="{00000000-0002-0000-0D00-000000000000}">
      <formula1>"Yes, No"</formula1>
    </dataValidation>
    <dataValidation type="decimal" operator="lessThanOrEqual" allowBlank="1" showInputMessage="1" showErrorMessage="1" sqref="C30" xr:uid="{00000000-0002-0000-0D00-000001000000}">
      <formula1>C29</formula1>
    </dataValidation>
    <dataValidation type="whole" operator="lessThanOrEqual" allowBlank="1" showInputMessage="1" showErrorMessage="1" sqref="C31" xr:uid="{00000000-0002-0000-0D00-000002000000}">
      <formula1>180</formula1>
    </dataValidation>
    <dataValidation type="list" allowBlank="1" showInputMessage="1" showErrorMessage="1" sqref="B44 B36:B38" xr:uid="{00000000-0002-0000-0D00-000003000000}">
      <formula1>"Yes,No"</formula1>
    </dataValidation>
    <dataValidation type="whole" allowBlank="1" showInputMessage="1" showErrorMessage="1" sqref="B35" xr:uid="{00000000-0002-0000-0D00-000004000000}">
      <formula1>0</formula1>
      <formula2>5000</formula2>
    </dataValidation>
    <dataValidation operator="lessThanOrEqual" allowBlank="1" showInputMessage="1" showErrorMessage="1" sqref="B29:B34 C33" xr:uid="{00000000-0002-0000-0D00-000005000000}"/>
  </dataValidations>
  <pageMargins left="0.7" right="0.7" top="0.75" bottom="0.75" header="0.3" footer="0.3"/>
  <pageSetup paperSize="9" scale="10"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D00-000006000000}">
          <x14:formula1>
            <xm:f>IF('Variant Inputs &amp; Comparison'!B6="Home Loan",$Q$4:$Q$6,$R$4)</xm:f>
          </x14:formula1>
          <xm:sqref>B41</xm:sqref>
        </x14:dataValidation>
      </x14:dataValidations>
    </ext>
  </extLst>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rgb="FFC00000"/>
    <pageSetUpPr fitToPage="1"/>
  </sheetPr>
  <dimension ref="A1:AP89"/>
  <sheetViews>
    <sheetView zoomScaleNormal="100" workbookViewId="0"/>
  </sheetViews>
  <sheetFormatPr defaultColWidth="9" defaultRowHeight="14.25"/>
  <cols>
    <col min="1" max="1" width="55.375" style="22" bestFit="1" customWidth="1"/>
    <col min="2" max="2" width="35.375" style="22" bestFit="1" customWidth="1"/>
    <col min="3" max="3" width="40.5" style="22" bestFit="1" customWidth="1"/>
    <col min="4" max="4" width="16.75" style="22" customWidth="1"/>
    <col min="5" max="5" width="16" style="22" bestFit="1" customWidth="1"/>
    <col min="6" max="6" width="14.25" style="22" customWidth="1"/>
    <col min="7" max="7" width="16.125" style="22" customWidth="1"/>
    <col min="8" max="20" width="9" style="31" customWidth="1"/>
    <col min="21" max="21" width="5.875" style="31" customWidth="1"/>
    <col min="22" max="23" width="9" style="31" customWidth="1"/>
    <col min="24" max="24" width="9" style="34" customWidth="1"/>
    <col min="25" max="25" width="30.5" style="21" customWidth="1"/>
    <col min="26" max="26" width="14.5" style="21" bestFit="1" customWidth="1"/>
    <col min="27" max="27" width="9" style="34" customWidth="1"/>
    <col min="28" max="28" width="31.375" style="21" customWidth="1"/>
    <col min="29" max="29" width="14.5" style="21" bestFit="1" customWidth="1"/>
    <col min="30" max="34" width="9" style="21" customWidth="1"/>
    <col min="35" max="35" width="15.875" style="31" customWidth="1"/>
    <col min="36" max="36" width="35.875" style="31" customWidth="1"/>
    <col min="37" max="37" width="35.125" style="31" customWidth="1"/>
    <col min="38" max="39" width="9" style="31" customWidth="1"/>
    <col min="40" max="40" width="36.875" style="31" customWidth="1"/>
    <col min="41" max="41" width="13.5" style="31" bestFit="1" customWidth="1"/>
    <col min="42" max="42" width="16" style="31" bestFit="1" customWidth="1"/>
    <col min="43" max="16384" width="9" style="31"/>
  </cols>
  <sheetData>
    <row r="1" spans="1:41" ht="15">
      <c r="A1" s="21"/>
      <c r="B1" s="21"/>
      <c r="C1" s="21"/>
      <c r="D1" s="21"/>
      <c r="E1" s="21"/>
      <c r="F1" s="21"/>
      <c r="Y1" s="1303" t="s">
        <v>124</v>
      </c>
      <c r="Z1" s="1303"/>
      <c r="AB1" s="1303" t="s">
        <v>135</v>
      </c>
      <c r="AC1" s="1303"/>
    </row>
    <row r="2" spans="1:41">
      <c r="A2" s="21"/>
      <c r="B2" s="21"/>
      <c r="C2" s="21"/>
      <c r="D2" s="21"/>
      <c r="E2" s="21"/>
      <c r="F2" s="21"/>
      <c r="Y2" s="18" t="str">
        <f>CONCATENATE("Turnover for ",'Ratios Sheet - combined'!B3)</f>
        <v>Turnover for 0</v>
      </c>
      <c r="Z2" s="35">
        <f>SUM('Ratios Sheet - combined'!B5)*100000</f>
        <v>0</v>
      </c>
      <c r="AB2" s="18" t="str">
        <f>CONCATENATE("Turnover for ",'Ratios Sheet - combined'!B3)</f>
        <v>Turnover for 0</v>
      </c>
      <c r="AC2" s="35">
        <f>SUM('Ratios Sheet - combined'!B5)*100000</f>
        <v>0</v>
      </c>
    </row>
    <row r="3" spans="1:41" ht="15" thickBot="1">
      <c r="A3" s="21"/>
      <c r="B3" s="21"/>
      <c r="C3" s="21"/>
      <c r="D3" s="21"/>
      <c r="E3" s="21"/>
      <c r="F3" s="21"/>
      <c r="Y3" s="18" t="str">
        <f>CONCATENATE("Turnover for ",'Ratios Sheet - combined'!D3)</f>
        <v>Turnover for -</v>
      </c>
      <c r="Z3" s="35">
        <f>SUM('Ratios Sheet - combined'!D5)*100000</f>
        <v>0</v>
      </c>
      <c r="AB3" s="18" t="str">
        <f>CONCATENATE("Turnover for ",'Ratios Sheet - combined'!D3)</f>
        <v>Turnover for -</v>
      </c>
      <c r="AC3" s="35">
        <f>SUM('Ratios Sheet - combined'!D5)*100000</f>
        <v>0</v>
      </c>
    </row>
    <row r="4" spans="1:41" s="21" customFormat="1" ht="15">
      <c r="A4" s="99" t="s">
        <v>218</v>
      </c>
      <c r="B4" s="1346" t="s">
        <v>217</v>
      </c>
      <c r="C4" s="1347"/>
      <c r="D4" s="24"/>
      <c r="E4" s="24"/>
      <c r="F4" s="91"/>
      <c r="G4" s="91"/>
      <c r="Y4" s="75" t="str">
        <f>Y2</f>
        <v>Turnover for 0</v>
      </c>
      <c r="Z4" s="81">
        <f>Z2</f>
        <v>0</v>
      </c>
      <c r="AB4" s="75" t="s">
        <v>125</v>
      </c>
      <c r="AC4" s="81">
        <f>AVERAGE(AC2:AC3)</f>
        <v>0</v>
      </c>
    </row>
    <row r="5" spans="1:41" ht="15" thickBot="1">
      <c r="A5" s="90" t="s">
        <v>174</v>
      </c>
      <c r="B5" s="1345">
        <f>'Variant Inputs &amp; Comparison'!B4</f>
        <v>0</v>
      </c>
      <c r="C5" s="1345"/>
      <c r="D5" s="26"/>
      <c r="E5" s="26"/>
      <c r="F5" s="27"/>
      <c r="G5" s="29"/>
      <c r="Y5" s="18"/>
      <c r="Z5" s="18"/>
      <c r="AB5" s="18"/>
      <c r="AC5" s="18"/>
    </row>
    <row r="6" spans="1:41">
      <c r="A6" s="43" t="s">
        <v>132</v>
      </c>
      <c r="B6" s="1345">
        <f>'Variant Inputs &amp; Comparison'!B5</f>
        <v>0</v>
      </c>
      <c r="C6" s="1345"/>
      <c r="D6" s="26"/>
      <c r="E6" s="92"/>
      <c r="F6" s="44" t="s">
        <v>148</v>
      </c>
      <c r="G6" s="44"/>
      <c r="Y6" s="14" t="str">
        <f>CONCATENATE("CC/OD Interest ",'Ratios Sheet - combined'!B3)</f>
        <v>CC/OD Interest 0</v>
      </c>
      <c r="Z6" s="15">
        <f>'Ratios Sheet - combined'!B21*100000</f>
        <v>0</v>
      </c>
      <c r="AB6" s="18" t="str">
        <f>CONCATENATE("Interest on Loans ",'Ratios Sheet - combined'!B3)</f>
        <v>Interest on Loans 0</v>
      </c>
      <c r="AC6" s="35">
        <f>'Ratios Sheet - combined'!B18*100000</f>
        <v>0</v>
      </c>
      <c r="AH6" s="21" t="s">
        <v>167</v>
      </c>
      <c r="AI6" s="22" t="s">
        <v>129</v>
      </c>
      <c r="AJ6" s="22" t="s">
        <v>142</v>
      </c>
      <c r="AK6" s="22" t="s">
        <v>155</v>
      </c>
      <c r="AL6" s="31">
        <v>0.6</v>
      </c>
    </row>
    <row r="7" spans="1:41" ht="15" thickBot="1">
      <c r="A7" s="43" t="s">
        <v>175</v>
      </c>
      <c r="B7" s="1345">
        <f>'Variant Inputs &amp; Comparison'!B6</f>
        <v>0</v>
      </c>
      <c r="C7" s="1345"/>
      <c r="D7" s="26"/>
      <c r="E7" s="93"/>
      <c r="F7" s="44" t="s">
        <v>149</v>
      </c>
      <c r="G7" s="44"/>
      <c r="Y7" s="18" t="str">
        <f>CONCATENATE("CC/OD Interest ",'Ratios Sheet - combined'!D3)</f>
        <v>CC/OD Interest -</v>
      </c>
      <c r="Z7" s="35">
        <f>'Ratios Sheet - combined'!D21*100000</f>
        <v>0</v>
      </c>
      <c r="AB7" s="18" t="str">
        <f>CONCATENATE("Interest on Loans ",'Ratios Sheet - combined'!D3)</f>
        <v>Interest on Loans -</v>
      </c>
      <c r="AC7" s="35">
        <f>'Ratios Sheet - combined'!D18*100000</f>
        <v>0</v>
      </c>
      <c r="AH7" s="21" t="s">
        <v>168</v>
      </c>
      <c r="AI7" s="22" t="s">
        <v>130</v>
      </c>
      <c r="AJ7" s="22" t="s">
        <v>136</v>
      </c>
      <c r="AK7" s="22" t="s">
        <v>156</v>
      </c>
      <c r="AL7" s="31">
        <v>0.5</v>
      </c>
    </row>
    <row r="8" spans="1:41">
      <c r="A8" s="45" t="s">
        <v>187</v>
      </c>
      <c r="B8" s="1345">
        <f>'Variant Inputs &amp; Comparison'!B7</f>
        <v>0</v>
      </c>
      <c r="C8" s="1345"/>
      <c r="D8" s="26"/>
      <c r="E8" s="26"/>
      <c r="F8" s="29"/>
      <c r="G8" s="29"/>
      <c r="Y8" s="18" t="str">
        <f>CONCATENATE("CC/OD Interest ",'Ratios Sheet - combined'!B3)</f>
        <v>CC/OD Interest 0</v>
      </c>
      <c r="Z8" s="35">
        <f>Z6</f>
        <v>0</v>
      </c>
      <c r="AB8" s="18"/>
      <c r="AC8" s="35">
        <f>AVERAGE(AC6:AC7)</f>
        <v>0</v>
      </c>
      <c r="AI8" s="22" t="s">
        <v>131</v>
      </c>
      <c r="AJ8" s="22" t="s">
        <v>137</v>
      </c>
      <c r="AK8" s="22" t="s">
        <v>533</v>
      </c>
      <c r="AL8" s="31">
        <v>0.65</v>
      </c>
    </row>
    <row r="9" spans="1:41">
      <c r="A9" s="43" t="s">
        <v>176</v>
      </c>
      <c r="B9" s="1355" t="s">
        <v>139</v>
      </c>
      <c r="C9" s="1355"/>
      <c r="D9" s="26"/>
      <c r="E9" s="26"/>
      <c r="F9" s="27"/>
      <c r="G9" s="29"/>
      <c r="Y9" s="18" t="s">
        <v>126</v>
      </c>
      <c r="Z9" s="36">
        <f>ABS(Eligibility!B28)</f>
        <v>0</v>
      </c>
      <c r="AJ9" s="22" t="s">
        <v>138</v>
      </c>
      <c r="AK9" s="22" t="s">
        <v>186</v>
      </c>
      <c r="AL9" s="31">
        <v>0.6</v>
      </c>
    </row>
    <row r="10" spans="1:41">
      <c r="A10" s="47"/>
      <c r="B10" s="1356"/>
      <c r="C10" s="1357"/>
      <c r="D10" s="26"/>
      <c r="F10" s="27"/>
      <c r="G10" s="29"/>
      <c r="Y10" s="18" t="s">
        <v>127</v>
      </c>
      <c r="Z10" s="37">
        <f>Eligibility!E76</f>
        <v>0</v>
      </c>
      <c r="AB10" s="18" t="str">
        <f>CONCATENATE("Depreciation ",'Ratios Sheet - combined'!B3)</f>
        <v>Depreciation 0</v>
      </c>
      <c r="AC10" s="35">
        <f>'Ratios Sheet - combined'!B17*100000</f>
        <v>0</v>
      </c>
      <c r="AJ10" s="22" t="s">
        <v>139</v>
      </c>
      <c r="AK10" s="22" t="s">
        <v>183</v>
      </c>
      <c r="AL10" s="31">
        <v>0.5</v>
      </c>
      <c r="AN10" s="31" t="s">
        <v>189</v>
      </c>
      <c r="AO10" s="31" t="e">
        <f>IF(OR(ISNUMBER(SEARCH("Home",B7,1)),Eligibility!F35&lt;=120),VLOOKUP(B7,AK:AL,2,0),VLOOKUP(B7,AK:AL,2,0)-0.05)</f>
        <v>#N/A</v>
      </c>
    </row>
    <row r="11" spans="1:41">
      <c r="A11" s="43" t="s">
        <v>190</v>
      </c>
      <c r="B11" s="1351" t="e">
        <f>Eligibility!F38</f>
        <v>#NUM!</v>
      </c>
      <c r="C11" s="1351"/>
      <c r="D11" s="26"/>
      <c r="F11" s="27"/>
      <c r="G11" s="29"/>
      <c r="AB11" s="18" t="str">
        <f>CONCATENATE("Depreciation ",'Ratios Sheet - combined'!D3)</f>
        <v>Depreciation -</v>
      </c>
      <c r="AC11" s="35">
        <f>'Ratios Sheet - combined'!D17*100000</f>
        <v>0</v>
      </c>
      <c r="AJ11" s="22" t="s">
        <v>140</v>
      </c>
      <c r="AK11" s="22" t="s">
        <v>534</v>
      </c>
      <c r="AL11" s="31">
        <v>0.65</v>
      </c>
      <c r="AN11" s="31" t="s">
        <v>463</v>
      </c>
      <c r="AO11" s="31" t="e">
        <f>IF(OR(ISNUMBER(SEARCH("Home",B7,1)),Eligibility!F35&lt;=120),VLOOKUP(B7,AK:AL,2,0),VLOOKUP(B7,AK:AL,2,0)-0.05)</f>
        <v>#N/A</v>
      </c>
    </row>
    <row r="12" spans="1:41">
      <c r="A12" s="46" t="s">
        <v>177</v>
      </c>
      <c r="B12" s="1351" t="e">
        <f>IF(B7="Home Loan",IF(Z38="Not Eligible in GTP",Z38,MIN(Z30,Z38,Z36,Z45,300)),IF(Z33="Not Eligible in GTP",Z33,MIN('GTP - Eligibility'!Z33,300,Z30)))</f>
        <v>#NUM!</v>
      </c>
      <c r="C12" s="1351"/>
      <c r="D12" s="26"/>
      <c r="E12" s="26"/>
      <c r="F12" s="27"/>
      <c r="G12" s="29"/>
      <c r="Y12" s="18" t="s">
        <v>433</v>
      </c>
      <c r="Z12" s="38" t="e">
        <f>IF(Eligibility!F35&gt;180,IF('Variant Inputs &amp; Comparison'!B6="Home Loan",PMT(Eligibility!F36/12,MIN(240,Eligibility!F35),-100000),PMT(Eligibility!F36/12,180,-100000)),Eligibility!F37)</f>
        <v>#NUM!</v>
      </c>
      <c r="AB12" s="18" t="s">
        <v>151</v>
      </c>
      <c r="AC12" s="35">
        <f>AVERAGE(AC10:AC11)</f>
        <v>0</v>
      </c>
      <c r="AJ12" s="22" t="s">
        <v>141</v>
      </c>
      <c r="AK12" s="23" t="s">
        <v>157</v>
      </c>
      <c r="AL12" s="31">
        <v>0.7</v>
      </c>
      <c r="AN12" s="31" t="s">
        <v>462</v>
      </c>
      <c r="AO12" s="31" t="e">
        <f>IF('GTP - Eligibility'!B31&gt;120,VLOOKUP(B7,AK:AL,2,0),VLOOKUP(B7,AK:AL,2,0)+0.05)</f>
        <v>#N/A</v>
      </c>
    </row>
    <row r="13" spans="1:41" ht="15">
      <c r="A13" s="46"/>
      <c r="B13" s="1351"/>
      <c r="C13" s="1351"/>
      <c r="D13" s="1348"/>
      <c r="E13" s="1349"/>
      <c r="F13" s="27"/>
      <c r="G13" s="29"/>
      <c r="Y13" s="18" t="s">
        <v>159</v>
      </c>
      <c r="Z13" s="75" t="e">
        <f>IF(Eligibility!F35&gt;180,IF('Variant Inputs &amp; Comparison'!B6="Home Loan",PMT(Eligibility!F36/12,MIN(240,Eligibility!F35),-100000),PMT(Eligibility!F36/12,180,-100000)),Eligibility!F37)</f>
        <v>#NUM!</v>
      </c>
      <c r="AB13" s="18" t="s">
        <v>152</v>
      </c>
      <c r="AC13" s="18">
        <f>AC10*2/3</f>
        <v>0</v>
      </c>
      <c r="AK13" s="23" t="s">
        <v>206</v>
      </c>
      <c r="AL13" s="31">
        <v>0.7</v>
      </c>
    </row>
    <row r="14" spans="1:41">
      <c r="A14" s="47" t="s">
        <v>188</v>
      </c>
      <c r="B14" s="1352" t="s">
        <v>167</v>
      </c>
      <c r="C14" s="1353"/>
      <c r="D14" s="28"/>
      <c r="E14" s="26"/>
      <c r="F14" s="27"/>
      <c r="G14" s="29"/>
      <c r="Y14" s="26"/>
      <c r="AB14" s="18"/>
      <c r="AC14" s="18"/>
      <c r="AK14" s="23" t="s">
        <v>208</v>
      </c>
      <c r="AL14" s="31">
        <v>0.75</v>
      </c>
    </row>
    <row r="15" spans="1:41">
      <c r="A15" s="43"/>
      <c r="B15" s="30"/>
      <c r="C15" s="30"/>
      <c r="D15" s="26"/>
      <c r="E15" s="26"/>
      <c r="F15" s="27"/>
      <c r="G15" s="29"/>
      <c r="Y15" s="17" t="s">
        <v>169</v>
      </c>
      <c r="Z15" s="21" t="e">
        <f>IF(((Z2-Z3)/Z3)&lt;-0.1,0,1)</f>
        <v>#DIV/0!</v>
      </c>
      <c r="AB15" s="18"/>
      <c r="AC15" s="18"/>
      <c r="AK15" s="23" t="s">
        <v>207</v>
      </c>
      <c r="AL15" s="31">
        <v>0.8</v>
      </c>
    </row>
    <row r="16" spans="1:41">
      <c r="A16" s="43" t="s">
        <v>369</v>
      </c>
      <c r="B16" s="1358">
        <v>50</v>
      </c>
      <c r="C16" s="1358"/>
      <c r="D16" s="30" t="str">
        <f>IF(ISERROR(SEARCH("home",B7,1)),IF(Eligibility!F40&gt;180,"Tenure in normal eligibility sheet is greater than 180",""),IF(Eligibility!F40&gt;240,"Tenure in normal eligibility sheet is greater than 240",""))</f>
        <v/>
      </c>
      <c r="E16" s="26"/>
      <c r="F16" s="27"/>
      <c r="G16" s="44"/>
      <c r="Y16" s="17" t="s">
        <v>170</v>
      </c>
      <c r="Z16" s="21" t="e">
        <f>IF(((Eligibility!B4-Eligibility!C4)/Eligibility!C4)&lt;-0.1,0,1)</f>
        <v>#DIV/0!</v>
      </c>
      <c r="AB16" s="18"/>
      <c r="AC16" s="18"/>
      <c r="AK16" s="23"/>
    </row>
    <row r="17" spans="1:42">
      <c r="A17" s="104" t="s">
        <v>535</v>
      </c>
      <c r="B17" s="1358">
        <v>65</v>
      </c>
      <c r="C17" s="1358"/>
      <c r="D17" s="30"/>
      <c r="E17" s="26"/>
      <c r="F17" s="27"/>
      <c r="G17" s="44"/>
      <c r="Y17" s="17"/>
      <c r="AB17" s="18"/>
      <c r="AC17" s="18"/>
      <c r="AK17" s="23"/>
    </row>
    <row r="18" spans="1:42" ht="15" thickBot="1">
      <c r="A18" s="78" t="s">
        <v>458</v>
      </c>
      <c r="B18" s="1354">
        <v>65</v>
      </c>
      <c r="C18" s="1354"/>
      <c r="D18" s="228">
        <f>IF(B17&gt;65,AO10*100,B18)</f>
        <v>65</v>
      </c>
      <c r="E18" s="79"/>
      <c r="F18" s="80"/>
      <c r="G18" s="108"/>
      <c r="Y18" s="26"/>
      <c r="AB18" s="18"/>
      <c r="AC18" s="18"/>
      <c r="AK18" s="23"/>
    </row>
    <row r="19" spans="1:42">
      <c r="A19" s="25"/>
      <c r="B19" s="26"/>
      <c r="C19" s="26"/>
      <c r="D19" s="77" t="s">
        <v>202</v>
      </c>
      <c r="E19" s="76" t="s">
        <v>181</v>
      </c>
      <c r="F19" s="198"/>
      <c r="Y19" s="17" t="s">
        <v>169</v>
      </c>
      <c r="Z19" s="17">
        <v>1</v>
      </c>
      <c r="AB19" s="18" t="s">
        <v>150</v>
      </c>
      <c r="AC19" s="35">
        <f>IF(MIN(AC12,AC13)&lt;AC24,MIN(AC12,AC13),AC24)</f>
        <v>0</v>
      </c>
    </row>
    <row r="20" spans="1:42">
      <c r="A20" s="46" t="s">
        <v>214</v>
      </c>
      <c r="B20" s="1351" t="e">
        <f>IF(B7="Home Loan",IF(Z38="Not Eligible in GTP",Z38,MIN(Z38,Z36,Z46,Z30,500)),IF(Z33="Not Eligible in GTP",Z33,MIN(IF(Z28="Not Eligible in GTP","Not Eligible in GTP",MIN(Z51,Z28,Z46,Z30,500)))))</f>
        <v>#NUM!</v>
      </c>
      <c r="C20" s="1351"/>
      <c r="D20" s="95" t="e">
        <f>B20/Eligibility!F46</f>
        <v>#NUM!</v>
      </c>
      <c r="E20" s="94" t="e">
        <f>B20*100000/Z4</f>
        <v>#NUM!</v>
      </c>
      <c r="F20" s="199"/>
      <c r="Y20" s="17" t="s">
        <v>170</v>
      </c>
      <c r="Z20" s="17">
        <v>1</v>
      </c>
      <c r="AB20" s="26"/>
      <c r="AC20" s="39"/>
    </row>
    <row r="21" spans="1:42">
      <c r="A21" s="45" t="s">
        <v>182</v>
      </c>
      <c r="B21" s="1351" t="e">
        <f>IF(B7="Home Loan",IF(Z38="Not Eligible in GTP",Z38,MIN(Z38,Z36,300,Z47,Z31)),IF(Z33="Not Eligible in GTP",Z33,MIN(IF(Z28="Not Eligible in GTP","Not Eligible in GTP",MIN(Z52,Z28,Z47,Z31)))))</f>
        <v>#NUM!</v>
      </c>
      <c r="C21" s="1351"/>
      <c r="D21" s="95" t="e">
        <f>B21/Eligibility!F46</f>
        <v>#NUM!</v>
      </c>
      <c r="E21" s="94" t="e">
        <f>B21*100000/Z4</f>
        <v>#NUM!</v>
      </c>
      <c r="F21" s="199"/>
      <c r="Y21" s="17" t="s">
        <v>171</v>
      </c>
      <c r="Z21" s="17">
        <v>1</v>
      </c>
    </row>
    <row r="22" spans="1:42" ht="15" thickBot="1">
      <c r="A22" s="48" t="s">
        <v>215</v>
      </c>
      <c r="B22" s="1350">
        <v>90</v>
      </c>
      <c r="C22" s="1350"/>
      <c r="D22" s="107" t="e">
        <f>IF(ISNUMBER(SEARCH("Top",'Variant Inputs &amp; Comparison'!B6,1)),(B22+'Variant Inputs &amp; Comparison'!B7)/Eligibility!F46,B22/Eligibility!F46)</f>
        <v>#DIV/0!</v>
      </c>
      <c r="E22" s="96" t="e">
        <f>B22*100000/Z4</f>
        <v>#DIV/0!</v>
      </c>
      <c r="F22" s="200"/>
      <c r="AJ22" s="210" t="s">
        <v>94</v>
      </c>
      <c r="AK22" s="1299"/>
      <c r="AL22" s="1299"/>
      <c r="AM22" s="1299"/>
      <c r="AN22" s="210"/>
      <c r="AO22" s="13">
        <f>Eligibility!F30</f>
        <v>0</v>
      </c>
      <c r="AP22" s="13">
        <f>Eligibility!F30</f>
        <v>0</v>
      </c>
    </row>
    <row r="23" spans="1:42">
      <c r="A23" s="26"/>
      <c r="B23" s="26"/>
      <c r="C23" s="26"/>
      <c r="D23" s="26"/>
      <c r="E23" s="26"/>
      <c r="F23" s="26"/>
      <c r="AJ23" s="210"/>
      <c r="AK23" s="209"/>
      <c r="AL23" s="209"/>
      <c r="AM23" s="209"/>
      <c r="AN23" s="210"/>
      <c r="AO23" s="13"/>
      <c r="AP23" s="13"/>
    </row>
    <row r="24" spans="1:42">
      <c r="A24" s="26"/>
      <c r="B24" s="26"/>
      <c r="C24" s="26"/>
      <c r="D24" s="26"/>
      <c r="E24" s="26"/>
      <c r="F24" s="26"/>
      <c r="Y24" s="21" t="s">
        <v>172</v>
      </c>
      <c r="Z24" s="21">
        <f>IF((IF(B6="Traders",7%,10%)*Z4)&gt;('Ratios Sheet - combined'!B13*100000),'Ratios Sheet - combined'!B13*100000,IF(B6="Traders",7%,10%)*Z4)</f>
        <v>0</v>
      </c>
      <c r="AB24" s="18" t="s">
        <v>145</v>
      </c>
      <c r="AC24" s="18">
        <f>AC4*IF('GTP - Eligibility'!B9="Other than specified",2%,1%)</f>
        <v>0</v>
      </c>
      <c r="AJ24" s="210" t="s">
        <v>95</v>
      </c>
      <c r="AK24" s="1305"/>
      <c r="AL24" s="1305"/>
      <c r="AM24" s="1305"/>
      <c r="AN24" s="210"/>
      <c r="AO24" s="13">
        <f>Eligibility!F32</f>
        <v>0</v>
      </c>
      <c r="AP24" s="13">
        <f>Eligibility!F32</f>
        <v>0</v>
      </c>
    </row>
    <row r="25" spans="1:42">
      <c r="A25" s="26"/>
      <c r="B25" s="26"/>
      <c r="C25" s="26"/>
      <c r="D25" s="26"/>
      <c r="E25" s="26"/>
      <c r="F25" s="26"/>
      <c r="Y25" s="18" t="s">
        <v>147</v>
      </c>
      <c r="Z25" s="18" t="e">
        <f>IF(LEFT(B7,3)="TOP",Eligibility!F46*AO11-B8,Eligibility!F46*AO11)</f>
        <v>#N/A</v>
      </c>
      <c r="AB25" s="18"/>
      <c r="AC25" s="18"/>
      <c r="AJ25" s="6" t="s">
        <v>445</v>
      </c>
      <c r="AK25" s="1299"/>
      <c r="AL25" s="1299"/>
      <c r="AM25" s="1299"/>
      <c r="AN25" s="210"/>
      <c r="AO25" s="20">
        <v>1.3</v>
      </c>
      <c r="AP25" s="20">
        <f>B17*2/100</f>
        <v>1.3</v>
      </c>
    </row>
    <row r="26" spans="1:42" ht="30">
      <c r="A26" s="32" t="s">
        <v>373</v>
      </c>
      <c r="B26" s="1361" t="s">
        <v>167</v>
      </c>
      <c r="C26" s="1361"/>
      <c r="D26" s="26"/>
      <c r="E26" s="26"/>
      <c r="F26" s="26"/>
      <c r="Y26" s="18" t="s">
        <v>464</v>
      </c>
      <c r="Z26" s="21" t="e">
        <f>IF(LEFT(B7,3)="TOP",Eligibility!F46*AO12-B8,Eligibility!F46*AO12)</f>
        <v>#N/A</v>
      </c>
      <c r="AJ26" s="210" t="s">
        <v>97</v>
      </c>
      <c r="AK26" s="1299"/>
      <c r="AL26" s="1299"/>
      <c r="AM26" s="1299"/>
      <c r="AN26" s="210"/>
      <c r="AO26" s="7">
        <f>AO22*AO25-AO24</f>
        <v>0</v>
      </c>
      <c r="AP26" s="7">
        <f>AP22*AP25-AP24</f>
        <v>0</v>
      </c>
    </row>
    <row r="27" spans="1:42">
      <c r="A27" s="33"/>
      <c r="B27" s="33"/>
      <c r="C27" s="33"/>
      <c r="D27" s="26"/>
      <c r="E27" s="26"/>
      <c r="F27" s="26"/>
      <c r="Y27" s="40" t="s">
        <v>147</v>
      </c>
      <c r="Z27" s="40" t="e">
        <f>IF(LEFT(B7,3)="TOP",Eligibility!F46*AO10-B8,Eligibility!F46*AO10)</f>
        <v>#N/A</v>
      </c>
      <c r="AB27" s="26"/>
      <c r="AC27" s="41"/>
      <c r="AJ27" s="210" t="s">
        <v>98</v>
      </c>
      <c r="AK27" s="1299"/>
      <c r="AL27" s="1299"/>
      <c r="AM27" s="1299"/>
      <c r="AN27" s="210"/>
      <c r="AO27" s="19">
        <f>IF('Variant Inputs &amp; Comparison'!B6="Home Loan",MIN(240,Eligibility!F35),MIN(180,Eligibility!F35))</f>
        <v>0</v>
      </c>
      <c r="AP27" s="19">
        <f>IF('Variant Inputs &amp; Comparison'!B6="Home Loan",MIN(240,Eligibility!F35),MIN(180,Eligibility!F35))</f>
        <v>0</v>
      </c>
    </row>
    <row r="28" spans="1:42">
      <c r="A28" s="1308" t="s">
        <v>194</v>
      </c>
      <c r="B28" s="1308"/>
      <c r="C28" s="1308"/>
      <c r="D28" s="26"/>
      <c r="E28" s="26"/>
      <c r="F28" s="26"/>
      <c r="Y28" s="18" t="s">
        <v>143</v>
      </c>
      <c r="Z28" s="18" t="e">
        <f>IF(SUM(Z19:Z21)=3,MIN(((((((Z24)-Z8)-Z9)*65%)/12)-Z10)/Z12),"Not Eligible in GTP")</f>
        <v>#NUM!</v>
      </c>
      <c r="AB28" s="26"/>
      <c r="AC28" s="42"/>
      <c r="AJ28" s="210" t="s">
        <v>99</v>
      </c>
      <c r="AK28" s="1299"/>
      <c r="AL28" s="1299"/>
      <c r="AM28" s="1299"/>
      <c r="AN28" s="210"/>
      <c r="AO28" s="20">
        <f>Eligibility!F36</f>
        <v>0</v>
      </c>
      <c r="AP28" s="20">
        <f>Eligibility!F36</f>
        <v>0</v>
      </c>
    </row>
    <row r="29" spans="1:42" ht="15">
      <c r="A29" s="32" t="s">
        <v>203</v>
      </c>
      <c r="B29" s="88" t="e">
        <f>IF(B22&lt;=MAX(B20:B21),B22,"Loan cannot be given")</f>
        <v>#NUM!</v>
      </c>
      <c r="C29" s="74" t="e">
        <f>IF(AND(B29&gt;300,B29&lt;=400),"NFA at L1",IF(B29&gt;400,"NFA at Head Secured Credit",""))</f>
        <v>#NUM!</v>
      </c>
      <c r="D29" s="26"/>
      <c r="E29" s="26"/>
      <c r="F29" s="26"/>
      <c r="AB29" s="18" t="s">
        <v>128</v>
      </c>
      <c r="AC29" s="18" t="e">
        <f>IF(SUM(AC32:AC36)=5,((((AC24+AC19+AC6)*85%)/12)-Eligibility!E76)/Z12,"Not Eligible")</f>
        <v>#DIV/0!</v>
      </c>
      <c r="AJ29" s="210" t="s">
        <v>100</v>
      </c>
      <c r="AK29" s="1299"/>
      <c r="AL29" s="1299"/>
      <c r="AM29" s="1299"/>
      <c r="AN29" s="210"/>
      <c r="AO29" s="8" t="e">
        <f>PMT(AO28/12,AO27,-100000)</f>
        <v>#NUM!</v>
      </c>
      <c r="AP29" s="8" t="e">
        <f>PMT(AP28/12,AP27,-100000)</f>
        <v>#NUM!</v>
      </c>
    </row>
    <row r="30" spans="1:42" ht="15">
      <c r="A30" s="32" t="s">
        <v>201</v>
      </c>
      <c r="B30" s="82">
        <f>B7</f>
        <v>0</v>
      </c>
      <c r="D30" s="26"/>
      <c r="E30" s="26"/>
      <c r="F30" s="26"/>
      <c r="Y30" s="18" t="s">
        <v>536</v>
      </c>
      <c r="Z30" s="191" t="e">
        <f>AO30</f>
        <v>#NUM!</v>
      </c>
      <c r="AB30" s="18" t="s">
        <v>147</v>
      </c>
      <c r="AC30" s="18">
        <f>IF('GTP - Eligibility'!B7="LAP Residential",Eligibility!F46*60%,Eligibility!F46*45%)</f>
        <v>0</v>
      </c>
      <c r="AJ30" s="210" t="s">
        <v>144</v>
      </c>
      <c r="AK30" s="1299"/>
      <c r="AL30" s="1299"/>
      <c r="AM30" s="1299"/>
      <c r="AN30" s="9"/>
      <c r="AO30" s="8" t="e">
        <f>AO26/AO29-0.01</f>
        <v>#NUM!</v>
      </c>
      <c r="AP30" s="8" t="e">
        <f>AP26/AP29-0.01</f>
        <v>#NUM!</v>
      </c>
    </row>
    <row r="31" spans="1:42" ht="15">
      <c r="A31" s="32" t="s">
        <v>195</v>
      </c>
      <c r="B31" s="82">
        <f>IF(B30="Home Loan",MIN(240,Eligibility!F35),MIN(180,Eligibility!F35))</f>
        <v>0</v>
      </c>
      <c r="D31" s="26"/>
      <c r="E31" s="26"/>
      <c r="F31" s="26"/>
      <c r="Y31" s="18" t="s">
        <v>537</v>
      </c>
      <c r="Z31" s="191" t="e">
        <f>AP30</f>
        <v>#NUM!</v>
      </c>
      <c r="AB31" s="18" t="s">
        <v>146</v>
      </c>
      <c r="AC31" s="18" t="e">
        <f>IF(AC29="Not Eligible","Not Eligible",MIN(AC29,AC30))</f>
        <v>#DIV/0!</v>
      </c>
    </row>
    <row r="32" spans="1:42" ht="15">
      <c r="A32" s="32" t="s">
        <v>196</v>
      </c>
      <c r="B32" s="83">
        <f>Eligibility!F36</f>
        <v>0</v>
      </c>
      <c r="D32" s="26"/>
      <c r="E32" s="26"/>
      <c r="F32" s="26"/>
      <c r="Y32" s="18"/>
      <c r="AB32" s="16" t="s">
        <v>133</v>
      </c>
      <c r="AC32" s="17" t="e">
        <f>IF(((AC2-AC3)/AC3)&lt;-0.1,0,1)</f>
        <v>#DIV/0!</v>
      </c>
      <c r="AN32" s="31" t="s">
        <v>330</v>
      </c>
      <c r="AO32" s="31" t="e">
        <f>Z12*150</f>
        <v>#NUM!</v>
      </c>
    </row>
    <row r="33" spans="1:41" ht="15">
      <c r="A33" s="32" t="s">
        <v>113</v>
      </c>
      <c r="B33" s="84" t="e">
        <f>IF(B29="Loan cannot be given",0,ROUNDUP(PMT(B32/12,B31,-(B29*100000)),0))</f>
        <v>#NUM!</v>
      </c>
      <c r="D33" s="26"/>
      <c r="E33" s="26"/>
      <c r="F33" s="26"/>
      <c r="Y33" s="18" t="s">
        <v>173</v>
      </c>
      <c r="Z33" s="35" t="e">
        <f>IF(Z28="Not Eligible in GTP","Not Eligible in GTP",MIN(Z27,Z28,Z45))</f>
        <v>#NUM!</v>
      </c>
      <c r="AB33" s="16" t="s">
        <v>134</v>
      </c>
      <c r="AC33" s="17" t="e">
        <f>IF(((Eligibility!B4-Eligibility!C4)/Eligibility!C4)&lt;-0.1,0,1)</f>
        <v>#DIV/0!</v>
      </c>
      <c r="AN33" s="31" t="s">
        <v>331</v>
      </c>
      <c r="AO33" s="31" t="e">
        <f>Z12*200</f>
        <v>#NUM!</v>
      </c>
    </row>
    <row r="34" spans="1:41" ht="15">
      <c r="A34" s="32" t="s">
        <v>202</v>
      </c>
      <c r="B34" s="85" t="e">
        <f>IF(B29="Loan cannot be given",0,IF(ISNUMBER(SEARCH("Topup",B30,1)),(B29+'Variant Inputs &amp; Comparison'!B7)/Eligibility!F46,B29/Eligibility!F46))</f>
        <v>#NUM!</v>
      </c>
      <c r="C34" s="74" t="e">
        <f>IF(OR(B7="Home Loan",LEFT(B7,17)="Topup - Home Loan"),"",IF(AND(B34-AO10&lt;=0.05,B34&gt;AO10),"NFA at L1",IF(B34-AO10&gt;0.05,"NFA at Head Secured Credit","")))</f>
        <v>#NUM!</v>
      </c>
      <c r="D34" s="26"/>
      <c r="E34" s="26"/>
      <c r="F34" s="26"/>
      <c r="AC34" s="17">
        <f>IF(MIN(AC2:AC3)&lt;6000000,0,1)</f>
        <v>0</v>
      </c>
    </row>
    <row r="35" spans="1:41" ht="15">
      <c r="A35" s="32" t="s">
        <v>179</v>
      </c>
      <c r="B35" s="85" t="e">
        <f>('Ratios Sheet - combined'!B39+'Ratios Sheet - combined'!B40+'Ratios Sheet - combined'!B42)/'Ratios Sheet - combined'!B38</f>
        <v>#DIV/0!</v>
      </c>
      <c r="C35" s="74" t="e">
        <f>IF(B35&gt;3,"NFA at Head Secured Credit","")</f>
        <v>#DIV/0!</v>
      </c>
      <c r="D35" s="26"/>
      <c r="E35" s="26"/>
      <c r="F35" s="26"/>
      <c r="Y35" s="21" t="s">
        <v>158</v>
      </c>
      <c r="Z35" s="21" t="e">
        <f>IF(Z28&lt;30.0001,90,IF(Z28&lt;75.0001,80,75))</f>
        <v>#NUM!</v>
      </c>
      <c r="AC35" s="21">
        <f>IF(MIN('Ratios Sheet - combined'!B25,'Ratios Sheet - combined'!D25)&lt;1.8,0,1)</f>
        <v>0</v>
      </c>
      <c r="AN35" s="31" t="s">
        <v>332</v>
      </c>
      <c r="AO35" s="31" t="e">
        <f>IF(AO38/2&lt;=AO32,150,AO38/2/'GTP - Eligibility'!Z12)</f>
        <v>#NUM!</v>
      </c>
    </row>
    <row r="36" spans="1:41" ht="15">
      <c r="A36" s="32" t="s">
        <v>181</v>
      </c>
      <c r="B36" s="98" t="e">
        <f>E22</f>
        <v>#DIV/0!</v>
      </c>
      <c r="C36" s="74" t="e">
        <f>IF(AND(B29&gt;150,B36&gt;=0.4,B36&lt;0.5001),"NFA at L1","")</f>
        <v>#NUM!</v>
      </c>
      <c r="D36" s="26"/>
      <c r="E36" s="26"/>
      <c r="F36" s="26"/>
      <c r="Y36" s="21" t="s">
        <v>226</v>
      </c>
      <c r="Z36" s="21" t="e">
        <f>IF(LEFT(B7,17)="Topup - Home Loan",AC37*AO10,IF(Z38&gt;75,IF(AC37*75%&gt;75,MIN(Z38,AC37*75%),IF(AC37*80%&gt;20,MIN(Z38,AC37*80%),MIN(Z38,AC37*90%,20))),IF(Z38&gt;20,IF(AC37*80%&gt;20,MIN(Z38,AC37*80%),MIN(Z38,AC37*90%)))))</f>
        <v>#NUM!</v>
      </c>
      <c r="AC36" s="21">
        <f>IF(MIN('Ratios Sheet - combined'!B38,'Ratios Sheet - combined'!D38)&lt;0,0,1)</f>
        <v>1</v>
      </c>
      <c r="AN36" s="31" t="s">
        <v>333</v>
      </c>
      <c r="AO36" s="31" t="e">
        <f>AO38/1.5/'GTP - Eligibility'!Z12</f>
        <v>#NUM!</v>
      </c>
    </row>
    <row r="37" spans="1:41" ht="15">
      <c r="A37" s="32" t="s">
        <v>241</v>
      </c>
      <c r="B37" s="97">
        <f>IF('Variant Inputs &amp; Comparison'!B9="Yes",'Daily-Balance'!B23,'Daily-Balance'!B22)</f>
        <v>0</v>
      </c>
      <c r="C37" s="49"/>
      <c r="D37" s="26"/>
      <c r="E37" s="26"/>
      <c r="F37" s="26"/>
      <c r="AC37" s="18">
        <f>Eligibility!F46</f>
        <v>0</v>
      </c>
    </row>
    <row r="38" spans="1:41" ht="15">
      <c r="A38" s="32" t="s">
        <v>239</v>
      </c>
      <c r="B38" s="86" t="e">
        <f>(B37+Eligibility!E76)/(Eligibility!E76+B33)</f>
        <v>#NUM!</v>
      </c>
      <c r="C38" s="74" t="e">
        <f>IF(OR(AND(B29&gt;150,B38&gt;=2),AND(B29&lt;=150,B38&gt;=1.5)),"",IF(AND(B29&gt;150,B38&gt;=1.5),"NFA at L1","AQB is less than norms, reduce loan amount"))</f>
        <v>#NUM!</v>
      </c>
      <c r="D38" s="26"/>
      <c r="E38" s="26"/>
      <c r="F38" s="26"/>
      <c r="Y38" s="21" t="s">
        <v>160</v>
      </c>
      <c r="Z38" s="21" t="e">
        <f>IF(SUM(Z19:Z21)=3,MIN(((((((Z24)-Z8)-Z9)*65%)/12)-Z10)/Z13),"Not Eligible in GTP")</f>
        <v>#NUM!</v>
      </c>
      <c r="AO38" s="31">
        <f>IF('Variant Inputs &amp; Comparison'!B9="Yes",'Daily-Balance'!B23,'Daily-Balance'!B22)</f>
        <v>0</v>
      </c>
    </row>
    <row r="39" spans="1:41" ht="15">
      <c r="A39" s="32" t="s">
        <v>205</v>
      </c>
      <c r="B39" s="158" t="e">
        <f>'Credit Summation'!B19/'GTP - Eligibility'!Z4</f>
        <v>#DIV/0!</v>
      </c>
      <c r="C39" s="74" t="e">
        <f>IF(B39&lt;60%,"NFA at L1","")</f>
        <v>#DIV/0!</v>
      </c>
      <c r="D39" s="26"/>
      <c r="E39" s="26"/>
      <c r="F39" s="26"/>
    </row>
    <row r="40" spans="1:41" ht="15">
      <c r="A40" s="32" t="s">
        <v>471</v>
      </c>
      <c r="B40" s="72" t="s">
        <v>168</v>
      </c>
      <c r="C40" s="74" t="str">
        <f>IF(B40="Yes","","NFA at L1")</f>
        <v>NFA at L1</v>
      </c>
      <c r="D40" s="26"/>
      <c r="E40" s="26"/>
      <c r="F40" s="26"/>
    </row>
    <row r="41" spans="1:41" ht="15">
      <c r="A41" s="32" t="s">
        <v>198</v>
      </c>
      <c r="B41" s="73" t="s">
        <v>167</v>
      </c>
      <c r="C41" s="74" t="str">
        <f>IF(B41="Yes","","NFA at L1")</f>
        <v/>
      </c>
      <c r="D41" s="26"/>
      <c r="E41" s="26"/>
      <c r="F41" s="26"/>
    </row>
    <row r="42" spans="1:41" ht="15">
      <c r="A42" s="32" t="s">
        <v>197</v>
      </c>
      <c r="B42" s="72" t="s">
        <v>168</v>
      </c>
      <c r="C42" s="74" t="str">
        <f>IF(B42="Yes","","NFA at L1")</f>
        <v>NFA at L1</v>
      </c>
      <c r="D42" s="26"/>
      <c r="E42" s="26"/>
      <c r="F42" s="26"/>
    </row>
    <row r="43" spans="1:41" ht="15">
      <c r="A43" s="32" t="s">
        <v>199</v>
      </c>
      <c r="B43" s="73" t="s">
        <v>168</v>
      </c>
      <c r="C43" s="74" t="str">
        <f>IF(B43="Yes","","NFA at L1")</f>
        <v>NFA at L1</v>
      </c>
      <c r="D43" s="26"/>
      <c r="E43" s="26"/>
      <c r="F43" s="26"/>
    </row>
    <row r="44" spans="1:41" ht="15">
      <c r="A44" s="32" t="s">
        <v>200</v>
      </c>
      <c r="B44" s="73" t="s">
        <v>168</v>
      </c>
      <c r="C44" s="74" t="str">
        <f>IF(B44="Yes","","NFA at L1")</f>
        <v>NFA at L1</v>
      </c>
      <c r="D44" s="26"/>
      <c r="E44" s="26"/>
      <c r="F44" s="26"/>
    </row>
    <row r="45" spans="1:41" ht="15">
      <c r="A45" s="32" t="s">
        <v>169</v>
      </c>
      <c r="B45" s="87" t="e">
        <f>IF(Z15=1,"No",ABS((Z2-Z3)/Z3))</f>
        <v>#DIV/0!</v>
      </c>
      <c r="C45" s="74" t="e">
        <f>IF(B45="No","","NFA at L1")</f>
        <v>#DIV/0!</v>
      </c>
      <c r="D45" s="26"/>
      <c r="E45" s="26"/>
      <c r="F45" s="26"/>
      <c r="Y45" s="18" t="s">
        <v>164</v>
      </c>
      <c r="Z45" s="18" t="e">
        <f>IF(Z28&gt;150,Z4*40%/100000,Z4*50%/100000)</f>
        <v>#NUM!</v>
      </c>
    </row>
    <row r="46" spans="1:41" ht="15">
      <c r="A46" s="32" t="s">
        <v>170</v>
      </c>
      <c r="B46" s="87" t="e">
        <f>IF(Z16=1,"No",ABS((Eligibility!B4-Eligibility!C4)/Eligibility!C4))</f>
        <v>#DIV/0!</v>
      </c>
      <c r="C46" s="74" t="e">
        <f>IF(B46="No","","NFA at L1")</f>
        <v>#DIV/0!</v>
      </c>
      <c r="D46" s="26"/>
      <c r="E46" s="26"/>
      <c r="F46" s="26"/>
      <c r="Y46" s="18" t="s">
        <v>180</v>
      </c>
      <c r="Z46" s="21">
        <f>Z4*50%/100000</f>
        <v>0</v>
      </c>
    </row>
    <row r="47" spans="1:41" ht="15">
      <c r="A47" s="32" t="s">
        <v>472</v>
      </c>
      <c r="B47" s="73" t="s">
        <v>167</v>
      </c>
      <c r="C47" s="74" t="str">
        <f>IF(B47="Yes","","NFA at L1")</f>
        <v/>
      </c>
      <c r="D47" s="26"/>
      <c r="E47" s="26"/>
      <c r="F47" s="26"/>
      <c r="Y47" s="18" t="s">
        <v>163</v>
      </c>
      <c r="Z47" s="21">
        <f>Z4*B16%/100000</f>
        <v>0</v>
      </c>
    </row>
    <row r="48" spans="1:41">
      <c r="Y48" s="21" t="s">
        <v>178</v>
      </c>
      <c r="Z48" s="21" t="e">
        <f>IF(Z28="Not Eligible in GTP","Not Eligible in GTP",MIN(Z27,Z28))</f>
        <v>#NUM!</v>
      </c>
    </row>
    <row r="50" spans="1:26">
      <c r="Z50" s="21" t="e">
        <f>IF(Z48="Not Eligible in GTP",10000,IF(Z48&gt;150,40,10000))</f>
        <v>#NUM!</v>
      </c>
    </row>
    <row r="51" spans="1:26">
      <c r="A51" s="1359" t="s">
        <v>227</v>
      </c>
      <c r="B51" s="1359"/>
      <c r="Y51" s="21" t="s">
        <v>473</v>
      </c>
      <c r="Z51" s="21">
        <f>IF(LEFT(B7,3)="TOP",Eligibility!F46*75%-B8,Eligibility!F46*75%)</f>
        <v>0</v>
      </c>
    </row>
    <row r="52" spans="1:26">
      <c r="A52" s="1360"/>
      <c r="B52" s="1360"/>
      <c r="Y52" s="21" t="s">
        <v>240</v>
      </c>
      <c r="Z52" s="21">
        <f>IF(LEFT(B7,3)="TOP",Eligibility!F46*D18%-B8,Eligibility!F46*D18%)</f>
        <v>0</v>
      </c>
    </row>
    <row r="53" spans="1:26" ht="15">
      <c r="A53" s="32" t="s">
        <v>372</v>
      </c>
      <c r="B53" s="82" t="s">
        <v>111</v>
      </c>
    </row>
    <row r="54" spans="1:26" ht="15">
      <c r="A54" s="32" t="s">
        <v>234</v>
      </c>
      <c r="B54" s="82">
        <f>Z4/100000</f>
        <v>0</v>
      </c>
    </row>
    <row r="55" spans="1:26" ht="15">
      <c r="A55" s="32" t="s">
        <v>233</v>
      </c>
      <c r="B55" s="82">
        <f>'Ratios Sheet - combined'!B13</f>
        <v>0</v>
      </c>
    </row>
    <row r="56" spans="1:26" ht="15">
      <c r="A56" s="32" t="s">
        <v>235</v>
      </c>
      <c r="B56" s="82">
        <f>IF(B6="Traders",7%,10%)*Z4/100000</f>
        <v>0</v>
      </c>
    </row>
    <row r="57" spans="1:26" ht="15">
      <c r="A57" s="32" t="s">
        <v>236</v>
      </c>
      <c r="B57" s="82">
        <f>IF((IF(B6="Traders",7%,10%)*Z4)&gt;('Ratios Sheet - combined'!B13*100000),'Ratios Sheet - combined'!B13*100000,IF(B6="Traders",7%,10%)*Z4)/100000</f>
        <v>0</v>
      </c>
    </row>
    <row r="58" spans="1:26" ht="15">
      <c r="A58" s="32" t="s">
        <v>237</v>
      </c>
      <c r="B58" s="82">
        <f>Z8/100000</f>
        <v>0</v>
      </c>
    </row>
    <row r="59" spans="1:26" ht="15">
      <c r="A59" s="32" t="s">
        <v>238</v>
      </c>
      <c r="B59" s="82">
        <f>Z9/100000</f>
        <v>0</v>
      </c>
    </row>
    <row r="60" spans="1:26" ht="15">
      <c r="A60" s="227" t="s">
        <v>542</v>
      </c>
      <c r="B60" s="82">
        <f>B57-B58-B59</f>
        <v>0</v>
      </c>
    </row>
    <row r="61" spans="1:26" ht="15">
      <c r="A61" s="227" t="s">
        <v>543</v>
      </c>
      <c r="B61" s="82">
        <f>AO22*12</f>
        <v>0</v>
      </c>
    </row>
    <row r="62" spans="1:26" ht="15">
      <c r="A62" s="227" t="s">
        <v>544</v>
      </c>
      <c r="B62" s="82">
        <f>MIN(B61,B60)</f>
        <v>0</v>
      </c>
    </row>
    <row r="63" spans="1:26" ht="15">
      <c r="A63" s="32" t="s">
        <v>545</v>
      </c>
      <c r="B63" s="82">
        <f>Z10/100000</f>
        <v>0</v>
      </c>
    </row>
    <row r="64" spans="1:26" ht="15">
      <c r="A64" s="32"/>
      <c r="B64" s="82"/>
    </row>
    <row r="66" spans="1:2" ht="15">
      <c r="A66" s="32" t="s">
        <v>538</v>
      </c>
    </row>
    <row r="67" spans="1:2" ht="15">
      <c r="A67" s="32" t="s">
        <v>540</v>
      </c>
      <c r="B67" s="82" t="e">
        <f>Z30</f>
        <v>#NUM!</v>
      </c>
    </row>
    <row r="68" spans="1:2" ht="15">
      <c r="A68" s="32" t="s">
        <v>541</v>
      </c>
      <c r="B68" s="82" t="e">
        <f>Z31</f>
        <v>#NUM!</v>
      </c>
    </row>
    <row r="70" spans="1:2" ht="15">
      <c r="A70" s="32" t="s">
        <v>539</v>
      </c>
    </row>
    <row r="71" spans="1:2" ht="15">
      <c r="A71" s="32" t="s">
        <v>230</v>
      </c>
      <c r="B71" s="82" t="e">
        <f>Z45</f>
        <v>#NUM!</v>
      </c>
    </row>
    <row r="72" spans="1:2" ht="15">
      <c r="A72" s="32" t="s">
        <v>231</v>
      </c>
      <c r="B72" s="82">
        <f>Z46</f>
        <v>0</v>
      </c>
    </row>
    <row r="74" spans="1:2" ht="15">
      <c r="A74" s="32" t="s">
        <v>232</v>
      </c>
    </row>
    <row r="75" spans="1:2" ht="15">
      <c r="A75" s="32" t="s">
        <v>230</v>
      </c>
      <c r="B75" s="82" t="e">
        <f>AO35</f>
        <v>#NUM!</v>
      </c>
    </row>
    <row r="76" spans="1:2" ht="15">
      <c r="A76" s="32" t="s">
        <v>231</v>
      </c>
      <c r="B76" s="82" t="e">
        <f>AO36</f>
        <v>#NUM!</v>
      </c>
    </row>
    <row r="78" spans="1:2" ht="15">
      <c r="A78" s="32" t="s">
        <v>228</v>
      </c>
    </row>
    <row r="79" spans="1:2" ht="15">
      <c r="A79" s="32" t="s">
        <v>229</v>
      </c>
      <c r="B79" s="82" t="e">
        <f>IF(OR(B7="Home Loan",LEFT(B7,17)="Topup - Home Loan"),Z36,Z27)</f>
        <v>#N/A</v>
      </c>
    </row>
    <row r="80" spans="1:2" ht="15">
      <c r="A80" s="32" t="s">
        <v>459</v>
      </c>
      <c r="B80" s="82" t="e">
        <f>IF(OR(B7="Home Loan",LEFT(B7,17)="Topup - Home Loan"),Z36,Z26)</f>
        <v>#N/A</v>
      </c>
    </row>
    <row r="81" spans="1:2" ht="30">
      <c r="A81" s="32" t="s">
        <v>474</v>
      </c>
      <c r="B81" s="82">
        <f>IF(OR(B7="Home Loan",LEFT(B7,17)="Topup - Home Loan"),Z36,Z51)</f>
        <v>0</v>
      </c>
    </row>
    <row r="85" spans="1:2">
      <c r="A85" s="23"/>
      <c r="B85" s="106"/>
    </row>
    <row r="86" spans="1:2">
      <c r="A86" s="23"/>
      <c r="B86" s="105"/>
    </row>
    <row r="87" spans="1:2">
      <c r="A87" s="31"/>
    </row>
    <row r="88" spans="1:2">
      <c r="A88" s="31"/>
    </row>
    <row r="89" spans="1:2">
      <c r="A89" s="31"/>
    </row>
  </sheetData>
  <sheetProtection algorithmName="SHA-512" hashValue="S5ed1ojJ7xGUw81jq/8syqdMHyVNR7jrTjgWztLylXcK+wqRGE/8IkwCJtmeHdLXjRmVVYZp6LIWsy431Md3uw==" saltValue="vYVVv71A3Ki2/vwPA1YwkQ==" spinCount="100000" sheet="1" formatCells="0" formatColumns="0"/>
  <mergeCells count="31">
    <mergeCell ref="A51:B52"/>
    <mergeCell ref="A28:C28"/>
    <mergeCell ref="B26:C26"/>
    <mergeCell ref="B20:C20"/>
    <mergeCell ref="B21:C21"/>
    <mergeCell ref="AK29:AM29"/>
    <mergeCell ref="AK30:AM30"/>
    <mergeCell ref="AK22:AM22"/>
    <mergeCell ref="AK24:AM24"/>
    <mergeCell ref="AK25:AM25"/>
    <mergeCell ref="AK26:AM26"/>
    <mergeCell ref="AK27:AM27"/>
    <mergeCell ref="AK28:AM28"/>
    <mergeCell ref="D13:E13"/>
    <mergeCell ref="B22:C22"/>
    <mergeCell ref="B8:C8"/>
    <mergeCell ref="B13:C13"/>
    <mergeCell ref="B11:C11"/>
    <mergeCell ref="B12:C12"/>
    <mergeCell ref="B14:C14"/>
    <mergeCell ref="B18:C18"/>
    <mergeCell ref="B9:C9"/>
    <mergeCell ref="B10:C10"/>
    <mergeCell ref="B16:C16"/>
    <mergeCell ref="B17:C17"/>
    <mergeCell ref="AB1:AC1"/>
    <mergeCell ref="Y1:Z1"/>
    <mergeCell ref="B7:C7"/>
    <mergeCell ref="B6:C6"/>
    <mergeCell ref="B5:C5"/>
    <mergeCell ref="B4:C4"/>
  </mergeCells>
  <phoneticPr fontId="0" type="noConversion"/>
  <conditionalFormatting sqref="A21:C21 E21 A16:C17 A18:B18 A15">
    <cfRule type="expression" dxfId="21" priority="30" stopIfTrue="1">
      <formula>$B$14="No"</formula>
    </cfRule>
  </conditionalFormatting>
  <conditionalFormatting sqref="C40:C47">
    <cfRule type="containsText" dxfId="20" priority="27" stopIfTrue="1" operator="containsText" text="NO">
      <formula>NOT(ISERROR(SEARCH("NO",C40)))</formula>
    </cfRule>
    <cfRule type="containsText" dxfId="19" priority="28" stopIfTrue="1" operator="containsText" text="NA">
      <formula>NOT(ISERROR(SEARCH("NA",C40)))</formula>
    </cfRule>
  </conditionalFormatting>
  <conditionalFormatting sqref="B26 B40:B44">
    <cfRule type="containsText" dxfId="18" priority="26" stopIfTrue="1" operator="containsText" text="NA">
      <formula>NOT(ISERROR(SEARCH("NA",B26)))</formula>
    </cfRule>
  </conditionalFormatting>
  <conditionalFormatting sqref="A28:C28 A35:C35 A37:B38 A36 C36 A29:B34 A79:B79 A81:B81 A39:C47 A70 A74 A60 A63:B63 A53:B59">
    <cfRule type="expression" dxfId="17" priority="22" stopIfTrue="1">
      <formula>$B$26="No"</formula>
    </cfRule>
  </conditionalFormatting>
  <conditionalFormatting sqref="C38">
    <cfRule type="expression" dxfId="16" priority="21" stopIfTrue="1">
      <formula>$B$26="No"</formula>
    </cfRule>
  </conditionalFormatting>
  <conditionalFormatting sqref="B18:C18">
    <cfRule type="expression" dxfId="15" priority="1">
      <formula>$B$17&gt;65</formula>
    </cfRule>
    <cfRule type="expression" dxfId="14" priority="18" stopIfTrue="1">
      <formula>ISNUMBER(SEARCH("Home",$B$7,1))</formula>
    </cfRule>
  </conditionalFormatting>
  <conditionalFormatting sqref="C34">
    <cfRule type="expression" dxfId="13" priority="17" stopIfTrue="1">
      <formula>$B$26="No"</formula>
    </cfRule>
  </conditionalFormatting>
  <conditionalFormatting sqref="C29">
    <cfRule type="expression" dxfId="12" priority="16" stopIfTrue="1">
      <formula>$B$26="No"</formula>
    </cfRule>
  </conditionalFormatting>
  <conditionalFormatting sqref="A64:B64">
    <cfRule type="expression" dxfId="11" priority="15" stopIfTrue="1">
      <formula>$B$26="No"</formula>
    </cfRule>
  </conditionalFormatting>
  <conditionalFormatting sqref="A51">
    <cfRule type="expression" dxfId="10" priority="9" stopIfTrue="1">
      <formula>$B$26="No"</formula>
    </cfRule>
  </conditionalFormatting>
  <conditionalFormatting sqref="A67:B67 A68 A66">
    <cfRule type="expression" dxfId="9" priority="14" stopIfTrue="1">
      <formula>$B$26="No"</formula>
    </cfRule>
  </conditionalFormatting>
  <conditionalFormatting sqref="A71:B72">
    <cfRule type="expression" dxfId="8" priority="13" stopIfTrue="1">
      <formula>$B$26="No"</formula>
    </cfRule>
  </conditionalFormatting>
  <conditionalFormatting sqref="A75:B76">
    <cfRule type="expression" dxfId="7" priority="12" stopIfTrue="1">
      <formula>$B$26="No"</formula>
    </cfRule>
  </conditionalFormatting>
  <conditionalFormatting sqref="A78">
    <cfRule type="expression" dxfId="6" priority="10" stopIfTrue="1">
      <formula>$B$26="No"</formula>
    </cfRule>
  </conditionalFormatting>
  <conditionalFormatting sqref="B36">
    <cfRule type="expression" dxfId="5" priority="8" stopIfTrue="1">
      <formula>$B$26="NO"</formula>
    </cfRule>
  </conditionalFormatting>
  <conditionalFormatting sqref="A80:B80">
    <cfRule type="expression" dxfId="4" priority="7" stopIfTrue="1">
      <formula>$B$26="No"</formula>
    </cfRule>
  </conditionalFormatting>
  <conditionalFormatting sqref="B47">
    <cfRule type="containsText" dxfId="3" priority="6" stopIfTrue="1" operator="containsText" text="NA">
      <formula>NOT(ISERROR(SEARCH("NA",B47)))</formula>
    </cfRule>
  </conditionalFormatting>
  <conditionalFormatting sqref="B68">
    <cfRule type="expression" dxfId="2" priority="5" stopIfTrue="1">
      <formula>$B$26="No"</formula>
    </cfRule>
  </conditionalFormatting>
  <conditionalFormatting sqref="A61:A62">
    <cfRule type="expression" dxfId="1" priority="3" stopIfTrue="1">
      <formula>$B$26="No"</formula>
    </cfRule>
  </conditionalFormatting>
  <conditionalFormatting sqref="B60:B62">
    <cfRule type="expression" dxfId="0" priority="2" stopIfTrue="1">
      <formula>$B$26="No"</formula>
    </cfRule>
  </conditionalFormatting>
  <dataValidations count="11">
    <dataValidation type="list" allowBlank="1" showInputMessage="1" showErrorMessage="1" sqref="B9" xr:uid="{00000000-0002-0000-0E00-000000000000}">
      <formula1>$AJ$6:$AJ$12</formula1>
    </dataValidation>
    <dataValidation allowBlank="1" showInputMessage="1" showErrorMessage="1" errorTitle="Only for Topup" error="Allowed only for Topup" sqref="B8:C8" xr:uid="{00000000-0002-0000-0E00-000001000000}"/>
    <dataValidation type="list" allowBlank="1" showInputMessage="1" showErrorMessage="1" sqref="B14" xr:uid="{00000000-0002-0000-0E00-000002000000}">
      <formula1>$AH$6:$AH$7</formula1>
    </dataValidation>
    <dataValidation type="decimal" allowBlank="1" showInputMessage="1" showErrorMessage="1" errorTitle="NFA not applicable" error="Loan amount should be greater than 1.5 Cr for this NFA &amp; eligible value is between 40 to 50. Please enter without %" promptTitle="LA to turnover ratio" prompt="Please enter the desired Loan amount to turnover ratio" sqref="B16:C16" xr:uid="{00000000-0002-0000-0E00-000003000000}">
      <formula1>0.1</formula1>
      <formula2>50</formula2>
    </dataValidation>
    <dataValidation type="decimal" operator="lessThanOrEqual" allowBlank="1" showInputMessage="1" showErrorMessage="1" sqref="B22:C22" xr:uid="{00000000-0002-0000-0E00-000004000000}">
      <formula1>B20</formula1>
    </dataValidation>
    <dataValidation operator="lessThanOrEqual" allowBlank="1" showInputMessage="1" showErrorMessage="1" sqref="B29:B32" xr:uid="{00000000-0002-0000-0E00-000005000000}"/>
    <dataValidation type="list" allowBlank="1" showInputMessage="1" showErrorMessage="1" sqref="B26 B40:B44 B47" xr:uid="{00000000-0002-0000-0E00-000006000000}">
      <formula1>"Yes,No"</formula1>
    </dataValidation>
    <dataValidation type="decimal" allowBlank="1" showInputMessage="1" showErrorMessage="1" sqref="B18:C18" xr:uid="{00000000-0002-0000-0E00-000007000000}">
      <formula1>1</formula1>
      <formula2>75</formula2>
    </dataValidation>
    <dataValidation type="decimal" operator="greaterThan" allowBlank="1" showInputMessage="1" showErrorMessage="1" errorTitle="Debt equity ratio" error="Debt Equity upto 3 is RAAC" promptTitle="Debt Equity ratio" prompt="Please enter the proposed debt equity ratio." sqref="B15:C15" xr:uid="{00000000-0002-0000-0E00-000008000000}">
      <formula1>0</formula1>
    </dataValidation>
    <dataValidation type="decimal" allowBlank="1" showInputMessage="1" showErrorMessage="1" errorTitle="NFA not applicable" error="FOIR cannot be greater than 75 and less than 65" promptTitle="FOIR" prompt="Please enter FOIR between 65 to 75" sqref="B17:C17" xr:uid="{00000000-0002-0000-0E00-000009000000}">
      <formula1>65</formula1>
      <formula2>75</formula2>
    </dataValidation>
    <dataValidation type="list" allowBlank="1" showInputMessage="1" showErrorMessage="1" sqref="B7:C7" xr:uid="{00000000-0002-0000-0E00-00000A000000}">
      <formula1>$AK$6:$AK$17</formula1>
    </dataValidation>
  </dataValidations>
  <pageMargins left="1" right="1" top="1" bottom="1" header="0.5" footer="0.5"/>
  <pageSetup scale="15" orientation="landscape" r:id="rId1"/>
  <headerFooter alignWithMargins="0"/>
  <ignoredErrors>
    <ignoredError sqref="B30 B32" unlockedFormula="1"/>
  </ignoredError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92D22-6EBA-4A82-A6E7-36957C5ABBBD}">
  <sheetPr codeName="Sheet20">
    <tabColor theme="3" tint="-0.499984740745262"/>
  </sheetPr>
  <dimension ref="B1:J38"/>
  <sheetViews>
    <sheetView showRowColHeaders="0" topLeftCell="A5" workbookViewId="0"/>
  </sheetViews>
  <sheetFormatPr defaultRowHeight="15"/>
  <cols>
    <col min="1" max="1" width="2.375" style="1362" customWidth="1"/>
    <col min="2" max="2" width="3.375" style="1362" customWidth="1"/>
    <col min="3" max="3" width="17" style="1362" customWidth="1"/>
    <col min="4" max="4" width="20.75" style="1362" customWidth="1"/>
    <col min="5" max="5" width="35.625" style="1362" customWidth="1"/>
    <col min="6" max="8" width="11.125" style="1362" customWidth="1"/>
    <col min="9" max="9" width="12" style="1362" customWidth="1"/>
    <col min="10" max="10" width="54.875" style="1362" customWidth="1"/>
    <col min="11" max="16384" width="9" style="1362"/>
  </cols>
  <sheetData>
    <row r="1" spans="2:7" ht="15.75" thickBot="1"/>
    <row r="2" spans="2:7" ht="20.25" customHeight="1" thickBot="1">
      <c r="B2" s="1363" t="s">
        <v>920</v>
      </c>
      <c r="C2" s="1364"/>
      <c r="D2" s="1364"/>
      <c r="E2" s="1364"/>
      <c r="F2" s="1364"/>
      <c r="G2" s="1365"/>
    </row>
    <row r="3" spans="2:7">
      <c r="B3" s="1366" t="s">
        <v>921</v>
      </c>
      <c r="C3" s="1367"/>
      <c r="D3" s="1368"/>
      <c r="E3" s="1369"/>
      <c r="F3" s="1369"/>
      <c r="G3" s="1370"/>
    </row>
    <row r="4" spans="2:7">
      <c r="B4" s="1371" t="s">
        <v>922</v>
      </c>
      <c r="C4" s="1372"/>
      <c r="D4" s="1373"/>
      <c r="E4" s="1374"/>
      <c r="F4" s="1374"/>
      <c r="G4" s="1375"/>
    </row>
    <row r="5" spans="2:7">
      <c r="B5" s="1371" t="s">
        <v>923</v>
      </c>
      <c r="C5" s="1372"/>
      <c r="D5" s="1373"/>
      <c r="E5" s="1374"/>
      <c r="F5" s="1374"/>
      <c r="G5" s="1375"/>
    </row>
    <row r="6" spans="2:7">
      <c r="B6" s="1371" t="s">
        <v>924</v>
      </c>
      <c r="C6" s="1372"/>
      <c r="D6" s="1373"/>
      <c r="E6" s="1376"/>
      <c r="F6" s="1377"/>
      <c r="G6" s="1378"/>
    </row>
    <row r="7" spans="2:7">
      <c r="B7" s="1371" t="s">
        <v>925</v>
      </c>
      <c r="C7" s="1372"/>
      <c r="D7" s="1373"/>
      <c r="E7" s="1374"/>
      <c r="F7" s="1374"/>
      <c r="G7" s="1375"/>
    </row>
    <row r="8" spans="2:7">
      <c r="B8" s="1371" t="s">
        <v>926</v>
      </c>
      <c r="C8" s="1372"/>
      <c r="D8" s="1373"/>
      <c r="E8" s="1374"/>
      <c r="F8" s="1374"/>
      <c r="G8" s="1375"/>
    </row>
    <row r="9" spans="2:7">
      <c r="B9" s="1371" t="s">
        <v>927</v>
      </c>
      <c r="C9" s="1372"/>
      <c r="D9" s="1373"/>
      <c r="E9" s="1374"/>
      <c r="F9" s="1374"/>
      <c r="G9" s="1375"/>
    </row>
    <row r="10" spans="2:7">
      <c r="B10" s="1371" t="s">
        <v>928</v>
      </c>
      <c r="C10" s="1372"/>
      <c r="D10" s="1373"/>
      <c r="E10" s="1379"/>
      <c r="F10" s="1379"/>
      <c r="G10" s="1380"/>
    </row>
    <row r="11" spans="2:7">
      <c r="B11" s="1371" t="s">
        <v>929</v>
      </c>
      <c r="C11" s="1372"/>
      <c r="D11" s="1373"/>
      <c r="E11" s="1379"/>
      <c r="F11" s="1379"/>
      <c r="G11" s="1380"/>
    </row>
    <row r="12" spans="2:7">
      <c r="B12" s="1371" t="s">
        <v>930</v>
      </c>
      <c r="C12" s="1372"/>
      <c r="D12" s="1373"/>
      <c r="E12" s="1374"/>
      <c r="F12" s="1374"/>
      <c r="G12" s="1375"/>
    </row>
    <row r="13" spans="2:7">
      <c r="B13" s="1371" t="s">
        <v>867</v>
      </c>
      <c r="C13" s="1372"/>
      <c r="D13" s="1373"/>
      <c r="E13" s="1381"/>
      <c r="F13" s="1382" t="s">
        <v>931</v>
      </c>
      <c r="G13" s="1383" t="str">
        <f ca="1">IF(E13&lt;&gt;"",DATEDIF(E13,TODAY(),"Y")&amp;" Years","")</f>
        <v/>
      </c>
    </row>
    <row r="14" spans="2:7" ht="30" customHeight="1">
      <c r="B14" s="1371" t="s">
        <v>932</v>
      </c>
      <c r="C14" s="1372"/>
      <c r="D14" s="1373"/>
      <c r="E14" s="1384"/>
      <c r="F14" s="1384"/>
      <c r="G14" s="1385"/>
    </row>
    <row r="15" spans="2:7" ht="39" customHeight="1">
      <c r="B15" s="1386" t="s">
        <v>933</v>
      </c>
      <c r="C15" s="1387"/>
      <c r="D15" s="1388"/>
      <c r="E15" s="1384"/>
      <c r="F15" s="1384"/>
      <c r="G15" s="1385"/>
    </row>
    <row r="16" spans="2:7">
      <c r="B16" s="1371" t="s">
        <v>934</v>
      </c>
      <c r="C16" s="1372"/>
      <c r="D16" s="1373"/>
      <c r="E16" s="1374"/>
      <c r="F16" s="1374"/>
      <c r="G16" s="1375"/>
    </row>
    <row r="17" spans="2:10">
      <c r="B17" s="1371" t="s">
        <v>935</v>
      </c>
      <c r="C17" s="1372"/>
      <c r="D17" s="1373"/>
      <c r="E17" s="1374"/>
      <c r="F17" s="1374"/>
      <c r="G17" s="1375"/>
    </row>
    <row r="18" spans="2:10">
      <c r="B18" s="1371" t="s">
        <v>936</v>
      </c>
      <c r="C18" s="1372"/>
      <c r="D18" s="1373"/>
      <c r="E18" s="1374"/>
      <c r="F18" s="1374"/>
      <c r="G18" s="1375"/>
    </row>
    <row r="19" spans="2:10">
      <c r="B19" s="1371" t="s">
        <v>937</v>
      </c>
      <c r="C19" s="1372"/>
      <c r="D19" s="1373"/>
      <c r="E19" s="1374"/>
      <c r="F19" s="1374"/>
      <c r="G19" s="1375"/>
    </row>
    <row r="20" spans="2:10">
      <c r="B20" s="1371" t="s">
        <v>938</v>
      </c>
      <c r="C20" s="1372"/>
      <c r="D20" s="1373"/>
      <c r="E20" s="1389"/>
      <c r="F20" s="1389"/>
      <c r="G20" s="1390"/>
    </row>
    <row r="21" spans="2:10">
      <c r="B21" s="1371" t="s">
        <v>939</v>
      </c>
      <c r="C21" s="1372"/>
      <c r="D21" s="1373"/>
      <c r="E21" s="1389"/>
      <c r="F21" s="1389"/>
      <c r="G21" s="1390"/>
    </row>
    <row r="22" spans="2:10">
      <c r="B22" s="1371" t="s">
        <v>940</v>
      </c>
      <c r="C22" s="1372"/>
      <c r="D22" s="1373"/>
      <c r="E22" s="1391"/>
      <c r="F22" s="1391"/>
      <c r="G22" s="1392"/>
    </row>
    <row r="23" spans="2:10" ht="15.75" thickBot="1">
      <c r="B23" s="1393" t="s">
        <v>864</v>
      </c>
      <c r="C23" s="1394"/>
      <c r="D23" s="1395"/>
      <c r="E23" s="1396"/>
      <c r="F23" s="1397"/>
      <c r="G23" s="1398"/>
    </row>
    <row r="24" spans="2:10" ht="15.75" thickBot="1"/>
    <row r="25" spans="2:10" ht="20.25" customHeight="1" thickBot="1">
      <c r="B25" s="1399" t="s">
        <v>941</v>
      </c>
      <c r="C25" s="1400"/>
      <c r="D25" s="1400"/>
      <c r="E25" s="1401"/>
    </row>
    <row r="26" spans="2:10">
      <c r="B26" s="1402" t="s">
        <v>942</v>
      </c>
      <c r="C26" s="1403"/>
      <c r="D26" s="1404">
        <f>COUNTIF(H32:H33,"-")</f>
        <v>0</v>
      </c>
      <c r="E26" s="1405">
        <f>SUMIF(H32:H33,"-",I32:I33)</f>
        <v>0</v>
      </c>
    </row>
    <row r="27" spans="2:10">
      <c r="B27" s="1402" t="s">
        <v>943</v>
      </c>
      <c r="C27" s="1403"/>
      <c r="D27" s="1404">
        <f>COUNTIFS(H32:H33,"&lt;&gt;-",H32:H33,"&lt;&gt;")</f>
        <v>0</v>
      </c>
      <c r="E27" s="1405">
        <f>SUMIF(H32:H33,"&lt;&gt;-",I32:I33)</f>
        <v>0</v>
      </c>
    </row>
    <row r="28" spans="2:10" ht="15.75" thickBot="1">
      <c r="B28" s="1406" t="s">
        <v>191</v>
      </c>
      <c r="C28" s="1407"/>
      <c r="D28" s="1408">
        <f>SUM(D26:D27)</f>
        <v>0</v>
      </c>
      <c r="E28" s="1409">
        <f>+SUM(E26:E27)</f>
        <v>0</v>
      </c>
    </row>
    <row r="29" spans="2:10" ht="15.75" thickBot="1"/>
    <row r="30" spans="2:10" ht="20.25" customHeight="1" thickBot="1">
      <c r="B30" s="1399" t="s">
        <v>944</v>
      </c>
      <c r="C30" s="1400"/>
      <c r="D30" s="1400"/>
      <c r="E30" s="1400"/>
      <c r="F30" s="1400"/>
      <c r="G30" s="1400"/>
      <c r="H30" s="1400"/>
      <c r="I30" s="1400"/>
      <c r="J30" s="1401"/>
    </row>
    <row r="31" spans="2:10" ht="30">
      <c r="B31" s="1410" t="s">
        <v>915</v>
      </c>
      <c r="C31" s="1411" t="s">
        <v>945</v>
      </c>
      <c r="D31" s="1411" t="s">
        <v>946</v>
      </c>
      <c r="E31" s="1411" t="s">
        <v>947</v>
      </c>
      <c r="F31" s="1411" t="s">
        <v>948</v>
      </c>
      <c r="G31" s="1411" t="s">
        <v>949</v>
      </c>
      <c r="H31" s="1411" t="s">
        <v>950</v>
      </c>
      <c r="I31" s="1411" t="s">
        <v>111</v>
      </c>
      <c r="J31" s="1412" t="s">
        <v>879</v>
      </c>
    </row>
    <row r="32" spans="2:10">
      <c r="B32" s="1413"/>
      <c r="C32" s="1414"/>
      <c r="D32" s="1414"/>
      <c r="E32" s="1414"/>
      <c r="F32" s="1415"/>
      <c r="G32" s="1415"/>
      <c r="H32" s="1415"/>
      <c r="I32" s="1416"/>
      <c r="J32" s="1417"/>
    </row>
    <row r="33" spans="2:10" ht="15.75" thickBot="1">
      <c r="B33" s="1418"/>
      <c r="C33" s="1419"/>
      <c r="D33" s="1419"/>
      <c r="E33" s="1419"/>
      <c r="F33" s="1420"/>
      <c r="G33" s="1420"/>
      <c r="H33" s="1420"/>
      <c r="I33" s="1421"/>
      <c r="J33" s="1422"/>
    </row>
    <row r="34" spans="2:10" ht="15.75" thickBot="1">
      <c r="J34" s="1423"/>
    </row>
    <row r="35" spans="2:10" ht="20.25" customHeight="1" thickBot="1">
      <c r="B35" s="1424" t="s">
        <v>951</v>
      </c>
      <c r="C35" s="1425"/>
      <c r="D35" s="1425"/>
      <c r="E35" s="1425"/>
      <c r="F35" s="1425"/>
      <c r="G35" s="1425"/>
      <c r="H35" s="1425"/>
      <c r="I35" s="1425"/>
      <c r="J35" s="1426"/>
    </row>
    <row r="36" spans="2:10" s="1431" customFormat="1" ht="30">
      <c r="B36" s="1427" t="s">
        <v>915</v>
      </c>
      <c r="C36" s="1428" t="s">
        <v>899</v>
      </c>
      <c r="D36" s="1428" t="s">
        <v>876</v>
      </c>
      <c r="E36" s="1428" t="s">
        <v>952</v>
      </c>
      <c r="F36" s="1428" t="s">
        <v>953</v>
      </c>
      <c r="G36" s="1428" t="s">
        <v>954</v>
      </c>
      <c r="H36" s="1428" t="s">
        <v>955</v>
      </c>
      <c r="I36" s="1429" t="s">
        <v>956</v>
      </c>
      <c r="J36" s="1430"/>
    </row>
    <row r="37" spans="2:10">
      <c r="B37" s="1432">
        <v>1</v>
      </c>
      <c r="C37" s="1433"/>
      <c r="D37" s="1414"/>
      <c r="E37" s="1414"/>
      <c r="F37" s="1415"/>
      <c r="G37" s="1414"/>
      <c r="H37" s="1415"/>
      <c r="I37" s="1434"/>
      <c r="J37" s="1435"/>
    </row>
    <row r="38" spans="2:10" ht="15.75" thickBot="1">
      <c r="B38" s="1436"/>
      <c r="C38" s="1437"/>
      <c r="D38" s="1419"/>
      <c r="E38" s="1419"/>
      <c r="F38" s="1420"/>
      <c r="G38" s="1419"/>
      <c r="H38" s="1420"/>
      <c r="I38" s="1438"/>
      <c r="J38" s="1439"/>
    </row>
  </sheetData>
  <mergeCells count="51">
    <mergeCell ref="I38:J38"/>
    <mergeCell ref="B27:C27"/>
    <mergeCell ref="B28:C28"/>
    <mergeCell ref="B30:J30"/>
    <mergeCell ref="B35:J35"/>
    <mergeCell ref="I36:J36"/>
    <mergeCell ref="I37:J37"/>
    <mergeCell ref="B22:D22"/>
    <mergeCell ref="E22:G22"/>
    <mergeCell ref="B23:D23"/>
    <mergeCell ref="E23:G23"/>
    <mergeCell ref="B25:E25"/>
    <mergeCell ref="B26:C26"/>
    <mergeCell ref="B19:D19"/>
    <mergeCell ref="E19:G19"/>
    <mergeCell ref="B20:D20"/>
    <mergeCell ref="E20:G20"/>
    <mergeCell ref="B21:D21"/>
    <mergeCell ref="E21:G21"/>
    <mergeCell ref="B16:D16"/>
    <mergeCell ref="E16:G16"/>
    <mergeCell ref="B17:D17"/>
    <mergeCell ref="E17:G17"/>
    <mergeCell ref="B18:D18"/>
    <mergeCell ref="E18:G18"/>
    <mergeCell ref="B12:D12"/>
    <mergeCell ref="E12:G12"/>
    <mergeCell ref="B13:D13"/>
    <mergeCell ref="B14:D14"/>
    <mergeCell ref="E14:G14"/>
    <mergeCell ref="B15:D15"/>
    <mergeCell ref="E15:G15"/>
    <mergeCell ref="B9:D9"/>
    <mergeCell ref="E9:G9"/>
    <mergeCell ref="B10:D10"/>
    <mergeCell ref="E10:G10"/>
    <mergeCell ref="B11:D11"/>
    <mergeCell ref="E11:G11"/>
    <mergeCell ref="B6:D6"/>
    <mergeCell ref="E6:G6"/>
    <mergeCell ref="B7:D7"/>
    <mergeCell ref="E7:G7"/>
    <mergeCell ref="B8:D8"/>
    <mergeCell ref="E8:G8"/>
    <mergeCell ref="B2:G2"/>
    <mergeCell ref="B3:D3"/>
    <mergeCell ref="E3:G3"/>
    <mergeCell ref="B4:D4"/>
    <mergeCell ref="E4:G4"/>
    <mergeCell ref="B5:D5"/>
    <mergeCell ref="E5:G5"/>
  </mergeCells>
  <pageMargins left="0.7" right="0.7" top="0.75" bottom="0.75" header="0.3" footer="0.3"/>
  <pageSetup paperSize="9" orientation="portrait" horizontalDpi="4294967292" verticalDpi="0" copies="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31B7C-426A-40C8-909D-EA988D9A83AE}">
  <sheetPr codeName="Sheet21">
    <tabColor theme="3" tint="-0.499984740745262"/>
  </sheetPr>
  <dimension ref="B1:H46"/>
  <sheetViews>
    <sheetView showGridLines="0" showRowColHeaders="0" workbookViewId="0"/>
  </sheetViews>
  <sheetFormatPr defaultRowHeight="14.25" outlineLevelRow="1"/>
  <cols>
    <col min="1" max="1" width="2.375" style="350" customWidth="1"/>
    <col min="2" max="2" width="3.25" style="350" customWidth="1"/>
    <col min="3" max="3" width="11.125" style="349" customWidth="1"/>
    <col min="4" max="7" width="12.875" style="349" customWidth="1"/>
    <col min="8" max="16384" width="9" style="350"/>
  </cols>
  <sheetData>
    <row r="1" spans="2:7" s="349" customFormat="1" ht="13.5" thickBot="1"/>
    <row r="2" spans="2:7" ht="21" customHeight="1" thickBot="1">
      <c r="B2" s="1069" t="s">
        <v>909</v>
      </c>
      <c r="C2" s="1070"/>
      <c r="D2" s="1070"/>
      <c r="E2" s="1070"/>
      <c r="F2" s="1070"/>
      <c r="G2" s="1071"/>
    </row>
    <row r="3" spans="2:7" ht="15" customHeight="1">
      <c r="B3" s="1081" t="s">
        <v>910</v>
      </c>
      <c r="C3" s="1082"/>
      <c r="D3" s="1082"/>
      <c r="E3" s="1083"/>
      <c r="F3" s="1083"/>
      <c r="G3" s="1084"/>
    </row>
    <row r="4" spans="2:7" s="351" customFormat="1" ht="28.5" customHeight="1">
      <c r="B4" s="1085" t="s">
        <v>911</v>
      </c>
      <c r="C4" s="1086"/>
      <c r="D4" s="1086"/>
      <c r="E4" s="1087"/>
      <c r="F4" s="1087"/>
      <c r="G4" s="1088"/>
    </row>
    <row r="5" spans="2:7" s="351" customFormat="1" ht="28.5" customHeight="1">
      <c r="B5" s="1085" t="s">
        <v>1016</v>
      </c>
      <c r="C5" s="1086"/>
      <c r="D5" s="1086"/>
      <c r="E5" s="1087"/>
      <c r="F5" s="1087"/>
      <c r="G5" s="1088"/>
    </row>
    <row r="6" spans="2:7" ht="13.5" customHeight="1">
      <c r="B6" s="1064" t="s">
        <v>1017</v>
      </c>
      <c r="C6" s="1065"/>
      <c r="D6" s="1065"/>
      <c r="E6" s="1067"/>
      <c r="F6" s="1067"/>
      <c r="G6" s="1068"/>
    </row>
    <row r="7" spans="2:7" ht="13.5" customHeight="1">
      <c r="B7" s="1064" t="s">
        <v>912</v>
      </c>
      <c r="C7" s="1065"/>
      <c r="D7" s="1065"/>
      <c r="E7" s="1067"/>
      <c r="F7" s="1067"/>
      <c r="G7" s="1068"/>
    </row>
    <row r="8" spans="2:7" ht="13.5" customHeight="1">
      <c r="B8" s="1064" t="s">
        <v>914</v>
      </c>
      <c r="C8" s="1065"/>
      <c r="D8" s="1065"/>
      <c r="E8" s="1080"/>
      <c r="F8" s="1067"/>
      <c r="G8" s="1068"/>
    </row>
    <row r="9" spans="2:7" ht="13.5" customHeight="1">
      <c r="B9" s="1064" t="s">
        <v>913</v>
      </c>
      <c r="C9" s="1065"/>
      <c r="D9" s="1065"/>
      <c r="E9" s="1067"/>
      <c r="F9" s="1067"/>
      <c r="G9" s="1068"/>
    </row>
    <row r="10" spans="2:7" ht="36.75" customHeight="1">
      <c r="B10" s="1064" t="s">
        <v>1018</v>
      </c>
      <c r="C10" s="1065"/>
      <c r="D10" s="1065"/>
      <c r="E10" s="1087"/>
      <c r="F10" s="1087"/>
      <c r="G10" s="1088"/>
    </row>
    <row r="11" spans="2:7" ht="36.75" customHeight="1">
      <c r="B11" s="1064" t="s">
        <v>1019</v>
      </c>
      <c r="C11" s="1065"/>
      <c r="D11" s="1065"/>
      <c r="E11" s="1087"/>
      <c r="F11" s="1087"/>
      <c r="G11" s="1088"/>
    </row>
    <row r="12" spans="2:7" ht="36.75" customHeight="1">
      <c r="B12" s="1064" t="s">
        <v>1020</v>
      </c>
      <c r="C12" s="1065"/>
      <c r="D12" s="1065"/>
      <c r="E12" s="1087"/>
      <c r="F12" s="1087"/>
      <c r="G12" s="1088"/>
    </row>
    <row r="13" spans="2:7" ht="13.5" customHeight="1">
      <c r="B13" s="1064" t="s">
        <v>1021</v>
      </c>
      <c r="C13" s="1065"/>
      <c r="D13" s="1065"/>
      <c r="E13" s="1067"/>
      <c r="F13" s="1067"/>
      <c r="G13" s="1068"/>
    </row>
    <row r="14" spans="2:7" ht="13.5" customHeight="1">
      <c r="B14" s="1064" t="s">
        <v>864</v>
      </c>
      <c r="C14" s="1065"/>
      <c r="D14" s="1065"/>
      <c r="E14" s="1066"/>
      <c r="F14" s="1067"/>
      <c r="G14" s="1068"/>
    </row>
    <row r="15" spans="2:7">
      <c r="B15" s="352"/>
      <c r="C15" s="1440"/>
      <c r="D15" s="1440"/>
      <c r="E15" s="1440"/>
      <c r="F15" s="1440"/>
      <c r="G15" s="353"/>
    </row>
    <row r="16" spans="2:7" ht="25.5">
      <c r="B16" s="354" t="s">
        <v>915</v>
      </c>
      <c r="C16" s="355" t="s">
        <v>916</v>
      </c>
      <c r="D16" s="355" t="s">
        <v>917</v>
      </c>
      <c r="E16" s="355" t="s">
        <v>918</v>
      </c>
      <c r="F16" s="355" t="s">
        <v>919</v>
      </c>
      <c r="G16" s="356" t="s">
        <v>866</v>
      </c>
    </row>
    <row r="17" spans="2:8" ht="13.5" customHeight="1">
      <c r="B17" s="357"/>
      <c r="C17" s="358"/>
      <c r="D17" s="358"/>
      <c r="E17" s="358"/>
      <c r="F17" s="359"/>
      <c r="G17" s="360"/>
    </row>
    <row r="18" spans="2:8" ht="13.5" customHeight="1">
      <c r="B18" s="357"/>
      <c r="C18" s="358"/>
      <c r="D18" s="358"/>
      <c r="E18" s="358"/>
      <c r="F18" s="359"/>
      <c r="G18" s="360"/>
    </row>
    <row r="19" spans="2:8" ht="13.5" customHeight="1">
      <c r="B19" s="357"/>
      <c r="C19" s="358"/>
      <c r="D19" s="358"/>
      <c r="E19" s="358"/>
      <c r="F19" s="359"/>
      <c r="G19" s="360"/>
    </row>
    <row r="20" spans="2:8" ht="13.5" customHeight="1">
      <c r="B20" s="357"/>
      <c r="C20" s="358"/>
      <c r="D20" s="358"/>
      <c r="E20" s="358"/>
      <c r="F20" s="359"/>
      <c r="G20" s="360"/>
    </row>
    <row r="21" spans="2:8" ht="13.5" customHeight="1">
      <c r="B21" s="357"/>
      <c r="C21" s="358"/>
      <c r="D21" s="358"/>
      <c r="E21" s="358"/>
      <c r="F21" s="359"/>
      <c r="G21" s="360"/>
    </row>
    <row r="22" spans="2:8" ht="13.5" customHeight="1">
      <c r="B22" s="357"/>
      <c r="C22" s="358"/>
      <c r="D22" s="358"/>
      <c r="E22" s="358"/>
      <c r="F22" s="359"/>
      <c r="G22" s="360"/>
    </row>
    <row r="23" spans="2:8" ht="13.5" customHeight="1">
      <c r="B23" s="357"/>
      <c r="C23" s="358"/>
      <c r="D23" s="358"/>
      <c r="E23" s="358"/>
      <c r="F23" s="359"/>
      <c r="G23" s="360"/>
    </row>
    <row r="24" spans="2:8" ht="13.5" customHeight="1">
      <c r="B24" s="357"/>
      <c r="C24" s="358"/>
      <c r="D24" s="358"/>
      <c r="E24" s="358"/>
      <c r="F24" s="359"/>
      <c r="G24" s="360"/>
    </row>
    <row r="25" spans="2:8" ht="13.5" customHeight="1">
      <c r="B25" s="357"/>
      <c r="C25" s="358"/>
      <c r="D25" s="358"/>
      <c r="E25" s="358"/>
      <c r="F25" s="359"/>
      <c r="G25" s="360"/>
    </row>
    <row r="26" spans="2:8" ht="13.5" customHeight="1" thickBot="1">
      <c r="B26" s="361"/>
      <c r="C26" s="362"/>
      <c r="D26" s="362"/>
      <c r="E26" s="362"/>
      <c r="F26" s="363"/>
      <c r="G26" s="364"/>
    </row>
    <row r="27" spans="2:8" ht="15" thickBot="1"/>
    <row r="28" spans="2:8" ht="17.25" outlineLevel="1" thickBot="1">
      <c r="B28" s="1069" t="s">
        <v>1022</v>
      </c>
      <c r="C28" s="1070"/>
      <c r="D28" s="1070"/>
      <c r="E28" s="1070"/>
      <c r="F28" s="1070"/>
      <c r="G28" s="1071"/>
    </row>
    <row r="29" spans="2:8" ht="30" outlineLevel="1">
      <c r="B29" s="1072" t="s">
        <v>983</v>
      </c>
      <c r="C29" s="1073"/>
      <c r="D29" s="1441"/>
      <c r="E29" s="1442"/>
      <c r="F29" s="1443" t="s">
        <v>1023</v>
      </c>
      <c r="G29" s="1444"/>
    </row>
    <row r="30" spans="2:8" ht="15" outlineLevel="1">
      <c r="B30" s="1074" t="s">
        <v>984</v>
      </c>
      <c r="C30" s="1075"/>
      <c r="D30" s="1445"/>
      <c r="E30" s="1445"/>
      <c r="F30" s="749" t="s">
        <v>985</v>
      </c>
      <c r="G30" s="805"/>
    </row>
    <row r="31" spans="2:8" outlineLevel="1">
      <c r="B31" s="1076" t="s">
        <v>986</v>
      </c>
      <c r="C31" s="1077"/>
      <c r="D31" s="1078" t="s">
        <v>1024</v>
      </c>
      <c r="E31" s="1078"/>
      <c r="F31" s="1078"/>
      <c r="G31" s="1079" t="s">
        <v>987</v>
      </c>
      <c r="H31" s="349"/>
    </row>
    <row r="32" spans="2:8" ht="25.5" outlineLevel="1">
      <c r="B32" s="1076"/>
      <c r="C32" s="1077"/>
      <c r="D32" s="806" t="s">
        <v>988</v>
      </c>
      <c r="E32" s="806" t="s">
        <v>989</v>
      </c>
      <c r="F32" s="806" t="s">
        <v>990</v>
      </c>
      <c r="G32" s="1079"/>
      <c r="H32" s="349"/>
    </row>
    <row r="33" spans="2:8" outlineLevel="1">
      <c r="B33" s="1060">
        <v>43556</v>
      </c>
      <c r="C33" s="1061"/>
      <c r="D33" s="750"/>
      <c r="E33" s="750"/>
      <c r="F33" s="750"/>
      <c r="G33" s="751">
        <f>SUM(D33:F33)</f>
        <v>0</v>
      </c>
      <c r="H33" s="349"/>
    </row>
    <row r="34" spans="2:8" outlineLevel="1">
      <c r="B34" s="1060">
        <f>EDATE(B33,1)</f>
        <v>43586</v>
      </c>
      <c r="C34" s="1061"/>
      <c r="D34" s="750"/>
      <c r="E34" s="750"/>
      <c r="F34" s="750"/>
      <c r="G34" s="751">
        <f t="shared" ref="G34:G44" si="0">SUM(D34:F34)</f>
        <v>0</v>
      </c>
      <c r="H34" s="349"/>
    </row>
    <row r="35" spans="2:8" outlineLevel="1">
      <c r="B35" s="1060">
        <f t="shared" ref="B35:B44" si="1">EDATE(B34,1)</f>
        <v>43617</v>
      </c>
      <c r="C35" s="1061"/>
      <c r="D35" s="750"/>
      <c r="E35" s="750"/>
      <c r="F35" s="750"/>
      <c r="G35" s="751">
        <f t="shared" si="0"/>
        <v>0</v>
      </c>
      <c r="H35" s="349"/>
    </row>
    <row r="36" spans="2:8" outlineLevel="1">
      <c r="B36" s="1060">
        <f t="shared" si="1"/>
        <v>43647</v>
      </c>
      <c r="C36" s="1061"/>
      <c r="D36" s="750"/>
      <c r="E36" s="750"/>
      <c r="F36" s="750"/>
      <c r="G36" s="751">
        <f t="shared" si="0"/>
        <v>0</v>
      </c>
      <c r="H36" s="349"/>
    </row>
    <row r="37" spans="2:8" outlineLevel="1">
      <c r="B37" s="1060">
        <f t="shared" si="1"/>
        <v>43678</v>
      </c>
      <c r="C37" s="1061"/>
      <c r="D37" s="750"/>
      <c r="E37" s="750"/>
      <c r="F37" s="750"/>
      <c r="G37" s="751">
        <f t="shared" si="0"/>
        <v>0</v>
      </c>
      <c r="H37" s="349"/>
    </row>
    <row r="38" spans="2:8" outlineLevel="1">
      <c r="B38" s="1060">
        <f t="shared" si="1"/>
        <v>43709</v>
      </c>
      <c r="C38" s="1061"/>
      <c r="D38" s="750"/>
      <c r="E38" s="750"/>
      <c r="F38" s="750"/>
      <c r="G38" s="751">
        <f t="shared" si="0"/>
        <v>0</v>
      </c>
      <c r="H38" s="349"/>
    </row>
    <row r="39" spans="2:8" outlineLevel="1">
      <c r="B39" s="1060">
        <f t="shared" si="1"/>
        <v>43739</v>
      </c>
      <c r="C39" s="1061"/>
      <c r="D39" s="750"/>
      <c r="E39" s="750"/>
      <c r="F39" s="750"/>
      <c r="G39" s="751">
        <f t="shared" si="0"/>
        <v>0</v>
      </c>
      <c r="H39" s="349"/>
    </row>
    <row r="40" spans="2:8" outlineLevel="1">
      <c r="B40" s="1060">
        <f t="shared" si="1"/>
        <v>43770</v>
      </c>
      <c r="C40" s="1061"/>
      <c r="D40" s="750"/>
      <c r="E40" s="750"/>
      <c r="F40" s="750"/>
      <c r="G40" s="751">
        <f t="shared" si="0"/>
        <v>0</v>
      </c>
      <c r="H40" s="349"/>
    </row>
    <row r="41" spans="2:8" outlineLevel="1">
      <c r="B41" s="1060">
        <f t="shared" si="1"/>
        <v>43800</v>
      </c>
      <c r="C41" s="1061"/>
      <c r="D41" s="750"/>
      <c r="E41" s="750"/>
      <c r="F41" s="750"/>
      <c r="G41" s="751">
        <f t="shared" si="0"/>
        <v>0</v>
      </c>
      <c r="H41" s="349"/>
    </row>
    <row r="42" spans="2:8" outlineLevel="1">
      <c r="B42" s="1060">
        <f t="shared" si="1"/>
        <v>43831</v>
      </c>
      <c r="C42" s="1061"/>
      <c r="D42" s="750"/>
      <c r="E42" s="750"/>
      <c r="F42" s="750"/>
      <c r="G42" s="751">
        <f t="shared" si="0"/>
        <v>0</v>
      </c>
      <c r="H42" s="349"/>
    </row>
    <row r="43" spans="2:8" outlineLevel="1">
      <c r="B43" s="1060">
        <f t="shared" si="1"/>
        <v>43862</v>
      </c>
      <c r="C43" s="1061"/>
      <c r="D43" s="750"/>
      <c r="E43" s="750"/>
      <c r="F43" s="750"/>
      <c r="G43" s="751">
        <f t="shared" si="0"/>
        <v>0</v>
      </c>
      <c r="H43" s="349"/>
    </row>
    <row r="44" spans="2:8" outlineLevel="1">
      <c r="B44" s="1060">
        <f t="shared" si="1"/>
        <v>43891</v>
      </c>
      <c r="C44" s="1061"/>
      <c r="D44" s="750"/>
      <c r="E44" s="750"/>
      <c r="F44" s="750"/>
      <c r="G44" s="751">
        <f t="shared" si="0"/>
        <v>0</v>
      </c>
      <c r="H44" s="349"/>
    </row>
    <row r="45" spans="2:8" ht="15" outlineLevel="1">
      <c r="B45" s="1062" t="s">
        <v>991</v>
      </c>
      <c r="C45" s="1063"/>
      <c r="D45" s="752">
        <f>SUM(D33:D44)</f>
        <v>0</v>
      </c>
      <c r="E45" s="752">
        <f>SUM(E33:E44)</f>
        <v>0</v>
      </c>
      <c r="F45" s="752">
        <f>SUM(F33:F44)</f>
        <v>0</v>
      </c>
      <c r="G45" s="753">
        <f>SUM(G33:G44)</f>
        <v>0</v>
      </c>
      <c r="H45" s="349"/>
    </row>
    <row r="46" spans="2:8" ht="15" outlineLevel="1" thickBot="1">
      <c r="B46" s="754" t="s">
        <v>125</v>
      </c>
      <c r="C46" s="755"/>
      <c r="D46" s="756" t="str">
        <f>IFERROR(_xlfn.IFS($G$30="Monthly",AVERAGE(D33:D44),$G$30="Quaterly",AVERAGE(D33:D36),$G$30="Half Yearly",AVERAGE(D33:D34),$G$30="Annually",D33),"")</f>
        <v/>
      </c>
      <c r="E46" s="756" t="str">
        <f t="shared" ref="E46:G46" si="2">IFERROR(_xlfn.IFS($G$30="Monthly",AVERAGE(E33:E44),$G$30="Quaterly",AVERAGE(E33:E36),$G$30="Half Yearly",AVERAGE(E33:E34),$G$30="Annually",E33),"")</f>
        <v/>
      </c>
      <c r="F46" s="756" t="str">
        <f t="shared" si="2"/>
        <v/>
      </c>
      <c r="G46" s="757" t="str">
        <f t="shared" si="2"/>
        <v/>
      </c>
      <c r="H46" s="349"/>
    </row>
  </sheetData>
  <mergeCells count="45">
    <mergeCell ref="B45:C45"/>
    <mergeCell ref="B39:C39"/>
    <mergeCell ref="B40:C40"/>
    <mergeCell ref="B41:C41"/>
    <mergeCell ref="B42:C42"/>
    <mergeCell ref="B43:C43"/>
    <mergeCell ref="B44:C44"/>
    <mergeCell ref="B33:C33"/>
    <mergeCell ref="B34:C34"/>
    <mergeCell ref="B35:C35"/>
    <mergeCell ref="B36:C36"/>
    <mergeCell ref="B37:C37"/>
    <mergeCell ref="B38:C38"/>
    <mergeCell ref="B28:G28"/>
    <mergeCell ref="B29:C29"/>
    <mergeCell ref="B30:C30"/>
    <mergeCell ref="D30:E30"/>
    <mergeCell ref="B31:C32"/>
    <mergeCell ref="D31:F31"/>
    <mergeCell ref="G31:G32"/>
    <mergeCell ref="B12:D12"/>
    <mergeCell ref="E12:G12"/>
    <mergeCell ref="B13:D13"/>
    <mergeCell ref="E13:G13"/>
    <mergeCell ref="B14:D14"/>
    <mergeCell ref="E14:G14"/>
    <mergeCell ref="B9:D9"/>
    <mergeCell ref="E9:G9"/>
    <mergeCell ref="B10:D10"/>
    <mergeCell ref="E10:G10"/>
    <mergeCell ref="B11:D11"/>
    <mergeCell ref="E11:G11"/>
    <mergeCell ref="B6:D6"/>
    <mergeCell ref="E6:G6"/>
    <mergeCell ref="B7:D7"/>
    <mergeCell ref="E7:G7"/>
    <mergeCell ref="B8:D8"/>
    <mergeCell ref="E8:G8"/>
    <mergeCell ref="B2:G2"/>
    <mergeCell ref="B3:D3"/>
    <mergeCell ref="E3:G3"/>
    <mergeCell ref="B4:D4"/>
    <mergeCell ref="E4:G4"/>
    <mergeCell ref="B5:D5"/>
    <mergeCell ref="E5:G5"/>
  </mergeCells>
  <dataValidations count="1">
    <dataValidation type="list" allowBlank="1" showInputMessage="1" showErrorMessage="1" sqref="G30" xr:uid="{87CE6D67-B9CA-411B-8845-35BE8A03E549}">
      <formula1>"Monthly,Quaterly,Half Yearly,Annually"</formula1>
    </dataValidation>
  </dataValidations>
  <pageMargins left="0.7" right="0.7" top="0.75" bottom="0.75" header="0.3" footer="0.3"/>
  <pageSetup paperSize="9" orientation="portrait" horizontalDpi="4294967292" verticalDpi="0" copies="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1B808-338C-46B4-841F-1FE6DDA8CAB1}">
  <sheetPr codeName="Sheet19">
    <tabColor theme="3" tint="-0.499984740745262"/>
  </sheetPr>
  <dimension ref="A1:H16"/>
  <sheetViews>
    <sheetView showRowColHeaders="0" workbookViewId="0">
      <selection activeCell="G3" sqref="G3:H3"/>
    </sheetView>
  </sheetViews>
  <sheetFormatPr defaultRowHeight="12.75"/>
  <cols>
    <col min="1" max="1" width="2.375" style="330" customWidth="1"/>
    <col min="2" max="2" width="2.75" style="330" customWidth="1"/>
    <col min="3" max="3" width="22.5" style="330" customWidth="1"/>
    <col min="4" max="5" width="15.5" style="330" customWidth="1"/>
    <col min="6" max="6" width="31" style="330" customWidth="1"/>
    <col min="7" max="8" width="15.5" style="330" customWidth="1"/>
    <col min="9" max="9" width="8" style="330" customWidth="1"/>
    <col min="10" max="16384" width="9" style="330"/>
  </cols>
  <sheetData>
    <row r="1" spans="1:8" ht="13.5" thickBot="1"/>
    <row r="2" spans="1:8" ht="17.25" thickBot="1">
      <c r="A2" s="331"/>
      <c r="B2" s="898" t="s">
        <v>895</v>
      </c>
      <c r="C2" s="899"/>
      <c r="D2" s="899"/>
      <c r="E2" s="899"/>
      <c r="F2" s="899"/>
      <c r="G2" s="899"/>
      <c r="H2" s="900"/>
    </row>
    <row r="3" spans="1:8">
      <c r="B3" s="911" t="s">
        <v>896</v>
      </c>
      <c r="C3" s="912"/>
      <c r="D3" s="913"/>
      <c r="E3" s="913"/>
      <c r="F3" s="332" t="s">
        <v>897</v>
      </c>
      <c r="G3" s="913"/>
      <c r="H3" s="914"/>
    </row>
    <row r="4" spans="1:8" s="334" customFormat="1">
      <c r="A4" s="333"/>
      <c r="B4" s="905"/>
      <c r="C4" s="906"/>
      <c r="D4" s="906"/>
      <c r="E4" s="906"/>
      <c r="F4" s="906"/>
      <c r="G4" s="906"/>
      <c r="H4" s="907"/>
    </row>
    <row r="5" spans="1:8">
      <c r="B5" s="335">
        <v>1</v>
      </c>
      <c r="C5" s="336" t="s">
        <v>898</v>
      </c>
      <c r="D5" s="908"/>
      <c r="E5" s="908"/>
      <c r="F5" s="337" t="s">
        <v>899</v>
      </c>
      <c r="G5" s="909"/>
      <c r="H5" s="910"/>
    </row>
    <row r="6" spans="1:8" ht="15">
      <c r="B6" s="338"/>
      <c r="C6" s="339"/>
      <c r="D6" s="915" t="s">
        <v>863</v>
      </c>
      <c r="E6" s="915"/>
      <c r="F6" s="340" t="s">
        <v>900</v>
      </c>
      <c r="G6" s="915" t="s">
        <v>901</v>
      </c>
      <c r="H6" s="916"/>
    </row>
    <row r="7" spans="1:8">
      <c r="B7" s="338"/>
      <c r="C7" s="341" t="s">
        <v>902</v>
      </c>
      <c r="D7" s="917" t="s">
        <v>903</v>
      </c>
      <c r="E7" s="917"/>
      <c r="F7" s="342" t="s">
        <v>903</v>
      </c>
      <c r="G7" s="917" t="s">
        <v>903</v>
      </c>
      <c r="H7" s="918"/>
    </row>
    <row r="8" spans="1:8" s="343" customFormat="1">
      <c r="B8" s="338"/>
      <c r="C8" s="344" t="s">
        <v>904</v>
      </c>
      <c r="D8" s="919"/>
      <c r="E8" s="919"/>
      <c r="F8" s="345"/>
      <c r="G8" s="919"/>
      <c r="H8" s="920"/>
    </row>
    <row r="9" spans="1:8">
      <c r="B9" s="338"/>
      <c r="C9" s="341" t="s">
        <v>905</v>
      </c>
      <c r="D9" s="917"/>
      <c r="E9" s="917"/>
      <c r="F9" s="342"/>
      <c r="G9" s="917"/>
      <c r="H9" s="918"/>
    </row>
    <row r="10" spans="1:8">
      <c r="B10" s="338"/>
      <c r="C10" s="341" t="s">
        <v>906</v>
      </c>
      <c r="D10" s="917"/>
      <c r="E10" s="917"/>
      <c r="F10" s="346"/>
      <c r="G10" s="921"/>
      <c r="H10" s="922"/>
    </row>
    <row r="11" spans="1:8">
      <c r="B11" s="338"/>
      <c r="C11" s="341" t="s">
        <v>907</v>
      </c>
      <c r="D11" s="921"/>
      <c r="E11" s="921"/>
      <c r="F11" s="346"/>
      <c r="G11" s="921"/>
      <c r="H11" s="922"/>
    </row>
    <row r="12" spans="1:8">
      <c r="B12" s="338"/>
      <c r="C12" s="341" t="s">
        <v>879</v>
      </c>
      <c r="D12" s="917"/>
      <c r="E12" s="917"/>
      <c r="F12" s="347"/>
      <c r="G12" s="925"/>
      <c r="H12" s="926"/>
    </row>
    <row r="13" spans="1:8">
      <c r="B13" s="338"/>
      <c r="C13" s="341" t="s">
        <v>908</v>
      </c>
      <c r="D13" s="921"/>
      <c r="E13" s="921"/>
      <c r="F13" s="346"/>
      <c r="G13" s="921"/>
      <c r="H13" s="922"/>
    </row>
    <row r="14" spans="1:8">
      <c r="B14" s="338"/>
      <c r="C14" s="341" t="s">
        <v>866</v>
      </c>
      <c r="D14" s="917"/>
      <c r="E14" s="917"/>
      <c r="F14" s="348"/>
      <c r="G14" s="923"/>
      <c r="H14" s="924"/>
    </row>
    <row r="15" spans="1:8">
      <c r="B15" s="338"/>
      <c r="C15" s="341" t="s">
        <v>864</v>
      </c>
      <c r="D15" s="923"/>
      <c r="E15" s="923"/>
      <c r="F15" s="348"/>
      <c r="G15" s="923"/>
      <c r="H15" s="924"/>
    </row>
    <row r="16" spans="1:8" s="334" customFormat="1" ht="13.5" thickBot="1">
      <c r="B16" s="889"/>
      <c r="C16" s="890"/>
      <c r="D16" s="890"/>
      <c r="E16" s="890"/>
      <c r="F16" s="890"/>
      <c r="G16" s="890"/>
      <c r="H16" s="891"/>
    </row>
  </sheetData>
  <mergeCells count="28">
    <mergeCell ref="D15:E15"/>
    <mergeCell ref="G15:H15"/>
    <mergeCell ref="B16:H16"/>
    <mergeCell ref="D12:E12"/>
    <mergeCell ref="G12:H12"/>
    <mergeCell ref="D13:E13"/>
    <mergeCell ref="G13:H13"/>
    <mergeCell ref="D14:E14"/>
    <mergeCell ref="G14:H14"/>
    <mergeCell ref="D9:E9"/>
    <mergeCell ref="G9:H9"/>
    <mergeCell ref="D10:E10"/>
    <mergeCell ref="G10:H10"/>
    <mergeCell ref="D11:E11"/>
    <mergeCell ref="G11:H11"/>
    <mergeCell ref="D6:E6"/>
    <mergeCell ref="G6:H6"/>
    <mergeCell ref="D7:E7"/>
    <mergeCell ref="G7:H7"/>
    <mergeCell ref="D8:E8"/>
    <mergeCell ref="G8:H8"/>
    <mergeCell ref="D5:E5"/>
    <mergeCell ref="G5:H5"/>
    <mergeCell ref="B2:H2"/>
    <mergeCell ref="B3:C3"/>
    <mergeCell ref="D3:E3"/>
    <mergeCell ref="G3:H3"/>
    <mergeCell ref="B4:H4"/>
  </mergeCells>
  <conditionalFormatting sqref="D8">
    <cfRule type="expression" dxfId="377" priority="3">
      <formula>$D8&lt;&gt;$D10</formula>
    </cfRule>
  </conditionalFormatting>
  <conditionalFormatting sqref="F8">
    <cfRule type="expression" dxfId="376" priority="2">
      <formula>$F8&lt;&gt;$F10</formula>
    </cfRule>
  </conditionalFormatting>
  <conditionalFormatting sqref="G8">
    <cfRule type="expression" dxfId="375" priority="1">
      <formula>$G8&lt;&gt;$G10</formula>
    </cfRule>
  </conditionalFormatting>
  <dataValidations count="2">
    <dataValidation type="list" allowBlank="1" showInputMessage="1" showErrorMessage="1" sqref="D7 F7:G7" xr:uid="{7AA5B7E6-DDBD-47F9-A20C-581B76A31239}">
      <formula1>"Available,Not Available"</formula1>
    </dataValidation>
    <dataValidation type="list" allowBlank="1" showInputMessage="1" showErrorMessage="1" sqref="D14 F14:G14" xr:uid="{8D64ECB4-0010-4D7F-B11A-3F2E9998EF78}">
      <formula1>"Active,In-Active,Not Valid"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7D0F5-CBBA-4B79-9F91-AE5873550036}">
  <sheetPr codeName="Sheet22">
    <tabColor theme="3" tint="-0.499984740745262"/>
  </sheetPr>
  <dimension ref="A1:N261"/>
  <sheetViews>
    <sheetView workbookViewId="0">
      <selection activeCell="F3" sqref="F3 G5:K5 G7:K19 G22:K39 G41:K51 G53:K61 G63:K68 G69:J69 G70:K77 G79:K80 G82:K85 H87:K87 G88:K88 G90:K96 G99:K99 G103:K115 G117:K117 G121:K137 G140:K159 G163:K189 G192:K218 G220:K220 G223:K223 H225:K227 G230:K235 G238:K241 G244:K252 G255:K260"/>
    </sheetView>
  </sheetViews>
  <sheetFormatPr defaultRowHeight="14.25" outlineLevelRow="2"/>
  <cols>
    <col min="1" max="5" width="2.125" style="371" customWidth="1"/>
    <col min="6" max="6" width="40" style="372" customWidth="1"/>
    <col min="7" max="11" width="13.125" style="371" customWidth="1"/>
    <col min="12" max="12" width="1.625" style="371" customWidth="1"/>
    <col min="13" max="14" width="10.875" style="371" bestFit="1" customWidth="1"/>
    <col min="15" max="16384" width="9" style="371"/>
  </cols>
  <sheetData>
    <row r="1" spans="2:12" ht="15" thickBot="1"/>
    <row r="2" spans="2:12" ht="25.5" customHeight="1">
      <c r="B2" s="1049" t="s">
        <v>606</v>
      </c>
      <c r="C2" s="1050"/>
      <c r="D2" s="1050"/>
      <c r="E2" s="1050"/>
      <c r="F2" s="1050"/>
      <c r="G2" s="1050"/>
      <c r="H2" s="1050"/>
      <c r="I2" s="1050"/>
      <c r="J2" s="1050"/>
      <c r="K2" s="1050"/>
      <c r="L2" s="1051"/>
    </row>
    <row r="3" spans="2:12" ht="15" customHeight="1" thickBot="1">
      <c r="B3" s="373"/>
      <c r="C3" s="1052" t="s">
        <v>607</v>
      </c>
      <c r="D3" s="1052"/>
      <c r="E3" s="1052"/>
      <c r="F3" s="585">
        <f>'Business Profile'!D4</f>
        <v>0</v>
      </c>
      <c r="G3" s="375"/>
      <c r="J3" s="376" t="s">
        <v>608</v>
      </c>
      <c r="K3" s="377" t="s">
        <v>609</v>
      </c>
      <c r="L3" s="378"/>
    </row>
    <row r="4" spans="2:12" ht="20.25" thickBot="1">
      <c r="B4" s="379"/>
      <c r="C4" s="1053" t="s">
        <v>610</v>
      </c>
      <c r="D4" s="1054"/>
      <c r="E4" s="1054"/>
      <c r="F4" s="1054"/>
      <c r="G4" s="1054"/>
      <c r="H4" s="1054"/>
      <c r="I4" s="1054"/>
      <c r="J4" s="1054"/>
      <c r="K4" s="1055"/>
      <c r="L4" s="378"/>
    </row>
    <row r="5" spans="2:12" s="384" customFormat="1" ht="18.75" customHeight="1" thickBot="1">
      <c r="B5" s="380"/>
      <c r="C5" s="1056" t="s">
        <v>611</v>
      </c>
      <c r="D5" s="1057"/>
      <c r="E5" s="1057"/>
      <c r="F5" s="1057"/>
      <c r="G5" s="537" t="str">
        <f>'Financial Statement1'!G5</f>
        <v>-</v>
      </c>
      <c r="H5" s="537" t="str">
        <f>IFERROR(EDATE(G5,12),"-")</f>
        <v>-</v>
      </c>
      <c r="I5" s="537" t="str">
        <f t="shared" ref="I5:K5" si="0">IFERROR(EDATE(H5,12),"-")</f>
        <v>-</v>
      </c>
      <c r="J5" s="537" t="str">
        <f t="shared" si="0"/>
        <v>-</v>
      </c>
      <c r="K5" s="538" t="str">
        <f t="shared" si="0"/>
        <v>-</v>
      </c>
      <c r="L5" s="383"/>
    </row>
    <row r="6" spans="2:12" ht="16.5" customHeight="1">
      <c r="B6" s="379"/>
      <c r="C6" s="986" t="s">
        <v>615</v>
      </c>
      <c r="D6" s="987"/>
      <c r="E6" s="987"/>
      <c r="F6" s="987"/>
      <c r="G6" s="398"/>
      <c r="H6" s="398"/>
      <c r="I6" s="398"/>
      <c r="J6" s="398"/>
      <c r="K6" s="399"/>
      <c r="L6" s="378"/>
    </row>
    <row r="7" spans="2:12" ht="16.5" customHeight="1">
      <c r="B7" s="379"/>
      <c r="C7" s="400"/>
      <c r="D7" s="955" t="s">
        <v>616</v>
      </c>
      <c r="E7" s="956"/>
      <c r="F7" s="957"/>
      <c r="G7" s="539">
        <f>SUM(G8,G12,G16)</f>
        <v>0</v>
      </c>
      <c r="H7" s="539">
        <f>SUM(H8,H12,H16)</f>
        <v>0</v>
      </c>
      <c r="I7" s="539">
        <f>SUM(I8,I12,I16)</f>
        <v>0</v>
      </c>
      <c r="J7" s="539">
        <f>SUM(J8,J12,J16)</f>
        <v>0</v>
      </c>
      <c r="K7" s="540">
        <f>SUM(K8,K12,K16)</f>
        <v>0</v>
      </c>
      <c r="L7" s="378"/>
    </row>
    <row r="8" spans="2:12" s="388" customFormat="1" ht="15" customHeight="1" outlineLevel="1">
      <c r="B8" s="403"/>
      <c r="C8" s="1045"/>
      <c r="D8" s="404"/>
      <c r="E8" s="1058" t="s">
        <v>617</v>
      </c>
      <c r="F8" s="1059"/>
      <c r="G8" s="541">
        <f>SUM(G9:G11)</f>
        <v>0</v>
      </c>
      <c r="H8" s="541">
        <f>SUM(H9:H11)</f>
        <v>0</v>
      </c>
      <c r="I8" s="541">
        <f>SUM(I9:I11)</f>
        <v>0</v>
      </c>
      <c r="J8" s="541">
        <f>SUM(J9:J11)</f>
        <v>0</v>
      </c>
      <c r="K8" s="542">
        <f>SUM(K9:K11)</f>
        <v>0</v>
      </c>
      <c r="L8" s="387"/>
    </row>
    <row r="9" spans="2:12" s="413" customFormat="1" ht="13.5" customHeight="1" outlineLevel="2">
      <c r="B9" s="407"/>
      <c r="C9" s="1045"/>
      <c r="D9" s="1042"/>
      <c r="E9" s="408"/>
      <c r="F9" s="409" t="s">
        <v>618</v>
      </c>
      <c r="G9" s="571">
        <f>'Financial Statement1'!G12+'Financial Statement2'!G12+'Financial Statement3'!G12+'Financial Statement4'!G12</f>
        <v>0</v>
      </c>
      <c r="H9" s="571">
        <f>'Financial Statement1'!H12+'Financial Statement2'!H12+'Financial Statement3'!H12+'Financial Statement4'!H12</f>
        <v>0</v>
      </c>
      <c r="I9" s="571">
        <f>'Financial Statement1'!I12+'Financial Statement2'!I12+'Financial Statement3'!I12+'Financial Statement4'!I12</f>
        <v>0</v>
      </c>
      <c r="J9" s="571">
        <f>'Financial Statement1'!J12+'Financial Statement2'!J12+'Financial Statement3'!J12+'Financial Statement4'!J12</f>
        <v>0</v>
      </c>
      <c r="K9" s="572">
        <f>'Financial Statement1'!K12+'Financial Statement2'!K12+'Financial Statement3'!K12+'Financial Statement4'!K12</f>
        <v>0</v>
      </c>
      <c r="L9" s="412"/>
    </row>
    <row r="10" spans="2:12" s="413" customFormat="1" ht="13.5" customHeight="1" outlineLevel="2">
      <c r="B10" s="407"/>
      <c r="C10" s="1045"/>
      <c r="D10" s="1042"/>
      <c r="F10" s="414" t="s">
        <v>619</v>
      </c>
      <c r="G10" s="547">
        <f>'Financial Statement1'!G13+'Financial Statement2'!G13+'Financial Statement3'!G13+'Financial Statement4'!G13</f>
        <v>0</v>
      </c>
      <c r="H10" s="547">
        <f>'Financial Statement1'!H13+'Financial Statement2'!H13+'Financial Statement3'!H13+'Financial Statement4'!H13</f>
        <v>0</v>
      </c>
      <c r="I10" s="547">
        <f>'Financial Statement1'!I13+'Financial Statement2'!I13+'Financial Statement3'!I13+'Financial Statement4'!I13</f>
        <v>0</v>
      </c>
      <c r="J10" s="547">
        <f>'Financial Statement1'!J13+'Financial Statement2'!J13+'Financial Statement3'!J13+'Financial Statement4'!J13</f>
        <v>0</v>
      </c>
      <c r="K10" s="548">
        <f>'Financial Statement1'!K13+'Financial Statement2'!K13+'Financial Statement3'!K13+'Financial Statement4'!K13</f>
        <v>0</v>
      </c>
      <c r="L10" s="412"/>
    </row>
    <row r="11" spans="2:12" s="413" customFormat="1" ht="13.5" customHeight="1" outlineLevel="2">
      <c r="B11" s="407"/>
      <c r="C11" s="1045"/>
      <c r="D11" s="1042"/>
      <c r="F11" s="414" t="s">
        <v>620</v>
      </c>
      <c r="G11" s="547">
        <f>'Financial Statement1'!G14+'Financial Statement2'!G14+'Financial Statement3'!G14+'Financial Statement4'!G14</f>
        <v>0</v>
      </c>
      <c r="H11" s="547">
        <f>'Financial Statement1'!H14+'Financial Statement2'!H14+'Financial Statement3'!H14+'Financial Statement4'!H14</f>
        <v>0</v>
      </c>
      <c r="I11" s="547">
        <f>'Financial Statement1'!I14+'Financial Statement2'!I14+'Financial Statement3'!I14+'Financial Statement4'!I14</f>
        <v>0</v>
      </c>
      <c r="J11" s="547">
        <f>'Financial Statement1'!J14+'Financial Statement2'!J14+'Financial Statement3'!J14+'Financial Statement4'!J14</f>
        <v>0</v>
      </c>
      <c r="K11" s="548">
        <f>'Financial Statement1'!K14+'Financial Statement2'!K14+'Financial Statement3'!K14+'Financial Statement4'!K14</f>
        <v>0</v>
      </c>
      <c r="L11" s="412"/>
    </row>
    <row r="12" spans="2:12" s="388" customFormat="1" ht="15" customHeight="1" outlineLevel="1">
      <c r="B12" s="403"/>
      <c r="C12" s="1045"/>
      <c r="E12" s="955" t="s">
        <v>621</v>
      </c>
      <c r="F12" s="957"/>
      <c r="G12" s="543">
        <f>SUM(G13:G15)</f>
        <v>0</v>
      </c>
      <c r="H12" s="543">
        <f>SUM(H13:H15)</f>
        <v>0</v>
      </c>
      <c r="I12" s="543">
        <f>SUM(I13:I15)</f>
        <v>0</v>
      </c>
      <c r="J12" s="543">
        <f>SUM(J13:J15)</f>
        <v>0</v>
      </c>
      <c r="K12" s="544">
        <f>SUM(K13:K15)</f>
        <v>0</v>
      </c>
      <c r="L12" s="387"/>
    </row>
    <row r="13" spans="2:12" s="413" customFormat="1" ht="13.5" customHeight="1" outlineLevel="2">
      <c r="B13" s="407"/>
      <c r="C13" s="1045"/>
      <c r="D13" s="1042"/>
      <c r="E13" s="408"/>
      <c r="F13" s="409" t="s">
        <v>618</v>
      </c>
      <c r="G13" s="571">
        <f>'Financial Statement1'!G16+'Financial Statement2'!G16+'Financial Statement3'!G16+'Financial Statement4'!G16</f>
        <v>0</v>
      </c>
      <c r="H13" s="571">
        <f>'Financial Statement1'!H16+'Financial Statement2'!H16+'Financial Statement3'!H16+'Financial Statement4'!H16</f>
        <v>0</v>
      </c>
      <c r="I13" s="571">
        <f>'Financial Statement1'!I16+'Financial Statement2'!I16+'Financial Statement3'!I16+'Financial Statement4'!I16</f>
        <v>0</v>
      </c>
      <c r="J13" s="571">
        <f>'Financial Statement1'!J16+'Financial Statement2'!J16+'Financial Statement3'!J16+'Financial Statement4'!J16</f>
        <v>0</v>
      </c>
      <c r="K13" s="572">
        <f>'Financial Statement1'!K16+'Financial Statement2'!K16+'Financial Statement3'!K16+'Financial Statement4'!K16</f>
        <v>0</v>
      </c>
      <c r="L13" s="412"/>
    </row>
    <row r="14" spans="2:12" s="413" customFormat="1" ht="13.5" customHeight="1" outlineLevel="2">
      <c r="B14" s="407"/>
      <c r="C14" s="1045"/>
      <c r="D14" s="1042"/>
      <c r="F14" s="414" t="s">
        <v>619</v>
      </c>
      <c r="G14" s="547">
        <f>'Financial Statement1'!G17+'Financial Statement2'!G17+'Financial Statement3'!G17+'Financial Statement4'!G17</f>
        <v>0</v>
      </c>
      <c r="H14" s="547">
        <f>'Financial Statement1'!H17+'Financial Statement2'!H17+'Financial Statement3'!H17+'Financial Statement4'!H17</f>
        <v>0</v>
      </c>
      <c r="I14" s="547">
        <f>'Financial Statement1'!I17+'Financial Statement2'!I17+'Financial Statement3'!I17+'Financial Statement4'!I17</f>
        <v>0</v>
      </c>
      <c r="J14" s="547">
        <f>'Financial Statement1'!J17+'Financial Statement2'!J17+'Financial Statement3'!J17+'Financial Statement4'!J17</f>
        <v>0</v>
      </c>
      <c r="K14" s="548">
        <f>'Financial Statement1'!K17+'Financial Statement2'!K17+'Financial Statement3'!K17+'Financial Statement4'!K17</f>
        <v>0</v>
      </c>
      <c r="L14" s="412"/>
    </row>
    <row r="15" spans="2:12" s="413" customFormat="1" ht="13.5" customHeight="1" outlineLevel="2">
      <c r="B15" s="407"/>
      <c r="C15" s="1045"/>
      <c r="D15" s="1042"/>
      <c r="F15" s="414" t="s">
        <v>620</v>
      </c>
      <c r="G15" s="547">
        <f>'Financial Statement1'!G18+'Financial Statement2'!G18+'Financial Statement3'!G18+'Financial Statement4'!G18</f>
        <v>0</v>
      </c>
      <c r="H15" s="547">
        <f>'Financial Statement1'!H18+'Financial Statement2'!H18+'Financial Statement3'!H18+'Financial Statement4'!H18</f>
        <v>0</v>
      </c>
      <c r="I15" s="547">
        <f>'Financial Statement1'!I18+'Financial Statement2'!I18+'Financial Statement3'!I18+'Financial Statement4'!I18</f>
        <v>0</v>
      </c>
      <c r="J15" s="547">
        <f>'Financial Statement1'!J18+'Financial Statement2'!J18+'Financial Statement3'!J18+'Financial Statement4'!J18</f>
        <v>0</v>
      </c>
      <c r="K15" s="548">
        <f>'Financial Statement1'!K18+'Financial Statement2'!K18+'Financial Statement3'!K18+'Financial Statement4'!K18</f>
        <v>0</v>
      </c>
      <c r="L15" s="412"/>
    </row>
    <row r="16" spans="2:12" s="413" customFormat="1" ht="13.5" customHeight="1" outlineLevel="1">
      <c r="B16" s="407"/>
      <c r="C16" s="1045"/>
      <c r="E16" s="955" t="s">
        <v>622</v>
      </c>
      <c r="F16" s="957"/>
      <c r="G16" s="547">
        <f>'Financial Statement1'!G19+'Financial Statement2'!G19+'Financial Statement3'!G19+'Financial Statement4'!G19</f>
        <v>0</v>
      </c>
      <c r="H16" s="547">
        <f>'Financial Statement1'!H19+'Financial Statement2'!H19+'Financial Statement3'!H19+'Financial Statement4'!H19</f>
        <v>0</v>
      </c>
      <c r="I16" s="547">
        <f>'Financial Statement1'!I19+'Financial Statement2'!I19+'Financial Statement3'!I19+'Financial Statement4'!I19</f>
        <v>0</v>
      </c>
      <c r="J16" s="547">
        <f>'Financial Statement1'!J19+'Financial Statement2'!J19+'Financial Statement3'!J19+'Financial Statement4'!J19</f>
        <v>0</v>
      </c>
      <c r="K16" s="548">
        <f>'Financial Statement1'!K19+'Financial Statement2'!K19+'Financial Statement3'!K19+'Financial Statement4'!K19</f>
        <v>0</v>
      </c>
      <c r="L16" s="412"/>
    </row>
    <row r="17" spans="2:12" s="388" customFormat="1" ht="15" customHeight="1">
      <c r="B17" s="403"/>
      <c r="C17" s="1045"/>
      <c r="D17" s="955" t="s">
        <v>623</v>
      </c>
      <c r="E17" s="956"/>
      <c r="F17" s="957"/>
      <c r="G17" s="551">
        <f>'Financial Statement1'!G20+'Financial Statement2'!G20+'Financial Statement3'!G20+'Financial Statement4'!G20</f>
        <v>0</v>
      </c>
      <c r="H17" s="551">
        <f>'Financial Statement1'!H20+'Financial Statement2'!H20+'Financial Statement3'!H20+'Financial Statement4'!H20</f>
        <v>0</v>
      </c>
      <c r="I17" s="551">
        <f>'Financial Statement1'!I20+'Financial Statement2'!I20+'Financial Statement3'!I20+'Financial Statement4'!I20</f>
        <v>0</v>
      </c>
      <c r="J17" s="551">
        <f>'Financial Statement1'!J20+'Financial Statement2'!J20+'Financial Statement3'!J20+'Financial Statement4'!J20</f>
        <v>0</v>
      </c>
      <c r="K17" s="552">
        <f>'Financial Statement1'!K20+'Financial Statement2'!K20+'Financial Statement3'!K20+'Financial Statement4'!K20</f>
        <v>0</v>
      </c>
      <c r="L17" s="387"/>
    </row>
    <row r="18" spans="2:12" s="388" customFormat="1" ht="15" customHeight="1" thickBot="1">
      <c r="B18" s="403"/>
      <c r="C18" s="1046"/>
      <c r="D18" s="1007" t="s">
        <v>624</v>
      </c>
      <c r="E18" s="1008"/>
      <c r="F18" s="1009"/>
      <c r="G18" s="586">
        <f>'Financial Statement1'!G21+'Financial Statement2'!G21+'Financial Statement3'!G21+'Financial Statement4'!G21</f>
        <v>0</v>
      </c>
      <c r="H18" s="586">
        <f>'Financial Statement1'!H21+'Financial Statement2'!H21+'Financial Statement3'!H21+'Financial Statement4'!H21</f>
        <v>0</v>
      </c>
      <c r="I18" s="586">
        <f>'Financial Statement1'!I21+'Financial Statement2'!I21+'Financial Statement3'!I21+'Financial Statement4'!I21</f>
        <v>0</v>
      </c>
      <c r="J18" s="586">
        <f>'Financial Statement1'!J21+'Financial Statement2'!J21+'Financial Statement3'!J21+'Financial Statement4'!J21</f>
        <v>0</v>
      </c>
      <c r="K18" s="587">
        <f>'Financial Statement1'!K21+'Financial Statement2'!K21+'Financial Statement3'!K21+'Financial Statement4'!K21</f>
        <v>0</v>
      </c>
      <c r="L18" s="387"/>
    </row>
    <row r="19" spans="2:12" ht="16.5" customHeight="1" thickBot="1">
      <c r="B19" s="379"/>
      <c r="C19" s="965" t="s">
        <v>625</v>
      </c>
      <c r="D19" s="966"/>
      <c r="E19" s="966"/>
      <c r="F19" s="966"/>
      <c r="G19" s="545">
        <f>SUM(G7+G17)-G18</f>
        <v>0</v>
      </c>
      <c r="H19" s="545">
        <f>SUM(H7+H17)-H18</f>
        <v>0</v>
      </c>
      <c r="I19" s="545">
        <f t="shared" ref="I19:K19" si="1">SUM(I7+I17)-I18</f>
        <v>0</v>
      </c>
      <c r="J19" s="545">
        <f t="shared" si="1"/>
        <v>0</v>
      </c>
      <c r="K19" s="546">
        <f t="shared" si="1"/>
        <v>0</v>
      </c>
      <c r="L19" s="378"/>
    </row>
    <row r="20" spans="2:12" ht="7.5" customHeight="1">
      <c r="B20" s="379"/>
      <c r="C20" s="967"/>
      <c r="D20" s="968"/>
      <c r="E20" s="968"/>
      <c r="F20" s="968"/>
      <c r="G20" s="968"/>
      <c r="H20" s="968"/>
      <c r="I20" s="968"/>
      <c r="J20" s="968"/>
      <c r="K20" s="969"/>
      <c r="L20" s="378"/>
    </row>
    <row r="21" spans="2:12" ht="16.5" customHeight="1">
      <c r="B21" s="379"/>
      <c r="C21" s="1043" t="s">
        <v>626</v>
      </c>
      <c r="D21" s="1044"/>
      <c r="E21" s="1044"/>
      <c r="F21" s="1044"/>
      <c r="G21" s="413"/>
      <c r="H21" s="413"/>
      <c r="I21" s="413"/>
      <c r="J21" s="413"/>
      <c r="K21" s="412"/>
      <c r="L21" s="412"/>
    </row>
    <row r="22" spans="2:12" ht="16.5" customHeight="1">
      <c r="B22" s="379"/>
      <c r="C22" s="425"/>
      <c r="D22" s="955" t="s">
        <v>627</v>
      </c>
      <c r="E22" s="956"/>
      <c r="F22" s="957"/>
      <c r="G22" s="543">
        <f>G23+G27+G30</f>
        <v>0</v>
      </c>
      <c r="H22" s="543">
        <f>H23+H27+H30</f>
        <v>0</v>
      </c>
      <c r="I22" s="543">
        <f>I23+I27+I30</f>
        <v>0</v>
      </c>
      <c r="J22" s="543">
        <f>J23+J27+J30</f>
        <v>0</v>
      </c>
      <c r="K22" s="544">
        <f>K23+K27+K30</f>
        <v>0</v>
      </c>
      <c r="L22" s="412"/>
    </row>
    <row r="23" spans="2:12" s="388" customFormat="1" ht="15" customHeight="1" outlineLevel="1">
      <c r="B23" s="403"/>
      <c r="C23" s="1045"/>
      <c r="D23" s="404"/>
      <c r="E23" s="1047" t="s">
        <v>628</v>
      </c>
      <c r="F23" s="1048"/>
      <c r="G23" s="541">
        <f>G25+G24-G26</f>
        <v>0</v>
      </c>
      <c r="H23" s="541">
        <f>H25+H24-H26</f>
        <v>0</v>
      </c>
      <c r="I23" s="541">
        <f>I25+I24-I26</f>
        <v>0</v>
      </c>
      <c r="J23" s="541">
        <f>J25+J24-J26</f>
        <v>0</v>
      </c>
      <c r="K23" s="542">
        <f>K25+K24-K26</f>
        <v>0</v>
      </c>
      <c r="L23" s="387"/>
    </row>
    <row r="24" spans="2:12" s="413" customFormat="1" ht="13.5" customHeight="1" outlineLevel="2">
      <c r="B24" s="407"/>
      <c r="C24" s="1045"/>
      <c r="D24" s="1042"/>
      <c r="E24" s="408"/>
      <c r="F24" s="409" t="s">
        <v>629</v>
      </c>
      <c r="G24" s="571">
        <f>'Financial Statement1'!G27+'Financial Statement2'!G27+'Financial Statement3'!G27+'Financial Statement4'!G27</f>
        <v>0</v>
      </c>
      <c r="H24" s="571">
        <f>'Financial Statement1'!H27+'Financial Statement2'!H27+'Financial Statement3'!H27+'Financial Statement4'!H27</f>
        <v>0</v>
      </c>
      <c r="I24" s="571">
        <f>'Financial Statement1'!I27+'Financial Statement2'!I27+'Financial Statement3'!I27+'Financial Statement4'!I27</f>
        <v>0</v>
      </c>
      <c r="J24" s="571">
        <f>'Financial Statement1'!J27+'Financial Statement2'!J27+'Financial Statement3'!J27+'Financial Statement4'!J27</f>
        <v>0</v>
      </c>
      <c r="K24" s="572">
        <f>'Financial Statement1'!K27+'Financial Statement2'!K27+'Financial Statement3'!K27+'Financial Statement4'!K27</f>
        <v>0</v>
      </c>
      <c r="L24" s="412"/>
    </row>
    <row r="25" spans="2:12" s="413" customFormat="1" ht="16.5" customHeight="1" outlineLevel="2">
      <c r="B25" s="407"/>
      <c r="C25" s="1045"/>
      <c r="D25" s="1042"/>
      <c r="F25" s="414" t="s">
        <v>630</v>
      </c>
      <c r="G25" s="547">
        <f>'Financial Statement1'!G28+'Financial Statement2'!G28+'Financial Statement3'!G28+'Financial Statement4'!G28</f>
        <v>0</v>
      </c>
      <c r="H25" s="547">
        <f>'Financial Statement1'!H28+'Financial Statement2'!H28+'Financial Statement3'!H28+'Financial Statement4'!H28</f>
        <v>0</v>
      </c>
      <c r="I25" s="547">
        <f>'Financial Statement1'!I28+'Financial Statement2'!I28+'Financial Statement3'!I28+'Financial Statement4'!I28</f>
        <v>0</v>
      </c>
      <c r="J25" s="547">
        <f>'Financial Statement1'!J28+'Financial Statement2'!J28+'Financial Statement3'!J28+'Financial Statement4'!J28</f>
        <v>0</v>
      </c>
      <c r="K25" s="548">
        <f>'Financial Statement1'!K28+'Financial Statement2'!K28+'Financial Statement3'!K28+'Financial Statement4'!K28</f>
        <v>0</v>
      </c>
      <c r="L25" s="412"/>
    </row>
    <row r="26" spans="2:12" s="413" customFormat="1" ht="16.5" customHeight="1" outlineLevel="2">
      <c r="B26" s="407"/>
      <c r="C26" s="1045"/>
      <c r="D26" s="1042"/>
      <c r="F26" s="414" t="s">
        <v>631</v>
      </c>
      <c r="G26" s="547">
        <f>'Financial Statement1'!G29+'Financial Statement2'!G29+'Financial Statement3'!G29+'Financial Statement4'!G29</f>
        <v>0</v>
      </c>
      <c r="H26" s="547">
        <f>'Financial Statement1'!H29+'Financial Statement2'!H29+'Financial Statement3'!H29+'Financial Statement4'!H29</f>
        <v>0</v>
      </c>
      <c r="I26" s="547">
        <f>'Financial Statement1'!I29+'Financial Statement2'!I29+'Financial Statement3'!I29+'Financial Statement4'!I29</f>
        <v>0</v>
      </c>
      <c r="J26" s="547">
        <f>'Financial Statement1'!J29+'Financial Statement2'!J29+'Financial Statement3'!J29+'Financial Statement4'!J29</f>
        <v>0</v>
      </c>
      <c r="K26" s="548">
        <f>'Financial Statement1'!K29+'Financial Statement2'!K29+'Financial Statement3'!K29+'Financial Statement4'!K29</f>
        <v>0</v>
      </c>
      <c r="L26" s="412"/>
    </row>
    <row r="27" spans="2:12" s="388" customFormat="1" ht="16.5" customHeight="1" outlineLevel="1">
      <c r="B27" s="403"/>
      <c r="C27" s="1045"/>
      <c r="E27" s="1040" t="s">
        <v>632</v>
      </c>
      <c r="F27" s="1041"/>
      <c r="G27" s="543">
        <f>G28-G29</f>
        <v>0</v>
      </c>
      <c r="H27" s="543">
        <f>H28-H29</f>
        <v>0</v>
      </c>
      <c r="I27" s="543">
        <f>I28-I29</f>
        <v>0</v>
      </c>
      <c r="J27" s="543">
        <f>J28-J29</f>
        <v>0</v>
      </c>
      <c r="K27" s="544">
        <f>K28-K29</f>
        <v>0</v>
      </c>
      <c r="L27" s="387"/>
    </row>
    <row r="28" spans="2:12" s="413" customFormat="1" ht="13.5" customHeight="1" outlineLevel="2">
      <c r="B28" s="407"/>
      <c r="C28" s="1045"/>
      <c r="D28" s="1042"/>
      <c r="E28" s="408"/>
      <c r="F28" s="409" t="s">
        <v>629</v>
      </c>
      <c r="G28" s="571">
        <f>'Financial Statement1'!G31+'Financial Statement2'!G31+'Financial Statement3'!G31+'Financial Statement4'!G31</f>
        <v>0</v>
      </c>
      <c r="H28" s="571">
        <f>'Financial Statement1'!H31+'Financial Statement2'!H31+'Financial Statement3'!H31+'Financial Statement4'!H31</f>
        <v>0</v>
      </c>
      <c r="I28" s="571">
        <f>'Financial Statement1'!I31+'Financial Statement2'!I31+'Financial Statement3'!I31+'Financial Statement4'!I31</f>
        <v>0</v>
      </c>
      <c r="J28" s="571">
        <f>'Financial Statement1'!J31+'Financial Statement2'!J31+'Financial Statement3'!J31+'Financial Statement4'!J31</f>
        <v>0</v>
      </c>
      <c r="K28" s="572">
        <f>'Financial Statement1'!K31+'Financial Statement2'!K31+'Financial Statement3'!K31+'Financial Statement4'!K31</f>
        <v>0</v>
      </c>
      <c r="L28" s="412"/>
    </row>
    <row r="29" spans="2:12" s="413" customFormat="1" ht="13.5" customHeight="1" outlineLevel="2">
      <c r="B29" s="407"/>
      <c r="C29" s="1045"/>
      <c r="D29" s="1042"/>
      <c r="F29" s="414" t="s">
        <v>631</v>
      </c>
      <c r="G29" s="547">
        <f>'Financial Statement1'!G32+'Financial Statement2'!G32+'Financial Statement3'!G32+'Financial Statement4'!G32</f>
        <v>0</v>
      </c>
      <c r="H29" s="547">
        <f>'Financial Statement1'!H32+'Financial Statement2'!H32+'Financial Statement3'!H32+'Financial Statement4'!H32</f>
        <v>0</v>
      </c>
      <c r="I29" s="547">
        <f>'Financial Statement1'!I32+'Financial Statement2'!I32+'Financial Statement3'!I32+'Financial Statement4'!I32</f>
        <v>0</v>
      </c>
      <c r="J29" s="547">
        <f>'Financial Statement1'!J32+'Financial Statement2'!J32+'Financial Statement3'!J32+'Financial Statement4'!J32</f>
        <v>0</v>
      </c>
      <c r="K29" s="548">
        <f>'Financial Statement1'!K32+'Financial Statement2'!K32+'Financial Statement3'!K32+'Financial Statement4'!K32</f>
        <v>0</v>
      </c>
      <c r="L29" s="412"/>
    </row>
    <row r="30" spans="2:12" s="388" customFormat="1" ht="15" customHeight="1" outlineLevel="1">
      <c r="B30" s="403"/>
      <c r="C30" s="1045"/>
      <c r="E30" s="1040" t="s">
        <v>633</v>
      </c>
      <c r="F30" s="1041"/>
      <c r="G30" s="543">
        <f>G32+G31-G33</f>
        <v>0</v>
      </c>
      <c r="H30" s="543">
        <f>H32+H31-H33</f>
        <v>0</v>
      </c>
      <c r="I30" s="543">
        <f>I32+I31-I33</f>
        <v>0</v>
      </c>
      <c r="J30" s="543">
        <f>J32+J31-J33</f>
        <v>0</v>
      </c>
      <c r="K30" s="544">
        <f>K32+K31-K33</f>
        <v>0</v>
      </c>
      <c r="L30" s="387"/>
    </row>
    <row r="31" spans="2:12" s="413" customFormat="1" ht="13.5" customHeight="1" outlineLevel="1">
      <c r="B31" s="407"/>
      <c r="C31" s="1045"/>
      <c r="D31" s="1042"/>
      <c r="E31" s="408"/>
      <c r="F31" s="409" t="s">
        <v>629</v>
      </c>
      <c r="G31" s="571">
        <f>'Financial Statement1'!G34+'Financial Statement2'!G34+'Financial Statement3'!G34+'Financial Statement4'!G34</f>
        <v>0</v>
      </c>
      <c r="H31" s="571">
        <f>'Financial Statement1'!H34+'Financial Statement2'!H34+'Financial Statement3'!H34+'Financial Statement4'!H34</f>
        <v>0</v>
      </c>
      <c r="I31" s="571">
        <f>'Financial Statement1'!I34+'Financial Statement2'!I34+'Financial Statement3'!I34+'Financial Statement4'!I34</f>
        <v>0</v>
      </c>
      <c r="J31" s="571">
        <f>'Financial Statement1'!J34+'Financial Statement2'!J34+'Financial Statement3'!J34+'Financial Statement4'!J34</f>
        <v>0</v>
      </c>
      <c r="K31" s="572">
        <f>'Financial Statement1'!K34+'Financial Statement2'!K34+'Financial Statement3'!K34+'Financial Statement4'!K34</f>
        <v>0</v>
      </c>
      <c r="L31" s="412"/>
    </row>
    <row r="32" spans="2:12" s="413" customFormat="1" ht="13.5" customHeight="1" outlineLevel="1">
      <c r="B32" s="407"/>
      <c r="C32" s="1045"/>
      <c r="D32" s="1042"/>
      <c r="F32" s="414" t="s">
        <v>630</v>
      </c>
      <c r="G32" s="547">
        <f>'Financial Statement1'!G35+'Financial Statement2'!G35+'Financial Statement3'!G35+'Financial Statement4'!G35</f>
        <v>0</v>
      </c>
      <c r="H32" s="547">
        <f>'Financial Statement1'!H35+'Financial Statement2'!H35+'Financial Statement3'!H35+'Financial Statement4'!H35</f>
        <v>0</v>
      </c>
      <c r="I32" s="547">
        <f>'Financial Statement1'!I35+'Financial Statement2'!I35+'Financial Statement3'!I35+'Financial Statement4'!I35</f>
        <v>0</v>
      </c>
      <c r="J32" s="547">
        <f>'Financial Statement1'!J35+'Financial Statement2'!J35+'Financial Statement3'!J35+'Financial Statement4'!J35</f>
        <v>0</v>
      </c>
      <c r="K32" s="548">
        <f>'Financial Statement1'!K35+'Financial Statement2'!K35+'Financial Statement3'!K35+'Financial Statement4'!K35</f>
        <v>0</v>
      </c>
      <c r="L32" s="412"/>
    </row>
    <row r="33" spans="1:12" s="413" customFormat="1" ht="13.5" customHeight="1" outlineLevel="1">
      <c r="B33" s="407"/>
      <c r="C33" s="1045"/>
      <c r="D33" s="1042"/>
      <c r="F33" s="414" t="s">
        <v>631</v>
      </c>
      <c r="G33" s="547">
        <f>'Financial Statement1'!G36+'Financial Statement2'!G36+'Financial Statement3'!G36+'Financial Statement4'!G36</f>
        <v>0</v>
      </c>
      <c r="H33" s="547">
        <f>'Financial Statement1'!H36+'Financial Statement2'!H36+'Financial Statement3'!H36+'Financial Statement4'!H36</f>
        <v>0</v>
      </c>
      <c r="I33" s="547">
        <f>'Financial Statement1'!I36+'Financial Statement2'!I36+'Financial Statement3'!I36+'Financial Statement4'!I36</f>
        <v>0</v>
      </c>
      <c r="J33" s="547">
        <f>'Financial Statement1'!J36+'Financial Statement2'!J36+'Financial Statement3'!J36+'Financial Statement4'!J36</f>
        <v>0</v>
      </c>
      <c r="K33" s="548">
        <f>'Financial Statement1'!K36+'Financial Statement2'!K36+'Financial Statement3'!K36+'Financial Statement4'!K36</f>
        <v>0</v>
      </c>
      <c r="L33" s="412"/>
    </row>
    <row r="34" spans="1:12" s="413" customFormat="1" ht="13.5" customHeight="1">
      <c r="B34" s="407"/>
      <c r="C34" s="1045"/>
      <c r="D34" s="955" t="s">
        <v>634</v>
      </c>
      <c r="E34" s="956"/>
      <c r="F34" s="957"/>
      <c r="G34" s="547">
        <f>SUM(G35:G38)</f>
        <v>0</v>
      </c>
      <c r="H34" s="547">
        <f>SUM(H35:H38)</f>
        <v>0</v>
      </c>
      <c r="I34" s="547">
        <f>SUM(I35:I38)</f>
        <v>0</v>
      </c>
      <c r="J34" s="547">
        <f>SUM(J35:J38)</f>
        <v>0</v>
      </c>
      <c r="K34" s="548">
        <f>SUM(K35:K38)</f>
        <v>0</v>
      </c>
      <c r="L34" s="412"/>
    </row>
    <row r="35" spans="1:12" s="413" customFormat="1" ht="15" customHeight="1" outlineLevel="1">
      <c r="B35" s="407"/>
      <c r="C35" s="1045"/>
      <c r="D35" s="408"/>
      <c r="E35" s="997" t="s">
        <v>635</v>
      </c>
      <c r="F35" s="998"/>
      <c r="G35" s="571">
        <f>'Financial Statement1'!G38+'Financial Statement2'!G38+'Financial Statement3'!G38+'Financial Statement4'!G38</f>
        <v>0</v>
      </c>
      <c r="H35" s="571">
        <f>'Financial Statement1'!H38+'Financial Statement2'!H38+'Financial Statement3'!H38+'Financial Statement4'!H38</f>
        <v>0</v>
      </c>
      <c r="I35" s="571">
        <f>'Financial Statement1'!I38+'Financial Statement2'!I38+'Financial Statement3'!I38+'Financial Statement4'!I38</f>
        <v>0</v>
      </c>
      <c r="J35" s="571">
        <f>'Financial Statement1'!J38+'Financial Statement2'!J38+'Financial Statement3'!J38+'Financial Statement4'!J38</f>
        <v>0</v>
      </c>
      <c r="K35" s="572">
        <f>'Financial Statement1'!K38+'Financial Statement2'!K38+'Financial Statement3'!K38+'Financial Statement4'!K38</f>
        <v>0</v>
      </c>
      <c r="L35" s="412"/>
    </row>
    <row r="36" spans="1:12" s="413" customFormat="1" ht="15" customHeight="1" outlineLevel="1">
      <c r="B36" s="407"/>
      <c r="C36" s="1045"/>
      <c r="E36" s="991" t="s">
        <v>636</v>
      </c>
      <c r="F36" s="992"/>
      <c r="G36" s="547">
        <f>'Financial Statement1'!G39+'Financial Statement2'!G39+'Financial Statement3'!G39+'Financial Statement4'!G39</f>
        <v>0</v>
      </c>
      <c r="H36" s="547">
        <f>'Financial Statement1'!H39+'Financial Statement2'!H39+'Financial Statement3'!H39+'Financial Statement4'!H39</f>
        <v>0</v>
      </c>
      <c r="I36" s="547">
        <f>'Financial Statement1'!I39+'Financial Statement2'!I39+'Financial Statement3'!I39+'Financial Statement4'!I39</f>
        <v>0</v>
      </c>
      <c r="J36" s="547">
        <f>'Financial Statement1'!J39+'Financial Statement2'!J39+'Financial Statement3'!J39+'Financial Statement4'!J39</f>
        <v>0</v>
      </c>
      <c r="K36" s="548">
        <f>'Financial Statement1'!K39+'Financial Statement2'!K39+'Financial Statement3'!K39+'Financial Statement4'!K39</f>
        <v>0</v>
      </c>
      <c r="L36" s="412"/>
    </row>
    <row r="37" spans="1:12" s="413" customFormat="1" ht="15" customHeight="1" outlineLevel="1">
      <c r="B37" s="407"/>
      <c r="C37" s="1045"/>
      <c r="E37" s="991" t="s">
        <v>637</v>
      </c>
      <c r="F37" s="992"/>
      <c r="G37" s="547">
        <f>'Financial Statement1'!G40+'Financial Statement2'!G40+'Financial Statement3'!G40+'Financial Statement4'!G40</f>
        <v>0</v>
      </c>
      <c r="H37" s="547">
        <f>'Financial Statement1'!H40+'Financial Statement2'!H40+'Financial Statement3'!H40+'Financial Statement4'!H40</f>
        <v>0</v>
      </c>
      <c r="I37" s="547">
        <f>'Financial Statement1'!I40+'Financial Statement2'!I40+'Financial Statement3'!I40+'Financial Statement4'!I40</f>
        <v>0</v>
      </c>
      <c r="J37" s="547">
        <f>'Financial Statement1'!J40+'Financial Statement2'!J40+'Financial Statement3'!J40+'Financial Statement4'!J40</f>
        <v>0</v>
      </c>
      <c r="K37" s="548">
        <f>'Financial Statement1'!K40+'Financial Statement2'!K40+'Financial Statement3'!K40+'Financial Statement4'!K40</f>
        <v>0</v>
      </c>
      <c r="L37" s="412"/>
    </row>
    <row r="38" spans="1:12" s="413" customFormat="1" ht="15" customHeight="1" outlineLevel="1" thickBot="1">
      <c r="B38" s="407"/>
      <c r="C38" s="1046"/>
      <c r="D38" s="426"/>
      <c r="E38" s="1017" t="s">
        <v>638</v>
      </c>
      <c r="F38" s="1018"/>
      <c r="G38" s="547">
        <f>'Financial Statement1'!G41+'Financial Statement2'!G41+'Financial Statement3'!G41+'Financial Statement4'!G41</f>
        <v>0</v>
      </c>
      <c r="H38" s="547">
        <f>'Financial Statement1'!H41+'Financial Statement2'!H41+'Financial Statement3'!H41+'Financial Statement4'!H41</f>
        <v>0</v>
      </c>
      <c r="I38" s="547">
        <f>'Financial Statement1'!I41+'Financial Statement2'!I41+'Financial Statement3'!I41+'Financial Statement4'!I41</f>
        <v>0</v>
      </c>
      <c r="J38" s="547">
        <f>'Financial Statement1'!J41+'Financial Statement2'!J41+'Financial Statement3'!J41+'Financial Statement4'!J41</f>
        <v>0</v>
      </c>
      <c r="K38" s="548">
        <f>'Financial Statement1'!K41+'Financial Statement2'!K41+'Financial Statement3'!K41+'Financial Statement4'!K41</f>
        <v>0</v>
      </c>
      <c r="L38" s="412"/>
    </row>
    <row r="39" spans="1:12" ht="16.5" customHeight="1" thickBot="1">
      <c r="B39" s="379"/>
      <c r="C39" s="965" t="s">
        <v>9</v>
      </c>
      <c r="D39" s="966"/>
      <c r="E39" s="966"/>
      <c r="F39" s="966" t="s">
        <v>639</v>
      </c>
      <c r="G39" s="545">
        <f>G19-SUM(G22,G34)</f>
        <v>0</v>
      </c>
      <c r="H39" s="545">
        <f>H19-SUM(H22,H34)</f>
        <v>0</v>
      </c>
      <c r="I39" s="545">
        <f>I19-SUM(I22,I34)</f>
        <v>0</v>
      </c>
      <c r="J39" s="545">
        <f>J19-SUM(J22,J34)</f>
        <v>0</v>
      </c>
      <c r="K39" s="546">
        <f>K19-SUM(K22,K34)</f>
        <v>0</v>
      </c>
      <c r="L39" s="378"/>
    </row>
    <row r="40" spans="1:12" ht="7.5" customHeight="1">
      <c r="B40" s="379"/>
      <c r="C40" s="967"/>
      <c r="D40" s="968"/>
      <c r="E40" s="968"/>
      <c r="F40" s="968"/>
      <c r="G40" s="968"/>
      <c r="H40" s="968"/>
      <c r="I40" s="968"/>
      <c r="J40" s="968"/>
      <c r="K40" s="969"/>
      <c r="L40" s="378"/>
    </row>
    <row r="41" spans="1:12" s="388" customFormat="1" ht="15" customHeight="1">
      <c r="B41" s="403"/>
      <c r="C41" s="403"/>
      <c r="D41" s="955" t="s">
        <v>640</v>
      </c>
      <c r="E41" s="956"/>
      <c r="F41" s="957"/>
      <c r="G41" s="539">
        <f>SUM(G42,G43,G44)</f>
        <v>0</v>
      </c>
      <c r="H41" s="539">
        <f>SUM(H42,H43,H44)</f>
        <v>0</v>
      </c>
      <c r="I41" s="539">
        <f>SUM(I42,I43,I44)</f>
        <v>0</v>
      </c>
      <c r="J41" s="539">
        <f>SUM(J42,J43,J44)</f>
        <v>0</v>
      </c>
      <c r="K41" s="540">
        <f>SUM(K42,K43,K44)</f>
        <v>0</v>
      </c>
      <c r="L41" s="387"/>
    </row>
    <row r="42" spans="1:12" s="413" customFormat="1" ht="15" customHeight="1" outlineLevel="1">
      <c r="B42" s="407"/>
      <c r="C42" s="1012"/>
      <c r="D42" s="408"/>
      <c r="E42" s="1015" t="s">
        <v>641</v>
      </c>
      <c r="F42" s="1016"/>
      <c r="G42" s="588">
        <f>'Financial Statement1'!G45+'Financial Statement2'!G45+'Financial Statement3'!G45+'Financial Statement4'!G45</f>
        <v>0</v>
      </c>
      <c r="H42" s="571">
        <f>'Financial Statement1'!H45+'Financial Statement2'!H45+'Financial Statement3'!H45+'Financial Statement4'!H45</f>
        <v>0</v>
      </c>
      <c r="I42" s="571">
        <f>'Financial Statement1'!I45+'Financial Statement2'!I45+'Financial Statement3'!I45+'Financial Statement4'!I45</f>
        <v>0</v>
      </c>
      <c r="J42" s="571">
        <f>'Financial Statement1'!J45+'Financial Statement2'!J45+'Financial Statement3'!J45+'Financial Statement4'!J45</f>
        <v>0</v>
      </c>
      <c r="K42" s="572">
        <f>'Financial Statement1'!K45+'Financial Statement2'!K45+'Financial Statement3'!K45+'Financial Statement4'!K45</f>
        <v>0</v>
      </c>
      <c r="L42" s="412"/>
    </row>
    <row r="43" spans="1:12" s="413" customFormat="1" ht="15" customHeight="1" outlineLevel="1">
      <c r="B43" s="407"/>
      <c r="C43" s="1012"/>
      <c r="D43" s="428"/>
      <c r="E43" s="991" t="s">
        <v>642</v>
      </c>
      <c r="F43" s="992"/>
      <c r="G43" s="547">
        <f>'Financial Statement1'!G46+'Financial Statement2'!G46+'Financial Statement3'!G46+'Financial Statement4'!G46</f>
        <v>0</v>
      </c>
      <c r="H43" s="547">
        <f>'Financial Statement1'!H46+'Financial Statement2'!H46+'Financial Statement3'!H46+'Financial Statement4'!H46</f>
        <v>0</v>
      </c>
      <c r="I43" s="547">
        <f>'Financial Statement1'!I46+'Financial Statement2'!I46+'Financial Statement3'!I46+'Financial Statement4'!I46</f>
        <v>0</v>
      </c>
      <c r="J43" s="547">
        <f>'Financial Statement1'!J46+'Financial Statement2'!J46+'Financial Statement3'!J46+'Financial Statement4'!J46</f>
        <v>0</v>
      </c>
      <c r="K43" s="548">
        <f>'Financial Statement1'!K46+'Financial Statement2'!K46+'Financial Statement3'!K46+'Financial Statement4'!K46</f>
        <v>0</v>
      </c>
      <c r="L43" s="412"/>
    </row>
    <row r="44" spans="1:12" s="413" customFormat="1" ht="15" customHeight="1" outlineLevel="1">
      <c r="B44" s="407"/>
      <c r="C44" s="1012"/>
      <c r="D44" s="428"/>
      <c r="E44" s="1005" t="s">
        <v>279</v>
      </c>
      <c r="F44" s="1006"/>
      <c r="G44" s="589">
        <f>'Financial Statement1'!G47+'Financial Statement2'!G47+'Financial Statement3'!G47+'Financial Statement4'!G47</f>
        <v>0</v>
      </c>
      <c r="H44" s="589">
        <f>'Financial Statement1'!H47+'Financial Statement2'!H47+'Financial Statement3'!H47+'Financial Statement4'!H47</f>
        <v>0</v>
      </c>
      <c r="I44" s="547">
        <f>'Financial Statement1'!I47+'Financial Statement2'!I47+'Financial Statement3'!I47+'Financial Statement4'!I47</f>
        <v>0</v>
      </c>
      <c r="J44" s="547">
        <f>'Financial Statement1'!J47+'Financial Statement2'!J47+'Financial Statement3'!J47+'Financial Statement4'!J47</f>
        <v>0</v>
      </c>
      <c r="K44" s="548">
        <f>'Financial Statement1'!K47+'Financial Statement2'!K47+'Financial Statement3'!K47+'Financial Statement4'!K47</f>
        <v>0</v>
      </c>
      <c r="L44" s="412"/>
    </row>
    <row r="45" spans="1:12" s="388" customFormat="1" ht="15" customHeight="1">
      <c r="B45" s="403"/>
      <c r="C45" s="1012"/>
      <c r="D45" s="955" t="s">
        <v>643</v>
      </c>
      <c r="E45" s="956"/>
      <c r="F45" s="957"/>
      <c r="G45" s="543">
        <f>SUM(G46:G47)</f>
        <v>0</v>
      </c>
      <c r="H45" s="543">
        <f>SUM(H46:H47)</f>
        <v>0</v>
      </c>
      <c r="I45" s="543">
        <f>SUM(I46:I47)</f>
        <v>0</v>
      </c>
      <c r="J45" s="543">
        <f>SUM(J46:J47)</f>
        <v>0</v>
      </c>
      <c r="K45" s="544">
        <f>SUM(K46:K47)</f>
        <v>0</v>
      </c>
      <c r="L45" s="387"/>
    </row>
    <row r="46" spans="1:12" s="413" customFormat="1" ht="13.5" customHeight="1" outlineLevel="1">
      <c r="B46" s="407"/>
      <c r="C46" s="1012"/>
      <c r="D46" s="408"/>
      <c r="E46" s="997" t="s">
        <v>644</v>
      </c>
      <c r="F46" s="998"/>
      <c r="G46" s="571">
        <f>'Financial Statement1'!G49+'Financial Statement2'!G49+'Financial Statement3'!G49+'Financial Statement4'!G49</f>
        <v>0</v>
      </c>
      <c r="H46" s="571">
        <f>'Financial Statement1'!H49+'Financial Statement2'!H49+'Financial Statement3'!H49+'Financial Statement4'!H49</f>
        <v>0</v>
      </c>
      <c r="I46" s="571">
        <f>'Financial Statement1'!I49+'Financial Statement2'!I49+'Financial Statement3'!I49+'Financial Statement4'!I49</f>
        <v>0</v>
      </c>
      <c r="J46" s="571">
        <f>'Financial Statement1'!J49+'Financial Statement2'!J49+'Financial Statement3'!J49+'Financial Statement4'!J49</f>
        <v>0</v>
      </c>
      <c r="K46" s="572">
        <f>'Financial Statement1'!K49+'Financial Statement2'!K49+'Financial Statement3'!K49+'Financial Statement4'!K49</f>
        <v>0</v>
      </c>
      <c r="L46" s="412"/>
    </row>
    <row r="47" spans="1:12" s="413" customFormat="1" ht="13.5" customHeight="1" outlineLevel="1">
      <c r="B47" s="407"/>
      <c r="C47" s="1012"/>
      <c r="E47" s="991" t="s">
        <v>645</v>
      </c>
      <c r="F47" s="992"/>
      <c r="G47" s="547">
        <f>'Financial Statement1'!G50+'Financial Statement2'!G50+'Financial Statement3'!G50+'Financial Statement4'!G50</f>
        <v>0</v>
      </c>
      <c r="H47" s="547">
        <f>'Financial Statement1'!H50+'Financial Statement2'!H50+'Financial Statement3'!H50+'Financial Statement4'!H50</f>
        <v>0</v>
      </c>
      <c r="I47" s="547">
        <f>'Financial Statement1'!I50+'Financial Statement2'!I50+'Financial Statement3'!I50+'Financial Statement4'!I50</f>
        <v>0</v>
      </c>
      <c r="J47" s="547">
        <f>'Financial Statement1'!J50+'Financial Statement2'!J50+'Financial Statement3'!J50+'Financial Statement4'!J50</f>
        <v>0</v>
      </c>
      <c r="K47" s="548">
        <f>'Financial Statement1'!K50+'Financial Statement2'!K50+'Financial Statement3'!K50+'Financial Statement4'!K50</f>
        <v>0</v>
      </c>
      <c r="L47" s="412"/>
    </row>
    <row r="48" spans="1:12" s="388" customFormat="1" ht="15" customHeight="1">
      <c r="A48" s="413"/>
      <c r="B48" s="403"/>
      <c r="C48" s="1012"/>
      <c r="D48" s="955" t="s">
        <v>646</v>
      </c>
      <c r="E48" s="956"/>
      <c r="F48" s="957"/>
      <c r="G48" s="543">
        <f>SUM(G49:G50)</f>
        <v>0</v>
      </c>
      <c r="H48" s="543">
        <f>SUM(H49:H50)</f>
        <v>0</v>
      </c>
      <c r="I48" s="543">
        <f>SUM(I49:I50)</f>
        <v>0</v>
      </c>
      <c r="J48" s="543">
        <f>SUM(J49:J50)</f>
        <v>0</v>
      </c>
      <c r="K48" s="544">
        <f>SUM(K49:K50)</f>
        <v>0</v>
      </c>
      <c r="L48" s="387"/>
    </row>
    <row r="49" spans="1:12" s="413" customFormat="1" ht="13.5" customHeight="1" outlineLevel="1">
      <c r="B49" s="407"/>
      <c r="C49" s="1012"/>
      <c r="D49" s="408"/>
      <c r="E49" s="997" t="s">
        <v>647</v>
      </c>
      <c r="F49" s="998"/>
      <c r="G49" s="571">
        <f>'Financial Statement1'!G52+'Financial Statement2'!G52+'Financial Statement3'!G52+'Financial Statement4'!G52</f>
        <v>0</v>
      </c>
      <c r="H49" s="571">
        <f>'Financial Statement1'!H52+'Financial Statement2'!H52+'Financial Statement3'!H52+'Financial Statement4'!H52</f>
        <v>0</v>
      </c>
      <c r="I49" s="571">
        <f>'Financial Statement1'!I52+'Financial Statement2'!I52+'Financial Statement3'!I52+'Financial Statement4'!I52</f>
        <v>0</v>
      </c>
      <c r="J49" s="571">
        <f>'Financial Statement1'!J52+'Financial Statement2'!J52+'Financial Statement3'!J52+'Financial Statement4'!J52</f>
        <v>0</v>
      </c>
      <c r="K49" s="572">
        <f>'Financial Statement1'!K52+'Financial Statement2'!K52+'Financial Statement3'!K52+'Financial Statement4'!K52</f>
        <v>0</v>
      </c>
      <c r="L49" s="412"/>
    </row>
    <row r="50" spans="1:12" s="413" customFormat="1" ht="13.5" customHeight="1" outlineLevel="1" thickBot="1">
      <c r="B50" s="407"/>
      <c r="C50" s="1024"/>
      <c r="D50" s="426"/>
      <c r="E50" s="1017" t="s">
        <v>279</v>
      </c>
      <c r="F50" s="1018"/>
      <c r="G50" s="590">
        <f>'Financial Statement1'!G53+'Financial Statement2'!G53+'Financial Statement3'!G53+'Financial Statement4'!G53</f>
        <v>0</v>
      </c>
      <c r="H50" s="590">
        <f>'Financial Statement1'!H53+'Financial Statement2'!H53+'Financial Statement3'!H53+'Financial Statement4'!H53</f>
        <v>0</v>
      </c>
      <c r="I50" s="590">
        <f>'Financial Statement1'!I53+'Financial Statement2'!I53+'Financial Statement3'!I53+'Financial Statement4'!I53</f>
        <v>0</v>
      </c>
      <c r="J50" s="590">
        <f>'Financial Statement1'!J53+'Financial Statement2'!J53+'Financial Statement3'!J53+'Financial Statement4'!J53</f>
        <v>0</v>
      </c>
      <c r="K50" s="591">
        <f>'Financial Statement1'!K53+'Financial Statement2'!K53+'Financial Statement3'!K53+'Financial Statement4'!K53</f>
        <v>0</v>
      </c>
      <c r="L50" s="412"/>
    </row>
    <row r="51" spans="1:12" ht="16.5" customHeight="1" thickBot="1">
      <c r="A51" s="413"/>
      <c r="B51" s="379"/>
      <c r="C51" s="1010" t="s">
        <v>648</v>
      </c>
      <c r="D51" s="1011"/>
      <c r="E51" s="1011"/>
      <c r="F51" s="1011"/>
      <c r="G51" s="549">
        <f>G39-SUM(G41,G45,G48)</f>
        <v>0</v>
      </c>
      <c r="H51" s="549">
        <f>H39-SUM(H41,H45,H48)</f>
        <v>0</v>
      </c>
      <c r="I51" s="549">
        <f>I39-SUM(I41,I45,I48)</f>
        <v>0</v>
      </c>
      <c r="J51" s="549">
        <f>J39-SUM(J41,J45,J48)</f>
        <v>0</v>
      </c>
      <c r="K51" s="550">
        <f>K39-SUM(K41,K45,K48)</f>
        <v>0</v>
      </c>
      <c r="L51" s="378"/>
    </row>
    <row r="52" spans="1:12" ht="7.5" customHeight="1">
      <c r="B52" s="379"/>
      <c r="C52" s="967"/>
      <c r="D52" s="968"/>
      <c r="E52" s="968"/>
      <c r="F52" s="968"/>
      <c r="G52" s="968"/>
      <c r="H52" s="968"/>
      <c r="I52" s="968"/>
      <c r="J52" s="968"/>
      <c r="K52" s="969"/>
      <c r="L52" s="378"/>
    </row>
    <row r="53" spans="1:12" s="388" customFormat="1" ht="15" customHeight="1">
      <c r="A53" s="371"/>
      <c r="B53" s="403"/>
      <c r="C53" s="1012"/>
      <c r="D53" s="955" t="s">
        <v>649</v>
      </c>
      <c r="E53" s="956"/>
      <c r="F53" s="957"/>
      <c r="G53" s="551">
        <f>'Financial Statement1'!G56+'Financial Statement2'!G56+'Financial Statement3'!G56+'Financial Statement4'!G56</f>
        <v>0</v>
      </c>
      <c r="H53" s="551">
        <f>'Financial Statement1'!H56+'Financial Statement2'!H56+'Financial Statement3'!H56+'Financial Statement4'!H56</f>
        <v>0</v>
      </c>
      <c r="I53" s="551">
        <f>'Financial Statement1'!I56+'Financial Statement2'!I56+'Financial Statement3'!I56+'Financial Statement4'!I56</f>
        <v>0</v>
      </c>
      <c r="J53" s="551">
        <f>'Financial Statement1'!J56+'Financial Statement2'!J56+'Financial Statement3'!J56+'Financial Statement4'!J56</f>
        <v>0</v>
      </c>
      <c r="K53" s="552">
        <f>'Financial Statement1'!K56+'Financial Statement2'!K56+'Financial Statement3'!K56+'Financial Statement4'!K56</f>
        <v>0</v>
      </c>
      <c r="L53" s="387"/>
    </row>
    <row r="54" spans="1:12" s="388" customFormat="1" ht="15" customHeight="1">
      <c r="B54" s="403"/>
      <c r="C54" s="1012"/>
      <c r="D54" s="955" t="s">
        <v>650</v>
      </c>
      <c r="E54" s="956"/>
      <c r="F54" s="957"/>
      <c r="G54" s="551">
        <f>SUM(G56:G56)</f>
        <v>0</v>
      </c>
      <c r="H54" s="551">
        <f>SUM(H55:H56)</f>
        <v>0</v>
      </c>
      <c r="I54" s="551">
        <f>SUM(I55:I56)</f>
        <v>0</v>
      </c>
      <c r="J54" s="551">
        <f>SUM(J55:J56)</f>
        <v>0</v>
      </c>
      <c r="K54" s="552">
        <f>SUM(K56:K56)</f>
        <v>0</v>
      </c>
      <c r="L54" s="387"/>
    </row>
    <row r="55" spans="1:12" s="413" customFormat="1" ht="15" customHeight="1" outlineLevel="1">
      <c r="B55" s="407"/>
      <c r="C55" s="1012"/>
      <c r="D55" s="408"/>
      <c r="E55" s="997" t="s">
        <v>651</v>
      </c>
      <c r="F55" s="998"/>
      <c r="G55" s="571">
        <f>'Financial Statement1'!G58+'Financial Statement2'!G58+'Financial Statement3'!G58+'Financial Statement4'!G58</f>
        <v>0</v>
      </c>
      <c r="H55" s="571">
        <f>'Financial Statement1'!H58+'Financial Statement2'!H58+'Financial Statement3'!H58+'Financial Statement4'!H58</f>
        <v>0</v>
      </c>
      <c r="I55" s="571">
        <f>'Financial Statement1'!I58+'Financial Statement2'!I58+'Financial Statement3'!I58+'Financial Statement4'!I58</f>
        <v>0</v>
      </c>
      <c r="J55" s="571">
        <f>'Financial Statement1'!J58+'Financial Statement2'!J58+'Financial Statement3'!J58+'Financial Statement4'!J58</f>
        <v>0</v>
      </c>
      <c r="K55" s="572">
        <f>'Financial Statement1'!K58+'Financial Statement2'!K58+'Financial Statement3'!K58+'Financial Statement4'!K58</f>
        <v>0</v>
      </c>
      <c r="L55" s="412"/>
    </row>
    <row r="56" spans="1:12" s="413" customFormat="1" ht="15" customHeight="1" outlineLevel="1">
      <c r="B56" s="407"/>
      <c r="C56" s="1012"/>
      <c r="E56" s="991" t="s">
        <v>652</v>
      </c>
      <c r="F56" s="992"/>
      <c r="G56" s="547">
        <f>'Financial Statement1'!G59+'Financial Statement2'!G59+'Financial Statement3'!G59+'Financial Statement4'!G59</f>
        <v>0</v>
      </c>
      <c r="H56" s="547">
        <f>'Financial Statement1'!H59+'Financial Statement2'!H59+'Financial Statement3'!H59+'Financial Statement4'!H59</f>
        <v>0</v>
      </c>
      <c r="I56" s="547">
        <f>'Financial Statement1'!I59+'Financial Statement2'!I59+'Financial Statement3'!I59+'Financial Statement4'!I59</f>
        <v>0</v>
      </c>
      <c r="J56" s="547">
        <f>'Financial Statement1'!J59+'Financial Statement2'!J59+'Financial Statement3'!J59+'Financial Statement4'!J59</f>
        <v>0</v>
      </c>
      <c r="K56" s="548">
        <f>'Financial Statement1'!K59+'Financial Statement2'!K59+'Financial Statement3'!K59+'Financial Statement4'!K59</f>
        <v>0</v>
      </c>
      <c r="L56" s="412"/>
    </row>
    <row r="57" spans="1:12" s="388" customFormat="1" ht="15" customHeight="1">
      <c r="B57" s="403"/>
      <c r="C57" s="1012"/>
      <c r="D57" s="955" t="s">
        <v>653</v>
      </c>
      <c r="E57" s="956"/>
      <c r="F57" s="957"/>
      <c r="G57" s="551">
        <f>SUM(G58:G59)</f>
        <v>0</v>
      </c>
      <c r="H57" s="551">
        <f>SUM(H58:H59)</f>
        <v>0</v>
      </c>
      <c r="I57" s="551">
        <f>SUM(I58:I59)</f>
        <v>0</v>
      </c>
      <c r="J57" s="551">
        <f>SUM(J58:J59)</f>
        <v>0</v>
      </c>
      <c r="K57" s="552">
        <f>SUM(K58:K59)</f>
        <v>0</v>
      </c>
      <c r="L57" s="387"/>
    </row>
    <row r="58" spans="1:12" s="413" customFormat="1" ht="15" customHeight="1" outlineLevel="1">
      <c r="B58" s="407"/>
      <c r="C58" s="1012"/>
      <c r="D58" s="434"/>
      <c r="E58" s="1015" t="s">
        <v>654</v>
      </c>
      <c r="F58" s="1016"/>
      <c r="G58" s="571">
        <f>'Financial Statement1'!G61+'Financial Statement2'!G61+'Financial Statement3'!G61+'Financial Statement4'!G61</f>
        <v>0</v>
      </c>
      <c r="H58" s="571">
        <f>'Financial Statement1'!H61+'Financial Statement2'!H61+'Financial Statement3'!H61+'Financial Statement4'!H61</f>
        <v>0</v>
      </c>
      <c r="I58" s="571">
        <f>'Financial Statement1'!I61+'Financial Statement2'!I61+'Financial Statement3'!I61+'Financial Statement4'!I61</f>
        <v>0</v>
      </c>
      <c r="J58" s="571">
        <f>'Financial Statement1'!J61+'Financial Statement2'!J61+'Financial Statement3'!J61+'Financial Statement4'!J61</f>
        <v>0</v>
      </c>
      <c r="K58" s="572">
        <f>'Financial Statement1'!K61+'Financial Statement2'!K61+'Financial Statement3'!K61+'Financial Statement4'!K61</f>
        <v>0</v>
      </c>
      <c r="L58" s="412"/>
    </row>
    <row r="59" spans="1:12" s="413" customFormat="1" ht="15" customHeight="1" outlineLevel="1">
      <c r="B59" s="407"/>
      <c r="C59" s="1012"/>
      <c r="D59" s="428"/>
      <c r="E59" s="991" t="s">
        <v>655</v>
      </c>
      <c r="F59" s="992"/>
      <c r="G59" s="547">
        <f>'Financial Statement1'!G62+'Financial Statement2'!G62+'Financial Statement3'!G62+'Financial Statement4'!G62</f>
        <v>0</v>
      </c>
      <c r="H59" s="547">
        <f>'Financial Statement1'!H62+'Financial Statement2'!H62+'Financial Statement3'!H62+'Financial Statement4'!H62</f>
        <v>0</v>
      </c>
      <c r="I59" s="547">
        <f>'Financial Statement1'!I62+'Financial Statement2'!I62+'Financial Statement3'!I62+'Financial Statement4'!I62</f>
        <v>0</v>
      </c>
      <c r="J59" s="547">
        <f>'Financial Statement1'!J62+'Financial Statement2'!J62+'Financial Statement3'!J62+'Financial Statement4'!J62</f>
        <v>0</v>
      </c>
      <c r="K59" s="548">
        <f>'Financial Statement1'!K62+'Financial Statement2'!K62+'Financial Statement3'!K62+'Financial Statement4'!K62</f>
        <v>0</v>
      </c>
      <c r="L59" s="412"/>
    </row>
    <row r="60" spans="1:12" s="388" customFormat="1" ht="15" customHeight="1" thickBot="1">
      <c r="B60" s="403"/>
      <c r="C60" s="1024"/>
      <c r="D60" s="1007" t="s">
        <v>656</v>
      </c>
      <c r="E60" s="1008"/>
      <c r="F60" s="1009"/>
      <c r="G60" s="586">
        <f>'Financial Statement1'!G63+'Financial Statement2'!G63+'Financial Statement3'!G63+'Financial Statement4'!G63</f>
        <v>0</v>
      </c>
      <c r="H60" s="547">
        <f>'Financial Statement1'!H63+'Financial Statement2'!H63+'Financial Statement3'!H63+'Financial Statement4'!H63</f>
        <v>0</v>
      </c>
      <c r="I60" s="547">
        <f>'Financial Statement1'!I63+'Financial Statement2'!I63+'Financial Statement3'!I63+'Financial Statement4'!I63</f>
        <v>0</v>
      </c>
      <c r="J60" s="547">
        <f>'Financial Statement1'!J63+'Financial Statement2'!J63+'Financial Statement3'!J63+'Financial Statement4'!J63</f>
        <v>0</v>
      </c>
      <c r="K60" s="587">
        <f>'Financial Statement1'!K63+'Financial Statement2'!K63+'Financial Statement3'!K63+'Financial Statement4'!K63</f>
        <v>0</v>
      </c>
      <c r="L60" s="387"/>
    </row>
    <row r="61" spans="1:12" ht="16.5" customHeight="1" thickBot="1">
      <c r="A61" s="388"/>
      <c r="B61" s="379"/>
      <c r="C61" s="965" t="s">
        <v>657</v>
      </c>
      <c r="D61" s="966"/>
      <c r="E61" s="966"/>
      <c r="F61" s="966"/>
      <c r="G61" s="545">
        <f>G51-SUM(G53,G54,G57,G60)</f>
        <v>0</v>
      </c>
      <c r="H61" s="545">
        <f>H51-SUM(H53,H54,H57,H60)</f>
        <v>0</v>
      </c>
      <c r="I61" s="545">
        <f>I51-SUM(I53,I54,I57,I60)</f>
        <v>0</v>
      </c>
      <c r="J61" s="545">
        <f>J51-SUM(J53,J54,J57,J60)</f>
        <v>0</v>
      </c>
      <c r="K61" s="546">
        <f>K51-SUM(K53,K54,K57,K60)</f>
        <v>0</v>
      </c>
      <c r="L61" s="378"/>
    </row>
    <row r="62" spans="1:12" ht="7.5" customHeight="1">
      <c r="B62" s="379"/>
      <c r="C62" s="967"/>
      <c r="D62" s="968"/>
      <c r="E62" s="968"/>
      <c r="F62" s="968"/>
      <c r="G62" s="968"/>
      <c r="H62" s="968"/>
      <c r="I62" s="968"/>
      <c r="J62" s="968"/>
      <c r="K62" s="969"/>
      <c r="L62" s="378"/>
    </row>
    <row r="63" spans="1:12" s="388" customFormat="1" ht="15" customHeight="1">
      <c r="A63" s="371"/>
      <c r="B63" s="403"/>
      <c r="C63" s="1012"/>
      <c r="D63" s="955" t="s">
        <v>658</v>
      </c>
      <c r="E63" s="956"/>
      <c r="F63" s="957"/>
      <c r="G63" s="553">
        <f>SUM(G64:G68)</f>
        <v>0</v>
      </c>
      <c r="H63" s="553">
        <f t="shared" ref="H63:K63" si="2">SUM(H64:H68)</f>
        <v>0</v>
      </c>
      <c r="I63" s="553">
        <f t="shared" si="2"/>
        <v>0</v>
      </c>
      <c r="J63" s="553">
        <f t="shared" si="2"/>
        <v>0</v>
      </c>
      <c r="K63" s="554">
        <f t="shared" si="2"/>
        <v>0</v>
      </c>
      <c r="L63" s="387"/>
    </row>
    <row r="64" spans="1:12" s="413" customFormat="1" ht="13.5" customHeight="1" outlineLevel="1">
      <c r="A64" s="388"/>
      <c r="B64" s="407"/>
      <c r="C64" s="1012"/>
      <c r="D64" s="1038"/>
      <c r="E64" s="997" t="s">
        <v>659</v>
      </c>
      <c r="F64" s="998"/>
      <c r="G64" s="592">
        <f>'Financial Statement1'!G67+'Financial Statement2'!G67+'Financial Statement3'!G67+'Financial Statement4'!G67</f>
        <v>0</v>
      </c>
      <c r="H64" s="571">
        <f>'Financial Statement1'!H67+'Financial Statement2'!H67+'Financial Statement3'!H67+'Financial Statement4'!H67</f>
        <v>0</v>
      </c>
      <c r="I64" s="571">
        <f>'Financial Statement1'!I67+'Financial Statement2'!I67+'Financial Statement3'!I67+'Financial Statement4'!I67</f>
        <v>0</v>
      </c>
      <c r="J64" s="571">
        <f>'Financial Statement1'!J67+'Financial Statement2'!J67+'Financial Statement3'!J67+'Financial Statement4'!J67</f>
        <v>0</v>
      </c>
      <c r="K64" s="572">
        <f>'Financial Statement1'!K67+'Financial Statement2'!K67+'Financial Statement3'!K67+'Financial Statement4'!K67</f>
        <v>0</v>
      </c>
      <c r="L64" s="412"/>
    </row>
    <row r="65" spans="1:12" s="413" customFormat="1" ht="13.5" customHeight="1" outlineLevel="1">
      <c r="B65" s="407"/>
      <c r="C65" s="1012"/>
      <c r="D65" s="1001"/>
      <c r="E65" s="991" t="s">
        <v>660</v>
      </c>
      <c r="F65" s="992"/>
      <c r="G65" s="593">
        <f>'Financial Statement1'!G68+'Financial Statement2'!G68+'Financial Statement3'!G68+'Financial Statement4'!G68</f>
        <v>0</v>
      </c>
      <c r="H65" s="547">
        <f>'Financial Statement1'!H68+'Financial Statement2'!H68+'Financial Statement3'!H68+'Financial Statement4'!H68</f>
        <v>0</v>
      </c>
      <c r="I65" s="547">
        <f>'Financial Statement1'!I68+'Financial Statement2'!I68+'Financial Statement3'!I68+'Financial Statement4'!I68</f>
        <v>0</v>
      </c>
      <c r="J65" s="547">
        <f>'Financial Statement1'!J68+'Financial Statement2'!J68+'Financial Statement3'!J68+'Financial Statement4'!J68</f>
        <v>0</v>
      </c>
      <c r="K65" s="548">
        <f>'Financial Statement1'!K68+'Financial Statement2'!K68+'Financial Statement3'!K68+'Financial Statement4'!K68</f>
        <v>0</v>
      </c>
      <c r="L65" s="412"/>
    </row>
    <row r="66" spans="1:12" s="413" customFormat="1" ht="13.5" customHeight="1" outlineLevel="1">
      <c r="B66" s="407"/>
      <c r="C66" s="1012"/>
      <c r="D66" s="1001"/>
      <c r="E66" s="991" t="s">
        <v>661</v>
      </c>
      <c r="F66" s="992"/>
      <c r="G66" s="593">
        <f>'Financial Statement1'!G69+'Financial Statement2'!G69+'Financial Statement3'!G69+'Financial Statement4'!G69</f>
        <v>0</v>
      </c>
      <c r="H66" s="547">
        <f>'Financial Statement1'!H69+'Financial Statement2'!H69+'Financial Statement3'!H69+'Financial Statement4'!H69</f>
        <v>0</v>
      </c>
      <c r="I66" s="547">
        <f>'Financial Statement1'!I69+'Financial Statement2'!I69+'Financial Statement3'!I69+'Financial Statement4'!I69</f>
        <v>0</v>
      </c>
      <c r="J66" s="547">
        <f>'Financial Statement1'!J69+'Financial Statement2'!J69+'Financial Statement3'!J69+'Financial Statement4'!J69</f>
        <v>0</v>
      </c>
      <c r="K66" s="548">
        <f>'Financial Statement1'!K69+'Financial Statement2'!K69+'Financial Statement3'!K69+'Financial Statement4'!K69</f>
        <v>0</v>
      </c>
      <c r="L66" s="412"/>
    </row>
    <row r="67" spans="1:12" s="413" customFormat="1" ht="13.5" customHeight="1" outlineLevel="1">
      <c r="B67" s="407"/>
      <c r="C67" s="1012"/>
      <c r="D67" s="1001"/>
      <c r="E67" s="991" t="s">
        <v>123</v>
      </c>
      <c r="F67" s="992"/>
      <c r="G67" s="593">
        <f>'Financial Statement1'!G70+'Financial Statement2'!G70+'Financial Statement3'!G70+'Financial Statement4'!G70</f>
        <v>0</v>
      </c>
      <c r="H67" s="547">
        <f>'Financial Statement1'!H70+'Financial Statement2'!H70+'Financial Statement3'!H70+'Financial Statement4'!H70</f>
        <v>0</v>
      </c>
      <c r="I67" s="547">
        <f>'Financial Statement1'!I70+'Financial Statement2'!I70+'Financial Statement3'!I70+'Financial Statement4'!I70</f>
        <v>0</v>
      </c>
      <c r="J67" s="547">
        <f>'Financial Statement1'!J70+'Financial Statement2'!J70+'Financial Statement3'!J70+'Financial Statement4'!J70</f>
        <v>0</v>
      </c>
      <c r="K67" s="548">
        <f>'Financial Statement1'!K70+'Financial Statement2'!K70+'Financial Statement3'!K70+'Financial Statement4'!K70</f>
        <v>0</v>
      </c>
      <c r="L67" s="412"/>
    </row>
    <row r="68" spans="1:12" s="413" customFormat="1" ht="13.5" customHeight="1" outlineLevel="1">
      <c r="B68" s="407"/>
      <c r="C68" s="1012"/>
      <c r="E68" s="991" t="s">
        <v>662</v>
      </c>
      <c r="F68" s="992"/>
      <c r="G68" s="593">
        <f>'Financial Statement1'!G71+'Financial Statement2'!G71+'Financial Statement3'!G71+'Financial Statement4'!G71</f>
        <v>0</v>
      </c>
      <c r="H68" s="547">
        <f>'Financial Statement1'!H71+'Financial Statement2'!H71+'Financial Statement3'!H71+'Financial Statement4'!H71</f>
        <v>0</v>
      </c>
      <c r="I68" s="547">
        <f>'Financial Statement1'!I71+'Financial Statement2'!I71+'Financial Statement3'!I71+'Financial Statement4'!I71</f>
        <v>0</v>
      </c>
      <c r="J68" s="547">
        <f>'Financial Statement1'!J71+'Financial Statement2'!J71+'Financial Statement3'!J71+'Financial Statement4'!J71</f>
        <v>0</v>
      </c>
      <c r="K68" s="548">
        <f>'Financial Statement1'!K71+'Financial Statement2'!K71+'Financial Statement3'!K71+'Financial Statement4'!K71</f>
        <v>0</v>
      </c>
      <c r="L68" s="412"/>
    </row>
    <row r="69" spans="1:12" s="388" customFormat="1" ht="15" customHeight="1">
      <c r="A69" s="413"/>
      <c r="B69" s="403"/>
      <c r="C69" s="1012"/>
      <c r="D69" s="955" t="s">
        <v>663</v>
      </c>
      <c r="E69" s="956"/>
      <c r="F69" s="957"/>
      <c r="G69" s="543">
        <f>SUM(G70:G76)</f>
        <v>0</v>
      </c>
      <c r="H69" s="543">
        <f>SUM(H70:H76)</f>
        <v>0</v>
      </c>
      <c r="I69" s="543">
        <f>SUM(I70:I76)</f>
        <v>0</v>
      </c>
      <c r="J69" s="543">
        <f>SUM(J70:J76)</f>
        <v>0</v>
      </c>
      <c r="K69" s="418"/>
      <c r="L69" s="387"/>
    </row>
    <row r="70" spans="1:12" s="413" customFormat="1" ht="13.5" customHeight="1" outlineLevel="1">
      <c r="A70" s="388"/>
      <c r="B70" s="407"/>
      <c r="C70" s="1012"/>
      <c r="D70" s="1038"/>
      <c r="E70" s="1015" t="s">
        <v>664</v>
      </c>
      <c r="F70" s="1016"/>
      <c r="G70" s="571">
        <f>'Financial Statement1'!G73+'Financial Statement2'!G73+'Financial Statement3'!G73+'Financial Statement4'!G73</f>
        <v>0</v>
      </c>
      <c r="H70" s="571">
        <f>'Financial Statement1'!H73+'Financial Statement2'!H73+'Financial Statement3'!H73+'Financial Statement4'!H73</f>
        <v>0</v>
      </c>
      <c r="I70" s="571">
        <f>'Financial Statement1'!I73+'Financial Statement2'!I73+'Financial Statement3'!I73+'Financial Statement4'!I73</f>
        <v>0</v>
      </c>
      <c r="J70" s="571">
        <f>'Financial Statement1'!J73+'Financial Statement2'!J73+'Financial Statement3'!J73+'Financial Statement4'!J73</f>
        <v>0</v>
      </c>
      <c r="K70" s="572">
        <f>'Financial Statement1'!K73+'Financial Statement2'!K73+'Financial Statement3'!K73+'Financial Statement4'!K73</f>
        <v>0</v>
      </c>
      <c r="L70" s="412"/>
    </row>
    <row r="71" spans="1:12" s="413" customFormat="1" ht="13.5" customHeight="1" outlineLevel="1">
      <c r="B71" s="407"/>
      <c r="C71" s="1012"/>
      <c r="D71" s="1001"/>
      <c r="E71" s="1005" t="s">
        <v>665</v>
      </c>
      <c r="F71" s="1006"/>
      <c r="G71" s="547">
        <f>'Financial Statement1'!G74+'Financial Statement2'!G74+'Financial Statement3'!G74+'Financial Statement4'!G74</f>
        <v>0</v>
      </c>
      <c r="H71" s="547">
        <f>'Financial Statement1'!H74+'Financial Statement2'!H74+'Financial Statement3'!H74+'Financial Statement4'!H74</f>
        <v>0</v>
      </c>
      <c r="I71" s="547">
        <f>'Financial Statement1'!I74+'Financial Statement2'!I74+'Financial Statement3'!I74+'Financial Statement4'!I74</f>
        <v>0</v>
      </c>
      <c r="J71" s="547">
        <f>'Financial Statement1'!J74+'Financial Statement2'!J74+'Financial Statement3'!J74+'Financial Statement4'!J74</f>
        <v>0</v>
      </c>
      <c r="K71" s="548">
        <f>'Financial Statement1'!K74+'Financial Statement2'!K74+'Financial Statement3'!K74+'Financial Statement4'!K74</f>
        <v>0</v>
      </c>
      <c r="L71" s="412"/>
    </row>
    <row r="72" spans="1:12" s="413" customFormat="1" ht="13.5" customHeight="1" outlineLevel="1">
      <c r="B72" s="407"/>
      <c r="C72" s="1012"/>
      <c r="D72" s="1001"/>
      <c r="E72" s="1005" t="s">
        <v>666</v>
      </c>
      <c r="F72" s="1006"/>
      <c r="G72" s="547">
        <f>'Financial Statement1'!G75+'Financial Statement2'!G75+'Financial Statement3'!G75+'Financial Statement4'!G75</f>
        <v>0</v>
      </c>
      <c r="H72" s="547">
        <f>'Financial Statement1'!H75+'Financial Statement2'!H75+'Financial Statement3'!H75+'Financial Statement4'!H75</f>
        <v>0</v>
      </c>
      <c r="I72" s="547">
        <f>'Financial Statement1'!I75+'Financial Statement2'!I75+'Financial Statement3'!I75+'Financial Statement4'!I75</f>
        <v>0</v>
      </c>
      <c r="J72" s="547">
        <f>'Financial Statement1'!J75+'Financial Statement2'!J75+'Financial Statement3'!J75+'Financial Statement4'!J75</f>
        <v>0</v>
      </c>
      <c r="K72" s="548">
        <f>'Financial Statement1'!K75+'Financial Statement2'!K75+'Financial Statement3'!K75+'Financial Statement4'!K75</f>
        <v>0</v>
      </c>
      <c r="L72" s="412"/>
    </row>
    <row r="73" spans="1:12" s="413" customFormat="1" ht="13.5" customHeight="1" outlineLevel="1">
      <c r="B73" s="407"/>
      <c r="C73" s="1012"/>
      <c r="D73" s="1001"/>
      <c r="E73" s="1005" t="s">
        <v>667</v>
      </c>
      <c r="F73" s="1006"/>
      <c r="G73" s="547">
        <f>'Financial Statement1'!G76+'Financial Statement2'!G76+'Financial Statement3'!G76+'Financial Statement4'!G76</f>
        <v>0</v>
      </c>
      <c r="H73" s="547">
        <f>'Financial Statement1'!H76+'Financial Statement2'!H76+'Financial Statement3'!H76+'Financial Statement4'!H76</f>
        <v>0</v>
      </c>
      <c r="I73" s="547">
        <f>'Financial Statement1'!I76+'Financial Statement2'!I76+'Financial Statement3'!I76+'Financial Statement4'!I76</f>
        <v>0</v>
      </c>
      <c r="J73" s="547">
        <f>'Financial Statement1'!J76+'Financial Statement2'!J76+'Financial Statement3'!J76+'Financial Statement4'!J76</f>
        <v>0</v>
      </c>
      <c r="K73" s="548">
        <f>'Financial Statement1'!K76+'Financial Statement2'!K76+'Financial Statement3'!K76+'Financial Statement4'!K76</f>
        <v>0</v>
      </c>
      <c r="L73" s="412"/>
    </row>
    <row r="74" spans="1:12" s="413" customFormat="1" ht="13.5" customHeight="1" outlineLevel="1">
      <c r="B74" s="407"/>
      <c r="C74" s="1012"/>
      <c r="D74" s="1001"/>
      <c r="E74" s="1005" t="s">
        <v>668</v>
      </c>
      <c r="F74" s="1006"/>
      <c r="G74" s="547">
        <f>'Financial Statement1'!G77+'Financial Statement2'!G77+'Financial Statement3'!G77+'Financial Statement4'!G77</f>
        <v>0</v>
      </c>
      <c r="H74" s="547">
        <f>'Financial Statement1'!H77+'Financial Statement2'!H77+'Financial Statement3'!H77+'Financial Statement4'!H77</f>
        <v>0</v>
      </c>
      <c r="I74" s="547">
        <f>'Financial Statement1'!I77+'Financial Statement2'!I77+'Financial Statement3'!I77+'Financial Statement4'!I77</f>
        <v>0</v>
      </c>
      <c r="J74" s="547">
        <f>'Financial Statement1'!J77+'Financial Statement2'!J77+'Financial Statement3'!J77+'Financial Statement4'!J77</f>
        <v>0</v>
      </c>
      <c r="K74" s="548">
        <f>'Financial Statement1'!K77+'Financial Statement2'!K77+'Financial Statement3'!K77+'Financial Statement4'!K77</f>
        <v>0</v>
      </c>
      <c r="L74" s="412"/>
    </row>
    <row r="75" spans="1:12" s="413" customFormat="1" ht="13.5" customHeight="1" outlineLevel="1">
      <c r="B75" s="407"/>
      <c r="C75" s="1012"/>
      <c r="D75" s="1001"/>
      <c r="E75" s="1005" t="s">
        <v>669</v>
      </c>
      <c r="F75" s="1006"/>
      <c r="G75" s="547">
        <f>'Financial Statement1'!G78+'Financial Statement2'!G78+'Financial Statement3'!G78+'Financial Statement4'!G78</f>
        <v>0</v>
      </c>
      <c r="H75" s="547">
        <f>'Financial Statement1'!H78+'Financial Statement2'!H78+'Financial Statement3'!H78+'Financial Statement4'!H78</f>
        <v>0</v>
      </c>
      <c r="I75" s="547">
        <f>'Financial Statement1'!I78+'Financial Statement2'!I78+'Financial Statement3'!I78+'Financial Statement4'!I78</f>
        <v>0</v>
      </c>
      <c r="J75" s="547">
        <f>'Financial Statement1'!J78+'Financial Statement2'!J78+'Financial Statement3'!J78+'Financial Statement4'!J78</f>
        <v>0</v>
      </c>
      <c r="K75" s="548">
        <f>'Financial Statement1'!K78+'Financial Statement2'!K78+'Financial Statement3'!K78+'Financial Statement4'!K78</f>
        <v>0</v>
      </c>
      <c r="L75" s="412"/>
    </row>
    <row r="76" spans="1:12" s="413" customFormat="1" ht="13.5" customHeight="1" outlineLevel="1" thickBot="1">
      <c r="B76" s="407"/>
      <c r="C76" s="1024"/>
      <c r="D76" s="1039"/>
      <c r="E76" s="999" t="s">
        <v>279</v>
      </c>
      <c r="F76" s="1000"/>
      <c r="G76" s="590">
        <f>'Financial Statement1'!G79+'Financial Statement2'!G79+'Financial Statement3'!G79+'Financial Statement4'!G79</f>
        <v>0</v>
      </c>
      <c r="H76" s="590">
        <f>'Financial Statement1'!H79+'Financial Statement2'!H79+'Financial Statement3'!H79+'Financial Statement4'!H79</f>
        <v>0</v>
      </c>
      <c r="I76" s="590">
        <f>'Financial Statement1'!I79+'Financial Statement2'!I79+'Financial Statement3'!I79+'Financial Statement4'!I79</f>
        <v>0</v>
      </c>
      <c r="J76" s="590">
        <f>'Financial Statement1'!J79+'Financial Statement2'!J79+'Financial Statement3'!J79+'Financial Statement4'!J79</f>
        <v>0</v>
      </c>
      <c r="K76" s="591">
        <f>'Financial Statement1'!K79+'Financial Statement2'!K79+'Financial Statement3'!K79+'Financial Statement4'!K79</f>
        <v>0</v>
      </c>
      <c r="L76" s="412"/>
    </row>
    <row r="77" spans="1:12" ht="16.5" customHeight="1" thickBot="1">
      <c r="A77" s="413"/>
      <c r="B77" s="379"/>
      <c r="C77" s="1010" t="s">
        <v>670</v>
      </c>
      <c r="D77" s="1011"/>
      <c r="E77" s="1011"/>
      <c r="F77" s="1011"/>
      <c r="G77" s="549">
        <f>G61-G63+G69</f>
        <v>0</v>
      </c>
      <c r="H77" s="549">
        <f>H61-H63+H69</f>
        <v>0</v>
      </c>
      <c r="I77" s="549">
        <f>I61-I63+I69</f>
        <v>0</v>
      </c>
      <c r="J77" s="549">
        <f>J61-J63+J69</f>
        <v>0</v>
      </c>
      <c r="K77" s="550">
        <f>K61-K63+K69</f>
        <v>0</v>
      </c>
      <c r="L77" s="378"/>
    </row>
    <row r="78" spans="1:12" ht="7.5" customHeight="1">
      <c r="B78" s="379"/>
      <c r="C78" s="967"/>
      <c r="D78" s="968"/>
      <c r="E78" s="968"/>
      <c r="F78" s="968"/>
      <c r="G78" s="968"/>
      <c r="H78" s="968"/>
      <c r="I78" s="968"/>
      <c r="J78" s="968"/>
      <c r="K78" s="969"/>
      <c r="L78" s="378"/>
    </row>
    <row r="79" spans="1:12" s="388" customFormat="1" ht="15" customHeight="1" thickBot="1">
      <c r="A79" s="371"/>
      <c r="B79" s="403"/>
      <c r="C79" s="403"/>
      <c r="D79" s="1033" t="s">
        <v>671</v>
      </c>
      <c r="E79" s="1034"/>
      <c r="F79" s="1035"/>
      <c r="G79" s="594">
        <f>'Financial Statement1'!G82+'Financial Statement2'!G82+'Financial Statement3'!G82+'Financial Statement4'!G82</f>
        <v>0</v>
      </c>
      <c r="H79" s="551">
        <f>'Financial Statement1'!H82+'Financial Statement2'!H82+'Financial Statement3'!H82+'Financial Statement4'!H82</f>
        <v>0</v>
      </c>
      <c r="I79" s="551">
        <f>'Financial Statement1'!I82+'Financial Statement2'!I82+'Financial Statement3'!I82+'Financial Statement4'!I82</f>
        <v>0</v>
      </c>
      <c r="J79" s="551">
        <f>'Financial Statement1'!J82+'Financial Statement2'!J82+'Financial Statement3'!J82+'Financial Statement4'!J82</f>
        <v>0</v>
      </c>
      <c r="K79" s="552">
        <f>'Financial Statement1'!K82+'Financial Statement2'!K82+'Financial Statement3'!K82+'Financial Statement4'!K82</f>
        <v>0</v>
      </c>
      <c r="L79" s="440"/>
    </row>
    <row r="80" spans="1:12" ht="16.5" customHeight="1" thickBot="1">
      <c r="A80" s="388"/>
      <c r="B80" s="379"/>
      <c r="C80" s="965" t="s">
        <v>115</v>
      </c>
      <c r="D80" s="966"/>
      <c r="E80" s="966"/>
      <c r="F80" s="966"/>
      <c r="G80" s="545">
        <f>G77+G79</f>
        <v>0</v>
      </c>
      <c r="H80" s="545">
        <f>H77+H79</f>
        <v>0</v>
      </c>
      <c r="I80" s="545">
        <f>I77+I79</f>
        <v>0</v>
      </c>
      <c r="J80" s="545">
        <f>J77+J79</f>
        <v>0</v>
      </c>
      <c r="K80" s="546">
        <f>K77+K79</f>
        <v>0</v>
      </c>
      <c r="L80" s="378"/>
    </row>
    <row r="81" spans="1:12" ht="7.5" customHeight="1">
      <c r="B81" s="379"/>
      <c r="C81" s="933"/>
      <c r="D81" s="934"/>
      <c r="E81" s="934"/>
      <c r="F81" s="934"/>
      <c r="G81" s="934"/>
      <c r="H81" s="934"/>
      <c r="I81" s="934"/>
      <c r="J81" s="934"/>
      <c r="K81" s="935"/>
      <c r="L81" s="378"/>
    </row>
    <row r="82" spans="1:12" s="388" customFormat="1" ht="15" customHeight="1">
      <c r="B82" s="403"/>
      <c r="C82" s="403"/>
      <c r="D82" s="1036" t="s">
        <v>672</v>
      </c>
      <c r="E82" s="1036"/>
      <c r="F82" s="1037"/>
      <c r="G82" s="539">
        <f>SUM(G83,G84)</f>
        <v>0</v>
      </c>
      <c r="H82" s="539">
        <f>SUM(H83,H84)</f>
        <v>0</v>
      </c>
      <c r="I82" s="539">
        <f>SUM(I83,I84)</f>
        <v>0</v>
      </c>
      <c r="J82" s="539">
        <f>SUM(J83,J84)</f>
        <v>0</v>
      </c>
      <c r="K82" s="540">
        <f>SUM(K83,K84)</f>
        <v>0</v>
      </c>
      <c r="L82" s="387"/>
    </row>
    <row r="83" spans="1:12" s="413" customFormat="1" ht="15" customHeight="1" outlineLevel="1">
      <c r="B83" s="407"/>
      <c r="C83" s="1012"/>
      <c r="D83" s="408"/>
      <c r="E83" s="997" t="s">
        <v>673</v>
      </c>
      <c r="F83" s="998"/>
      <c r="G83" s="571">
        <f>'Financial Statement1'!G86+'Financial Statement2'!G86+'Financial Statement3'!G86+'Financial Statement4'!G86</f>
        <v>0</v>
      </c>
      <c r="H83" s="571">
        <f>'Financial Statement1'!H86+'Financial Statement2'!H86+'Financial Statement3'!H86+'Financial Statement4'!H86</f>
        <v>0</v>
      </c>
      <c r="I83" s="571">
        <f>'Financial Statement1'!I86+'Financial Statement2'!I86+'Financial Statement3'!I86+'Financial Statement4'!I86</f>
        <v>0</v>
      </c>
      <c r="J83" s="571">
        <f>'Financial Statement1'!J86+'Financial Statement2'!J86+'Financial Statement3'!J86+'Financial Statement4'!J86</f>
        <v>0</v>
      </c>
      <c r="K83" s="572">
        <f>'Financial Statement1'!K86+'Financial Statement2'!K86+'Financial Statement3'!K86+'Financial Statement4'!K86</f>
        <v>0</v>
      </c>
      <c r="L83" s="412"/>
    </row>
    <row r="84" spans="1:12" s="413" customFormat="1" ht="15" customHeight="1" outlineLevel="1">
      <c r="B84" s="407"/>
      <c r="C84" s="1012"/>
      <c r="E84" s="991" t="s">
        <v>674</v>
      </c>
      <c r="F84" s="992"/>
      <c r="G84" s="547">
        <f>'Financial Statement1'!G87+'Financial Statement2'!G87+'Financial Statement3'!G87+'Financial Statement4'!G87</f>
        <v>0</v>
      </c>
      <c r="H84" s="547">
        <f>'Financial Statement1'!H87+'Financial Statement2'!H87+'Financial Statement3'!H87+'Financial Statement4'!H87</f>
        <v>0</v>
      </c>
      <c r="I84" s="547">
        <f>'Financial Statement1'!I87+'Financial Statement2'!I87+'Financial Statement3'!I87+'Financial Statement4'!I87</f>
        <v>0</v>
      </c>
      <c r="J84" s="547">
        <f>'Financial Statement1'!J87+'Financial Statement2'!J87+'Financial Statement3'!J87+'Financial Statement4'!J87</f>
        <v>0</v>
      </c>
      <c r="K84" s="548">
        <f>'Financial Statement1'!K87+'Financial Statement2'!K87+'Financial Statement3'!K87+'Financial Statement4'!K87</f>
        <v>0</v>
      </c>
      <c r="L84" s="412"/>
    </row>
    <row r="85" spans="1:12" s="388" customFormat="1" ht="15" customHeight="1">
      <c r="B85" s="403"/>
      <c r="C85" s="1012"/>
      <c r="D85" s="955" t="s">
        <v>675</v>
      </c>
      <c r="E85" s="956"/>
      <c r="F85" s="957"/>
      <c r="G85" s="555" t="str">
        <f>IFERROR(G83/G80,"-")</f>
        <v>-</v>
      </c>
      <c r="H85" s="555" t="str">
        <f>IFERROR(H83/H80,"-")</f>
        <v>-</v>
      </c>
      <c r="I85" s="555" t="str">
        <f>IFERROR(I83/I80,"-")</f>
        <v>-</v>
      </c>
      <c r="J85" s="555" t="str">
        <f>IFERROR(J83/J80,"-")</f>
        <v>-</v>
      </c>
      <c r="K85" s="556" t="str">
        <f>IFERROR(K83/K80,"-")</f>
        <v>-</v>
      </c>
      <c r="L85" s="387"/>
    </row>
    <row r="86" spans="1:12" s="448" customFormat="1" ht="12.75">
      <c r="A86" s="443"/>
      <c r="B86" s="444"/>
      <c r="C86" s="1028"/>
      <c r="D86" s="1029" t="s">
        <v>676</v>
      </c>
      <c r="E86" s="1029"/>
      <c r="F86" s="1030"/>
      <c r="G86" s="445"/>
      <c r="H86" s="445"/>
      <c r="I86" s="445"/>
      <c r="J86" s="445"/>
      <c r="K86" s="446"/>
      <c r="L86" s="447"/>
    </row>
    <row r="87" spans="1:12" s="449" customFormat="1" ht="12" thickBot="1">
      <c r="B87" s="450"/>
      <c r="C87" s="1028"/>
      <c r="D87" s="1031" t="s">
        <v>677</v>
      </c>
      <c r="E87" s="1031"/>
      <c r="F87" s="1032"/>
      <c r="G87" s="451"/>
      <c r="H87" s="557">
        <f>IF((H86-G86)/30&lt;0,"No Data",(H86-G86)/30)</f>
        <v>0</v>
      </c>
      <c r="I87" s="557">
        <f>IF((I86-H86)/30&lt;0,"No Data",(I86-H86)/30)</f>
        <v>0</v>
      </c>
      <c r="J87" s="557">
        <f>IF((J86-I86)/30&lt;0,"No Data",(J86-I86)/30)</f>
        <v>0</v>
      </c>
      <c r="K87" s="558">
        <f>IF((K86-J86)/30&lt;0,"No Data",(K86-J86)/30)</f>
        <v>0</v>
      </c>
      <c r="L87" s="454"/>
    </row>
    <row r="88" spans="1:12" ht="16.5" customHeight="1" thickBot="1">
      <c r="A88" s="449"/>
      <c r="B88" s="379"/>
      <c r="C88" s="958" t="s">
        <v>17</v>
      </c>
      <c r="D88" s="959"/>
      <c r="E88" s="959"/>
      <c r="F88" s="959"/>
      <c r="G88" s="559">
        <f>G80-SUM(G83:G84)</f>
        <v>0</v>
      </c>
      <c r="H88" s="559">
        <f>H80-SUM(H83:H84)</f>
        <v>0</v>
      </c>
      <c r="I88" s="559">
        <f>I80-SUM(I83:I84)</f>
        <v>0</v>
      </c>
      <c r="J88" s="559">
        <f>J80-SUM(J83:J84)</f>
        <v>0</v>
      </c>
      <c r="K88" s="560">
        <f>K80-SUM(K83:K84)</f>
        <v>0</v>
      </c>
      <c r="L88" s="378"/>
    </row>
    <row r="89" spans="1:12" ht="7.5" customHeight="1">
      <c r="B89" s="379"/>
      <c r="C89" s="967"/>
      <c r="D89" s="968"/>
      <c r="E89" s="968"/>
      <c r="F89" s="968"/>
      <c r="G89" s="968"/>
      <c r="H89" s="968"/>
      <c r="I89" s="968"/>
      <c r="J89" s="968"/>
      <c r="K89" s="969"/>
      <c r="L89" s="378"/>
    </row>
    <row r="90" spans="1:12" ht="14.25" customHeight="1" thickBot="1">
      <c r="B90" s="379"/>
      <c r="C90" s="379"/>
      <c r="D90" s="955" t="s">
        <v>678</v>
      </c>
      <c r="E90" s="956"/>
      <c r="F90" s="957"/>
      <c r="G90" s="543">
        <f>'Financial Statement1'!G93+'Financial Statement2'!G93+'Financial Statement3'!G93+'Financial Statement4'!G93</f>
        <v>0</v>
      </c>
      <c r="H90" s="543">
        <f>'Financial Statement1'!H93+'Financial Statement2'!H93+'Financial Statement3'!H93+'Financial Statement4'!H93</f>
        <v>0</v>
      </c>
      <c r="I90" s="543">
        <f>'Financial Statement1'!I93+'Financial Statement2'!I93+'Financial Statement3'!I93+'Financial Statement4'!I93</f>
        <v>0</v>
      </c>
      <c r="J90" s="543">
        <f>'Financial Statement1'!J93+'Financial Statement2'!J93+'Financial Statement3'!J93+'Financial Statement4'!J93</f>
        <v>0</v>
      </c>
      <c r="K90" s="544">
        <f>'Financial Statement1'!K93+'Financial Statement2'!K93+'Financial Statement3'!K93+'Financial Statement4'!K93</f>
        <v>0</v>
      </c>
      <c r="L90" s="378"/>
    </row>
    <row r="91" spans="1:12" ht="16.5" customHeight="1" thickBot="1">
      <c r="A91" s="449"/>
      <c r="B91" s="379"/>
      <c r="C91" s="958" t="s">
        <v>679</v>
      </c>
      <c r="D91" s="959"/>
      <c r="E91" s="959"/>
      <c r="F91" s="959"/>
      <c r="G91" s="559">
        <f>G88+G90</f>
        <v>0</v>
      </c>
      <c r="H91" s="559">
        <f>H88+H90</f>
        <v>0</v>
      </c>
      <c r="I91" s="559">
        <f>I88+I90</f>
        <v>0</v>
      </c>
      <c r="J91" s="559">
        <f>J88+J90</f>
        <v>0</v>
      </c>
      <c r="K91" s="560">
        <f>K88+K90</f>
        <v>0</v>
      </c>
      <c r="L91" s="378"/>
    </row>
    <row r="92" spans="1:12" ht="15" customHeight="1">
      <c r="B92" s="379"/>
      <c r="C92" s="379"/>
      <c r="D92" s="955" t="s">
        <v>680</v>
      </c>
      <c r="E92" s="956"/>
      <c r="F92" s="957"/>
      <c r="G92" s="543">
        <f>G93+G94</f>
        <v>0</v>
      </c>
      <c r="H92" s="543">
        <f>H93+H94</f>
        <v>0</v>
      </c>
      <c r="I92" s="543">
        <f>I93+I94</f>
        <v>0</v>
      </c>
      <c r="J92" s="543">
        <f>J93+J94</f>
        <v>0</v>
      </c>
      <c r="K92" s="544">
        <f>K93+K94</f>
        <v>0</v>
      </c>
      <c r="L92" s="378"/>
    </row>
    <row r="93" spans="1:12" s="413" customFormat="1" ht="15" customHeight="1" outlineLevel="1">
      <c r="B93" s="407"/>
      <c r="C93" s="407"/>
      <c r="D93" s="408"/>
      <c r="E93" s="1015" t="s">
        <v>681</v>
      </c>
      <c r="F93" s="1016"/>
      <c r="G93" s="571">
        <f>'Financial Statement1'!G96+'Financial Statement2'!G96+'Financial Statement3'!G96+'Financial Statement4'!G96</f>
        <v>0</v>
      </c>
      <c r="H93" s="571">
        <f>'Financial Statement1'!H96+'Financial Statement2'!H96+'Financial Statement3'!H96+'Financial Statement4'!H96</f>
        <v>0</v>
      </c>
      <c r="I93" s="571">
        <f>'Financial Statement1'!I96+'Financial Statement2'!I96+'Financial Statement3'!I96+'Financial Statement4'!I96</f>
        <v>0</v>
      </c>
      <c r="J93" s="571">
        <f>'Financial Statement1'!J96+'Financial Statement2'!J96+'Financial Statement3'!J96+'Financial Statement4'!J96</f>
        <v>0</v>
      </c>
      <c r="K93" s="572">
        <f>'Financial Statement1'!K96+'Financial Statement2'!K96+'Financial Statement3'!K96+'Financial Statement4'!K96</f>
        <v>0</v>
      </c>
      <c r="L93" s="412"/>
    </row>
    <row r="94" spans="1:12" s="413" customFormat="1" ht="15" customHeight="1" outlineLevel="1">
      <c r="B94" s="407"/>
      <c r="C94" s="407"/>
      <c r="E94" s="1005" t="s">
        <v>682</v>
      </c>
      <c r="F94" s="1006"/>
      <c r="G94" s="547">
        <f>'Financial Statement1'!G97+'Financial Statement2'!G97+'Financial Statement3'!G97+'Financial Statement4'!G97</f>
        <v>0</v>
      </c>
      <c r="H94" s="547">
        <f>'Financial Statement1'!H97+'Financial Statement2'!H97+'Financial Statement3'!H97+'Financial Statement4'!H97</f>
        <v>0</v>
      </c>
      <c r="I94" s="547">
        <f>'Financial Statement1'!I97+'Financial Statement2'!I97+'Financial Statement3'!I97+'Financial Statement4'!I97</f>
        <v>0</v>
      </c>
      <c r="J94" s="547">
        <f>'Financial Statement1'!J97+'Financial Statement2'!J97+'Financial Statement3'!J97+'Financial Statement4'!J97</f>
        <v>0</v>
      </c>
      <c r="K94" s="548">
        <f>'Financial Statement1'!K97+'Financial Statement2'!K97+'Financial Statement3'!K97+'Financial Statement4'!K97</f>
        <v>0</v>
      </c>
      <c r="L94" s="412"/>
    </row>
    <row r="95" spans="1:12" s="388" customFormat="1" ht="15" customHeight="1">
      <c r="A95" s="371"/>
      <c r="B95" s="403"/>
      <c r="C95" s="1025" t="s">
        <v>683</v>
      </c>
      <c r="D95" s="1026"/>
      <c r="E95" s="1026"/>
      <c r="F95" s="1027"/>
      <c r="G95" s="561">
        <f>G88-G92</f>
        <v>0</v>
      </c>
      <c r="H95" s="561">
        <f>H88-H92</f>
        <v>0</v>
      </c>
      <c r="I95" s="561">
        <f>I88-I92</f>
        <v>0</v>
      </c>
      <c r="J95" s="561">
        <f>J88-J92</f>
        <v>0</v>
      </c>
      <c r="K95" s="562">
        <f>K88-K92</f>
        <v>0</v>
      </c>
      <c r="L95" s="387"/>
    </row>
    <row r="96" spans="1:12" s="388" customFormat="1" ht="15" customHeight="1">
      <c r="B96" s="403"/>
      <c r="C96" s="1025" t="s">
        <v>684</v>
      </c>
      <c r="D96" s="1026"/>
      <c r="E96" s="1026"/>
      <c r="F96" s="1027"/>
      <c r="G96" s="561">
        <f>G88+G53+G54+G59+G45</f>
        <v>0</v>
      </c>
      <c r="H96" s="561">
        <f>H88+H53+H54+H59+H45</f>
        <v>0</v>
      </c>
      <c r="I96" s="561">
        <f>I88+I53+I54+I59+I45</f>
        <v>0</v>
      </c>
      <c r="J96" s="561">
        <f>J88+J53+J54+J59+J45</f>
        <v>0</v>
      </c>
      <c r="K96" s="562">
        <f>K88+K53+K54+K59+K45</f>
        <v>0</v>
      </c>
      <c r="L96" s="387"/>
    </row>
    <row r="97" spans="1:12" ht="13.5" customHeight="1" thickBot="1">
      <c r="A97" s="388"/>
      <c r="B97" s="379"/>
      <c r="C97" s="459"/>
      <c r="D97" s="460"/>
      <c r="E97" s="460"/>
      <c r="F97" s="461"/>
      <c r="G97" s="462"/>
      <c r="H97" s="463"/>
      <c r="I97" s="463"/>
      <c r="J97" s="463"/>
      <c r="K97" s="464"/>
      <c r="L97" s="378"/>
    </row>
    <row r="98" spans="1:12" ht="20.25" thickBot="1">
      <c r="B98" s="379"/>
      <c r="C98" s="942" t="s">
        <v>685</v>
      </c>
      <c r="D98" s="943"/>
      <c r="E98" s="943"/>
      <c r="F98" s="943"/>
      <c r="G98" s="943"/>
      <c r="H98" s="943"/>
      <c r="I98" s="943"/>
      <c r="J98" s="943"/>
      <c r="K98" s="944"/>
      <c r="L98" s="378"/>
    </row>
    <row r="99" spans="1:12" ht="16.5" customHeight="1" thickBot="1">
      <c r="B99" s="379"/>
      <c r="C99" s="945" t="s">
        <v>611</v>
      </c>
      <c r="D99" s="946"/>
      <c r="E99" s="946"/>
      <c r="F99" s="947" t="s">
        <v>685</v>
      </c>
      <c r="G99" s="563" t="str">
        <f>G5</f>
        <v>-</v>
      </c>
      <c r="H99" s="563" t="str">
        <f>H5</f>
        <v>-</v>
      </c>
      <c r="I99" s="563" t="str">
        <f>I5</f>
        <v>-</v>
      </c>
      <c r="J99" s="563" t="str">
        <f>J5</f>
        <v>-</v>
      </c>
      <c r="K99" s="564" t="str">
        <f>K5</f>
        <v>-</v>
      </c>
      <c r="L99" s="378"/>
    </row>
    <row r="100" spans="1:12" ht="15" thickBot="1">
      <c r="B100" s="379"/>
      <c r="C100" s="933"/>
      <c r="D100" s="934"/>
      <c r="E100" s="934"/>
      <c r="F100" s="934"/>
      <c r="G100" s="934"/>
      <c r="H100" s="934"/>
      <c r="I100" s="934"/>
      <c r="J100" s="934"/>
      <c r="K100" s="935"/>
      <c r="L100" s="378"/>
    </row>
    <row r="101" spans="1:12" ht="18">
      <c r="B101" s="379"/>
      <c r="C101" s="1019" t="s">
        <v>686</v>
      </c>
      <c r="D101" s="1020"/>
      <c r="E101" s="1020"/>
      <c r="F101" s="1020"/>
      <c r="G101" s="1020"/>
      <c r="H101" s="1020"/>
      <c r="I101" s="1020"/>
      <c r="J101" s="1020"/>
      <c r="K101" s="1021"/>
      <c r="L101" s="378"/>
    </row>
    <row r="102" spans="1:12" ht="16.5" customHeight="1">
      <c r="B102" s="379"/>
      <c r="C102" s="970" t="s">
        <v>687</v>
      </c>
      <c r="D102" s="971"/>
      <c r="E102" s="971"/>
      <c r="F102" s="971"/>
      <c r="G102" s="467"/>
      <c r="H102" s="468"/>
      <c r="I102" s="468"/>
      <c r="J102" s="468"/>
      <c r="K102" s="469"/>
      <c r="L102" s="378"/>
    </row>
    <row r="103" spans="1:12" ht="16.5" customHeight="1">
      <c r="B103" s="379"/>
      <c r="C103" s="470"/>
      <c r="D103" s="1022" t="s">
        <v>688</v>
      </c>
      <c r="E103" s="1022"/>
      <c r="F103" s="1023"/>
      <c r="G103" s="543">
        <f>SUM(G104:G108)</f>
        <v>0</v>
      </c>
      <c r="H103" s="543">
        <f>SUM(H104:H108)</f>
        <v>0</v>
      </c>
      <c r="I103" s="543">
        <f>SUM(I104:I108)</f>
        <v>0</v>
      </c>
      <c r="J103" s="543">
        <f>SUM(J104:J108)</f>
        <v>0</v>
      </c>
      <c r="K103" s="544">
        <f>SUM(K104:K108)</f>
        <v>0</v>
      </c>
      <c r="L103" s="378"/>
    </row>
    <row r="104" spans="1:12" s="413" customFormat="1" ht="15" customHeight="1" outlineLevel="1">
      <c r="B104" s="407"/>
      <c r="C104" s="1012"/>
      <c r="D104" s="408"/>
      <c r="E104" s="997" t="s">
        <v>689</v>
      </c>
      <c r="F104" s="998"/>
      <c r="G104" s="571">
        <f>'Financial Statement1'!G107+'Financial Statement2'!G107+'Financial Statement3'!G107+'Financial Statement4'!G107</f>
        <v>0</v>
      </c>
      <c r="H104" s="571">
        <f>'Financial Statement1'!H107+'Financial Statement2'!H107+'Financial Statement3'!H107+'Financial Statement4'!H107</f>
        <v>0</v>
      </c>
      <c r="I104" s="595">
        <f>'Financial Statement1'!I107+'Financial Statement2'!I107+'Financial Statement3'!I107+'Financial Statement4'!I107</f>
        <v>0</v>
      </c>
      <c r="J104" s="595">
        <f>'Financial Statement1'!J107+'Financial Statement2'!J107+'Financial Statement3'!J107+'Financial Statement4'!J107</f>
        <v>0</v>
      </c>
      <c r="K104" s="572">
        <f>'Financial Statement1'!K107+'Financial Statement2'!K107+'Financial Statement3'!K107+'Financial Statement4'!K107</f>
        <v>0</v>
      </c>
      <c r="L104" s="412"/>
    </row>
    <row r="105" spans="1:12" s="413" customFormat="1" ht="15" customHeight="1" outlineLevel="1">
      <c r="B105" s="407"/>
      <c r="C105" s="1012"/>
      <c r="E105" s="1005" t="s">
        <v>690</v>
      </c>
      <c r="F105" s="1006"/>
      <c r="G105" s="593">
        <f>'Financial Statement1'!G108+'Financial Statement2'!G108+'Financial Statement3'!G108+'Financial Statement4'!G108</f>
        <v>0</v>
      </c>
      <c r="H105" s="593">
        <f>'Financial Statement1'!H108+'Financial Statement2'!H108+'Financial Statement3'!H108+'Financial Statement4'!H108</f>
        <v>0</v>
      </c>
      <c r="I105" s="593">
        <f>'Financial Statement1'!I108+'Financial Statement2'!I108+'Financial Statement3'!I108+'Financial Statement4'!I108</f>
        <v>0</v>
      </c>
      <c r="J105" s="593">
        <f>'Financial Statement1'!J108+'Financial Statement2'!J108+'Financial Statement3'!J108+'Financial Statement4'!J108</f>
        <v>0</v>
      </c>
      <c r="K105" s="548">
        <f>'Financial Statement1'!K108+'Financial Statement2'!K108+'Financial Statement3'!K108+'Financial Statement4'!K108</f>
        <v>0</v>
      </c>
      <c r="L105" s="412"/>
    </row>
    <row r="106" spans="1:12" s="413" customFormat="1" ht="15" customHeight="1" outlineLevel="1">
      <c r="B106" s="407"/>
      <c r="C106" s="1012"/>
      <c r="E106" s="1005" t="s">
        <v>691</v>
      </c>
      <c r="F106" s="1006"/>
      <c r="G106" s="593">
        <f>'Financial Statement1'!G109+'Financial Statement2'!G109+'Financial Statement3'!G109+'Financial Statement4'!G109</f>
        <v>0</v>
      </c>
      <c r="H106" s="593">
        <f>'Financial Statement1'!H109+'Financial Statement2'!H109+'Financial Statement3'!H109+'Financial Statement4'!H109</f>
        <v>0</v>
      </c>
      <c r="I106" s="593">
        <f>'Financial Statement1'!I109+'Financial Statement2'!I109+'Financial Statement3'!I109+'Financial Statement4'!I109</f>
        <v>0</v>
      </c>
      <c r="J106" s="593">
        <f>'Financial Statement1'!J109+'Financial Statement2'!J109+'Financial Statement3'!J109+'Financial Statement4'!J109</f>
        <v>0</v>
      </c>
      <c r="K106" s="548">
        <f>'Financial Statement1'!K109+'Financial Statement2'!K109+'Financial Statement3'!K109+'Financial Statement4'!K109</f>
        <v>0</v>
      </c>
      <c r="L106" s="412"/>
    </row>
    <row r="107" spans="1:12" s="413" customFormat="1" ht="15" customHeight="1" outlineLevel="1">
      <c r="B107" s="407"/>
      <c r="C107" s="1012"/>
      <c r="E107" s="1005" t="s">
        <v>692</v>
      </c>
      <c r="F107" s="1006"/>
      <c r="G107" s="593">
        <f>'Financial Statement1'!G110+'Financial Statement2'!G110+'Financial Statement3'!G110+'Financial Statement4'!G110</f>
        <v>0</v>
      </c>
      <c r="H107" s="593">
        <f>'Financial Statement1'!H110+'Financial Statement2'!H110+'Financial Statement3'!H110+'Financial Statement4'!H110</f>
        <v>0</v>
      </c>
      <c r="I107" s="593">
        <f>'Financial Statement1'!I110+'Financial Statement2'!I110+'Financial Statement3'!I110+'Financial Statement4'!I110</f>
        <v>0</v>
      </c>
      <c r="J107" s="593">
        <f>'Financial Statement1'!J110+'Financial Statement2'!J110+'Financial Statement3'!J110+'Financial Statement4'!J110</f>
        <v>0</v>
      </c>
      <c r="K107" s="548">
        <f>'Financial Statement1'!K110+'Financial Statement2'!K110+'Financial Statement3'!K110+'Financial Statement4'!K110</f>
        <v>0</v>
      </c>
      <c r="L107" s="412"/>
    </row>
    <row r="108" spans="1:12" s="413" customFormat="1" ht="15" customHeight="1" outlineLevel="1">
      <c r="B108" s="407"/>
      <c r="C108" s="1012"/>
      <c r="E108" s="1005" t="s">
        <v>693</v>
      </c>
      <c r="F108" s="1006"/>
      <c r="G108" s="593">
        <f>'Financial Statement1'!G111+'Financial Statement2'!G111+'Financial Statement3'!G111+'Financial Statement4'!G111</f>
        <v>0</v>
      </c>
      <c r="H108" s="593">
        <f>'Financial Statement1'!H111+'Financial Statement2'!H111+'Financial Statement3'!H111+'Financial Statement4'!H111</f>
        <v>0</v>
      </c>
      <c r="I108" s="593">
        <f>'Financial Statement1'!I111+'Financial Statement2'!I111+'Financial Statement3'!I111+'Financial Statement4'!I111</f>
        <v>0</v>
      </c>
      <c r="J108" s="593">
        <f>'Financial Statement1'!J111+'Financial Statement2'!J111+'Financial Statement3'!J111+'Financial Statement4'!J111</f>
        <v>0</v>
      </c>
      <c r="K108" s="548">
        <f>'Financial Statement1'!K111+'Financial Statement2'!K111+'Financial Statement3'!K111+'Financial Statement4'!K111</f>
        <v>0</v>
      </c>
      <c r="L108" s="412"/>
    </row>
    <row r="109" spans="1:12" s="388" customFormat="1" ht="15" customHeight="1">
      <c r="B109" s="403"/>
      <c r="C109" s="1012"/>
      <c r="D109" s="955" t="s">
        <v>694</v>
      </c>
      <c r="E109" s="956"/>
      <c r="F109" s="957"/>
      <c r="G109" s="543">
        <f>SUM(G110:G114)</f>
        <v>0</v>
      </c>
      <c r="H109" s="543">
        <f>SUM(H110:H114)</f>
        <v>0</v>
      </c>
      <c r="I109" s="543">
        <f>SUM(I110:I114)</f>
        <v>0</v>
      </c>
      <c r="J109" s="543">
        <f>SUM(J110:J114)</f>
        <v>0</v>
      </c>
      <c r="K109" s="544">
        <f>SUM(K110:K114)</f>
        <v>0</v>
      </c>
      <c r="L109" s="387"/>
    </row>
    <row r="110" spans="1:12" s="413" customFormat="1" ht="15" customHeight="1" outlineLevel="1">
      <c r="B110" s="407"/>
      <c r="C110" s="1012"/>
      <c r="D110" s="408"/>
      <c r="E110" s="1015" t="s">
        <v>695</v>
      </c>
      <c r="F110" s="1016"/>
      <c r="G110" s="592">
        <f>'Financial Statement1'!G113+'Financial Statement2'!G113+'Financial Statement3'!G113+'Financial Statement4'!G113</f>
        <v>0</v>
      </c>
      <c r="H110" s="592">
        <f>'Financial Statement1'!H113+'Financial Statement2'!H113+'Financial Statement3'!H113+'Financial Statement4'!H113</f>
        <v>0</v>
      </c>
      <c r="I110" s="592">
        <f>'Financial Statement1'!I113+'Financial Statement2'!I113+'Financial Statement3'!I113+'Financial Statement4'!I113</f>
        <v>0</v>
      </c>
      <c r="J110" s="592">
        <f>'Financial Statement1'!J113+'Financial Statement2'!J113+'Financial Statement3'!J113+'Financial Statement4'!J113</f>
        <v>0</v>
      </c>
      <c r="K110" s="572">
        <f>'Financial Statement1'!K113+'Financial Statement2'!K113+'Financial Statement3'!K113+'Financial Statement4'!K113</f>
        <v>0</v>
      </c>
      <c r="L110" s="412"/>
    </row>
    <row r="111" spans="1:12" s="413" customFormat="1" ht="15" customHeight="1" outlineLevel="1">
      <c r="B111" s="407"/>
      <c r="C111" s="1012"/>
      <c r="E111" s="1005" t="s">
        <v>696</v>
      </c>
      <c r="F111" s="1006"/>
      <c r="G111" s="593">
        <f>'Financial Statement1'!G114+'Financial Statement2'!G114+'Financial Statement3'!G114+'Financial Statement4'!G114</f>
        <v>0</v>
      </c>
      <c r="H111" s="593">
        <f>'Financial Statement1'!H114+'Financial Statement2'!H114+'Financial Statement3'!H114+'Financial Statement4'!H114</f>
        <v>0</v>
      </c>
      <c r="I111" s="593">
        <f>'Financial Statement1'!I114+'Financial Statement2'!I114+'Financial Statement3'!I114+'Financial Statement4'!I114</f>
        <v>0</v>
      </c>
      <c r="J111" s="593">
        <f>'Financial Statement1'!J114+'Financial Statement2'!J114+'Financial Statement3'!J114+'Financial Statement4'!J114</f>
        <v>0</v>
      </c>
      <c r="K111" s="548">
        <f>'Financial Statement1'!K114+'Financial Statement2'!K114+'Financial Statement3'!K114+'Financial Statement4'!K114</f>
        <v>0</v>
      </c>
      <c r="L111" s="412"/>
    </row>
    <row r="112" spans="1:12" s="413" customFormat="1" ht="15" customHeight="1" outlineLevel="1">
      <c r="B112" s="407"/>
      <c r="C112" s="1012"/>
      <c r="E112" s="991" t="s">
        <v>27</v>
      </c>
      <c r="F112" s="992"/>
      <c r="G112" s="593">
        <f>'Financial Statement1'!G115+'Financial Statement2'!G115+'Financial Statement3'!G115+'Financial Statement4'!G115</f>
        <v>0</v>
      </c>
      <c r="H112" s="593">
        <f>'Financial Statement1'!H115+'Financial Statement2'!H115+'Financial Statement3'!H115+'Financial Statement4'!H115</f>
        <v>0</v>
      </c>
      <c r="I112" s="593">
        <f>'Financial Statement1'!I115+'Financial Statement2'!I115+'Financial Statement3'!I115+'Financial Statement4'!I115</f>
        <v>0</v>
      </c>
      <c r="J112" s="593">
        <f>'Financial Statement1'!J115+'Financial Statement2'!J115+'Financial Statement3'!J115+'Financial Statement4'!J115</f>
        <v>0</v>
      </c>
      <c r="K112" s="548">
        <f>'Financial Statement1'!K115+'Financial Statement2'!K115+'Financial Statement3'!K115+'Financial Statement4'!K115</f>
        <v>0</v>
      </c>
      <c r="L112" s="412"/>
    </row>
    <row r="113" spans="1:12" s="413" customFormat="1" ht="15" customHeight="1" outlineLevel="1">
      <c r="B113" s="407"/>
      <c r="C113" s="1012"/>
      <c r="E113" s="991" t="s">
        <v>697</v>
      </c>
      <c r="F113" s="992"/>
      <c r="G113" s="593">
        <f>'Financial Statement1'!G116+'Financial Statement2'!G116+'Financial Statement3'!G116+'Financial Statement4'!G116</f>
        <v>0</v>
      </c>
      <c r="H113" s="593">
        <f>'Financial Statement1'!H116+'Financial Statement2'!H116+'Financial Statement3'!H116+'Financial Statement4'!H116</f>
        <v>0</v>
      </c>
      <c r="I113" s="593">
        <f>'Financial Statement1'!I116+'Financial Statement2'!I116+'Financial Statement3'!I116+'Financial Statement4'!I116</f>
        <v>0</v>
      </c>
      <c r="J113" s="593">
        <f>'Financial Statement1'!J116+'Financial Statement2'!J116+'Financial Statement3'!J116+'Financial Statement4'!J116</f>
        <v>0</v>
      </c>
      <c r="K113" s="548">
        <f>'Financial Statement1'!K116+'Financial Statement2'!K116+'Financial Statement3'!K116+'Financial Statement4'!K116</f>
        <v>0</v>
      </c>
      <c r="L113" s="412"/>
    </row>
    <row r="114" spans="1:12" s="413" customFormat="1" ht="15" customHeight="1" outlineLevel="1" thickBot="1">
      <c r="B114" s="407"/>
      <c r="C114" s="1024"/>
      <c r="D114" s="426"/>
      <c r="E114" s="1017" t="s">
        <v>698</v>
      </c>
      <c r="F114" s="1018"/>
      <c r="G114" s="596">
        <f>'Financial Statement1'!G117+'Financial Statement2'!G117+'Financial Statement3'!G117+'Financial Statement4'!G117</f>
        <v>0</v>
      </c>
      <c r="H114" s="590">
        <f>'Financial Statement1'!H117+'Financial Statement2'!H117+'Financial Statement3'!H117+'Financial Statement4'!H117</f>
        <v>0</v>
      </c>
      <c r="I114" s="590">
        <f>'Financial Statement1'!I117+'Financial Statement2'!I117+'Financial Statement3'!I117+'Financial Statement4'!I117</f>
        <v>0</v>
      </c>
      <c r="J114" s="590">
        <f>'Financial Statement1'!J117+'Financial Statement2'!J117+'Financial Statement3'!J117+'Financial Statement4'!J117</f>
        <v>0</v>
      </c>
      <c r="K114" s="591">
        <f>'Financial Statement1'!K117+'Financial Statement2'!K117+'Financial Statement3'!K117+'Financial Statement4'!K117</f>
        <v>0</v>
      </c>
      <c r="L114" s="412"/>
    </row>
    <row r="115" spans="1:12" ht="16.5" customHeight="1" thickBot="1">
      <c r="A115" s="388"/>
      <c r="B115" s="379"/>
      <c r="C115" s="965" t="s">
        <v>699</v>
      </c>
      <c r="D115" s="966"/>
      <c r="E115" s="966"/>
      <c r="F115" s="966"/>
      <c r="G115" s="545">
        <f>SUM(G103,G109)</f>
        <v>0</v>
      </c>
      <c r="H115" s="545">
        <f>SUM(H103,H109)</f>
        <v>0</v>
      </c>
      <c r="I115" s="545">
        <f>SUM(I103,I109)</f>
        <v>0</v>
      </c>
      <c r="J115" s="545">
        <f>SUM(J103,J109)</f>
        <v>0</v>
      </c>
      <c r="K115" s="546">
        <f>SUM(K103,K109)</f>
        <v>0</v>
      </c>
      <c r="L115" s="378"/>
    </row>
    <row r="116" spans="1:12" s="388" customFormat="1" ht="7.5" customHeight="1" thickBot="1">
      <c r="A116" s="371"/>
      <c r="B116" s="403"/>
      <c r="C116" s="1012"/>
      <c r="D116" s="1013"/>
      <c r="E116" s="1013"/>
      <c r="F116" s="1013"/>
      <c r="G116" s="1013"/>
      <c r="H116" s="1013"/>
      <c r="I116" s="1013"/>
      <c r="J116" s="1013"/>
      <c r="K116" s="1014"/>
      <c r="L116" s="387"/>
    </row>
    <row r="117" spans="1:12" ht="16.5" customHeight="1" thickBot="1">
      <c r="A117" s="473"/>
      <c r="B117" s="379"/>
      <c r="C117" s="965" t="s">
        <v>700</v>
      </c>
      <c r="D117" s="966"/>
      <c r="E117" s="966"/>
      <c r="F117" s="966" t="s">
        <v>701</v>
      </c>
      <c r="G117" s="545">
        <f>G115-G112+G125+G145-G156-G176-G197</f>
        <v>0</v>
      </c>
      <c r="H117" s="545">
        <f>H115-H112+H125+H145-H156-H176-H197</f>
        <v>0</v>
      </c>
      <c r="I117" s="545">
        <f>I115-I112+I125+I145-I156-I176-I197</f>
        <v>0</v>
      </c>
      <c r="J117" s="545">
        <f>J115-J112+J125+J145-J156-J176-J197</f>
        <v>0</v>
      </c>
      <c r="K117" s="546">
        <f>K115-K112+K125+K145-K156-K176-K197</f>
        <v>0</v>
      </c>
      <c r="L117" s="378"/>
    </row>
    <row r="118" spans="1:12" ht="7.5" customHeight="1">
      <c r="B118" s="379"/>
      <c r="C118" s="967"/>
      <c r="D118" s="968"/>
      <c r="E118" s="968"/>
      <c r="F118" s="968"/>
      <c r="G118" s="968"/>
      <c r="H118" s="968"/>
      <c r="I118" s="968"/>
      <c r="J118" s="968"/>
      <c r="K118" s="969"/>
      <c r="L118" s="378"/>
    </row>
    <row r="119" spans="1:12" ht="16.5" customHeight="1">
      <c r="B119" s="379"/>
      <c r="C119" s="970" t="s">
        <v>702</v>
      </c>
      <c r="D119" s="971"/>
      <c r="E119" s="971"/>
      <c r="F119" s="971"/>
      <c r="G119" s="467"/>
      <c r="H119" s="468"/>
      <c r="I119" s="468"/>
      <c r="J119" s="468"/>
      <c r="K119" s="469"/>
      <c r="L119" s="378"/>
    </row>
    <row r="120" spans="1:12" ht="16.5" customHeight="1">
      <c r="B120" s="379"/>
      <c r="C120" s="970" t="s">
        <v>703</v>
      </c>
      <c r="D120" s="971"/>
      <c r="E120" s="971"/>
      <c r="F120" s="971"/>
      <c r="G120" s="467"/>
      <c r="H120" s="468"/>
      <c r="I120" s="468"/>
      <c r="J120" s="468"/>
      <c r="K120" s="469"/>
      <c r="L120" s="378"/>
    </row>
    <row r="121" spans="1:12" s="388" customFormat="1" ht="15" customHeight="1">
      <c r="A121" s="371"/>
      <c r="B121" s="403"/>
      <c r="C121" s="474"/>
      <c r="D121" s="955" t="s">
        <v>704</v>
      </c>
      <c r="E121" s="956"/>
      <c r="F121" s="957"/>
      <c r="G121" s="543">
        <f>SUM(G122:G128)</f>
        <v>0</v>
      </c>
      <c r="H121" s="543">
        <f>SUM(H122:H128)</f>
        <v>0</v>
      </c>
      <c r="I121" s="543">
        <f>SUM(I122:I128)</f>
        <v>0</v>
      </c>
      <c r="J121" s="543">
        <f>SUM(J122:J128)</f>
        <v>0</v>
      </c>
      <c r="K121" s="544">
        <f>SUM(K122:K128)</f>
        <v>0</v>
      </c>
      <c r="L121" s="387"/>
    </row>
    <row r="122" spans="1:12" s="413" customFormat="1" ht="13.5" customHeight="1" outlineLevel="1">
      <c r="A122" s="388"/>
      <c r="B122" s="407"/>
      <c r="C122" s="474"/>
      <c r="D122" s="408"/>
      <c r="E122" s="997" t="s">
        <v>705</v>
      </c>
      <c r="F122" s="998"/>
      <c r="G122" s="592">
        <f>'Financial Statement1'!G125+'Financial Statement2'!G125+'Financial Statement3'!G125+'Financial Statement4'!G125</f>
        <v>0</v>
      </c>
      <c r="H122" s="571">
        <f>'Financial Statement1'!H125+'Financial Statement2'!H125+'Financial Statement3'!H125+'Financial Statement4'!H125</f>
        <v>0</v>
      </c>
      <c r="I122" s="571">
        <f>'Financial Statement1'!I125+'Financial Statement2'!I125+'Financial Statement3'!I125+'Financial Statement4'!I125</f>
        <v>0</v>
      </c>
      <c r="J122" s="571">
        <f>'Financial Statement1'!J125+'Financial Statement2'!J125+'Financial Statement3'!J125+'Financial Statement4'!J125</f>
        <v>0</v>
      </c>
      <c r="K122" s="572">
        <f>'Financial Statement1'!K125+'Financial Statement2'!K125+'Financial Statement3'!K125+'Financial Statement4'!K125</f>
        <v>0</v>
      </c>
      <c r="L122" s="412"/>
    </row>
    <row r="123" spans="1:12" s="413" customFormat="1" ht="13.5" customHeight="1" outlineLevel="1">
      <c r="B123" s="407"/>
      <c r="C123" s="474"/>
      <c r="E123" s="991" t="s">
        <v>706</v>
      </c>
      <c r="F123" s="992"/>
      <c r="G123" s="547">
        <f>'Financial Statement1'!G126+'Financial Statement2'!G126+'Financial Statement3'!G126+'Financial Statement4'!G126</f>
        <v>0</v>
      </c>
      <c r="H123" s="547">
        <f>'Financial Statement1'!H126+'Financial Statement2'!H126+'Financial Statement3'!H126+'Financial Statement4'!H126</f>
        <v>0</v>
      </c>
      <c r="I123" s="547">
        <f>'Financial Statement1'!I126+'Financial Statement2'!I126+'Financial Statement3'!I126+'Financial Statement4'!I126</f>
        <v>0</v>
      </c>
      <c r="J123" s="547">
        <f>'Financial Statement1'!J126+'Financial Statement2'!J126+'Financial Statement3'!J126+'Financial Statement4'!J126</f>
        <v>0</v>
      </c>
      <c r="K123" s="548">
        <f>'Financial Statement1'!K126+'Financial Statement2'!K126+'Financial Statement3'!K126+'Financial Statement4'!K126</f>
        <v>0</v>
      </c>
      <c r="L123" s="412"/>
    </row>
    <row r="124" spans="1:12" s="413" customFormat="1" ht="13.5" customHeight="1" outlineLevel="1">
      <c r="B124" s="407"/>
      <c r="C124" s="474"/>
      <c r="E124" s="991" t="s">
        <v>707</v>
      </c>
      <c r="F124" s="992"/>
      <c r="G124" s="547">
        <f>'Financial Statement1'!G127+'Financial Statement2'!G127+'Financial Statement3'!G127+'Financial Statement4'!G127</f>
        <v>0</v>
      </c>
      <c r="H124" s="547">
        <f>'Financial Statement1'!H127+'Financial Statement2'!H127+'Financial Statement3'!H127+'Financial Statement4'!H127</f>
        <v>0</v>
      </c>
      <c r="I124" s="547">
        <f>'Financial Statement1'!I127+'Financial Statement2'!I127+'Financial Statement3'!I127+'Financial Statement4'!I127</f>
        <v>0</v>
      </c>
      <c r="J124" s="547">
        <f>'Financial Statement1'!J127+'Financial Statement2'!J127+'Financial Statement3'!J127+'Financial Statement4'!J127</f>
        <v>0</v>
      </c>
      <c r="K124" s="548">
        <f>'Financial Statement1'!K127+'Financial Statement2'!K127+'Financial Statement3'!K127+'Financial Statement4'!K127</f>
        <v>0</v>
      </c>
      <c r="L124" s="412"/>
    </row>
    <row r="125" spans="1:12" s="388" customFormat="1" ht="15" customHeight="1" outlineLevel="1">
      <c r="B125" s="475"/>
      <c r="C125" s="403"/>
      <c r="E125" s="991" t="s">
        <v>708</v>
      </c>
      <c r="F125" s="992"/>
      <c r="G125" s="547">
        <f>'Financial Statement1'!G128+'Financial Statement2'!G128+'Financial Statement3'!G128+'Financial Statement4'!G128</f>
        <v>0</v>
      </c>
      <c r="H125" s="547">
        <f>'Financial Statement1'!H128+'Financial Statement2'!H128+'Financial Statement3'!H128+'Financial Statement4'!H128</f>
        <v>0</v>
      </c>
      <c r="I125" s="547">
        <f>'Financial Statement1'!I128+'Financial Statement2'!I128+'Financial Statement3'!I128+'Financial Statement4'!I128</f>
        <v>0</v>
      </c>
      <c r="J125" s="547">
        <f>'Financial Statement1'!J128+'Financial Statement2'!J128+'Financial Statement3'!J128+'Financial Statement4'!J128</f>
        <v>0</v>
      </c>
      <c r="K125" s="548">
        <f>'Financial Statement1'!K128+'Financial Statement2'!K128+'Financial Statement3'!K128+'Financial Statement4'!K128</f>
        <v>0</v>
      </c>
      <c r="L125" s="387"/>
    </row>
    <row r="126" spans="1:12" s="413" customFormat="1" ht="13.5" customHeight="1" outlineLevel="1">
      <c r="B126" s="407"/>
      <c r="C126" s="474"/>
      <c r="E126" s="991" t="s">
        <v>709</v>
      </c>
      <c r="F126" s="992"/>
      <c r="G126" s="547">
        <f>'Financial Statement1'!G129+'Financial Statement2'!G129+'Financial Statement3'!G129+'Financial Statement4'!G129</f>
        <v>0</v>
      </c>
      <c r="H126" s="547">
        <f>'Financial Statement1'!H129+'Financial Statement2'!H129+'Financial Statement3'!H129+'Financial Statement4'!H129</f>
        <v>0</v>
      </c>
      <c r="I126" s="547">
        <f>'Financial Statement1'!I129+'Financial Statement2'!I129+'Financial Statement3'!I129+'Financial Statement4'!I129</f>
        <v>0</v>
      </c>
      <c r="J126" s="547">
        <f>'Financial Statement1'!J129+'Financial Statement2'!J129+'Financial Statement3'!J129+'Financial Statement4'!J129</f>
        <v>0</v>
      </c>
      <c r="K126" s="548">
        <f>'Financial Statement1'!K129+'Financial Statement2'!K129+'Financial Statement3'!K129+'Financial Statement4'!K129</f>
        <v>0</v>
      </c>
      <c r="L126" s="412"/>
    </row>
    <row r="127" spans="1:12" s="413" customFormat="1" ht="13.5" customHeight="1" outlineLevel="1">
      <c r="B127" s="407"/>
      <c r="C127" s="474"/>
      <c r="E127" s="991" t="s">
        <v>710</v>
      </c>
      <c r="F127" s="992"/>
      <c r="G127" s="547">
        <f>'Financial Statement1'!G130+'Financial Statement2'!G130+'Financial Statement3'!G130+'Financial Statement4'!G130</f>
        <v>0</v>
      </c>
      <c r="H127" s="547">
        <f>'Financial Statement1'!H130+'Financial Statement2'!H130+'Financial Statement3'!H130+'Financial Statement4'!H130</f>
        <v>0</v>
      </c>
      <c r="I127" s="547">
        <f>'Financial Statement1'!I130+'Financial Statement2'!I130+'Financial Statement3'!I130+'Financial Statement4'!I130</f>
        <v>0</v>
      </c>
      <c r="J127" s="547">
        <f>'Financial Statement1'!J130+'Financial Statement2'!J130+'Financial Statement3'!J130+'Financial Statement4'!J130</f>
        <v>0</v>
      </c>
      <c r="K127" s="548">
        <f>'Financial Statement1'!K130+'Financial Statement2'!K130+'Financial Statement3'!K130+'Financial Statement4'!K130</f>
        <v>0</v>
      </c>
      <c r="L127" s="412"/>
    </row>
    <row r="128" spans="1:12" s="388" customFormat="1" ht="15" customHeight="1" outlineLevel="1">
      <c r="B128" s="403"/>
      <c r="C128" s="474"/>
      <c r="E128" s="991" t="s">
        <v>711</v>
      </c>
      <c r="F128" s="992"/>
      <c r="G128" s="547">
        <f>'Financial Statement1'!G131+'Financial Statement2'!G131+'Financial Statement3'!G131+'Financial Statement4'!G131</f>
        <v>0</v>
      </c>
      <c r="H128" s="547">
        <f>'Financial Statement1'!H131+'Financial Statement2'!H131+'Financial Statement3'!H131+'Financial Statement4'!H131</f>
        <v>0</v>
      </c>
      <c r="I128" s="547">
        <f>'Financial Statement1'!I131+'Financial Statement2'!I131+'Financial Statement3'!I131+'Financial Statement4'!I131</f>
        <v>0</v>
      </c>
      <c r="J128" s="547">
        <f>'Financial Statement1'!J131+'Financial Statement2'!J131+'Financial Statement3'!J131+'Financial Statement4'!J131</f>
        <v>0</v>
      </c>
      <c r="K128" s="548">
        <f>'Financial Statement1'!K131+'Financial Statement2'!K131+'Financial Statement3'!K131+'Financial Statement4'!K131</f>
        <v>0</v>
      </c>
      <c r="L128" s="387"/>
    </row>
    <row r="129" spans="1:12" s="388" customFormat="1" ht="15" customHeight="1">
      <c r="A129" s="413"/>
      <c r="B129" s="403"/>
      <c r="C129" s="474"/>
      <c r="D129" s="955" t="s">
        <v>712</v>
      </c>
      <c r="E129" s="956"/>
      <c r="F129" s="957"/>
      <c r="G129" s="547">
        <f>'Financial Statement1'!G132+'Financial Statement2'!G132+'Financial Statement3'!G132+'Financial Statement4'!G132</f>
        <v>0</v>
      </c>
      <c r="H129" s="551">
        <f>'Financial Statement1'!H132+'Financial Statement2'!H132+'Financial Statement3'!H132+'Financial Statement4'!H132</f>
        <v>0</v>
      </c>
      <c r="I129" s="551">
        <f>'Financial Statement1'!I132+'Financial Statement2'!I132+'Financial Statement3'!I132+'Financial Statement4'!I132</f>
        <v>0</v>
      </c>
      <c r="J129" s="551">
        <f>'Financial Statement1'!J132+'Financial Statement2'!J132+'Financial Statement3'!J132+'Financial Statement4'!J132</f>
        <v>0</v>
      </c>
      <c r="K129" s="552">
        <f>'Financial Statement1'!K132+'Financial Statement2'!K132+'Financial Statement3'!K132+'Financial Statement4'!K132</f>
        <v>0</v>
      </c>
      <c r="L129" s="387"/>
    </row>
    <row r="130" spans="1:12" s="388" customFormat="1" ht="15" customHeight="1">
      <c r="B130" s="403"/>
      <c r="C130" s="474"/>
      <c r="D130" s="955" t="s">
        <v>713</v>
      </c>
      <c r="E130" s="956"/>
      <c r="F130" s="957"/>
      <c r="G130" s="543">
        <f>SUM(G131:G132)</f>
        <v>0</v>
      </c>
      <c r="H130" s="543">
        <f>SUM(H131:H132)</f>
        <v>0</v>
      </c>
      <c r="I130" s="543">
        <f>SUM(I131:I132)</f>
        <v>0</v>
      </c>
      <c r="J130" s="543">
        <f>SUM(J131:J132)</f>
        <v>0</v>
      </c>
      <c r="K130" s="544">
        <f>SUM(K131:K132)</f>
        <v>0</v>
      </c>
      <c r="L130" s="387"/>
    </row>
    <row r="131" spans="1:12" s="388" customFormat="1" ht="15" customHeight="1" outlineLevel="1">
      <c r="B131" s="403"/>
      <c r="C131" s="474"/>
      <c r="D131" s="408"/>
      <c r="E131" s="997" t="s">
        <v>714</v>
      </c>
      <c r="F131" s="998"/>
      <c r="G131" s="592">
        <f>'Financial Statement1'!G134+'Financial Statement2'!G134+'Financial Statement3'!G134+'Financial Statement4'!G134</f>
        <v>0</v>
      </c>
      <c r="H131" s="571">
        <f>'Financial Statement1'!H134+'Financial Statement2'!H134+'Financial Statement3'!H134+'Financial Statement4'!H134</f>
        <v>0</v>
      </c>
      <c r="I131" s="571">
        <f>'Financial Statement1'!I134+'Financial Statement2'!I134+'Financial Statement3'!I134+'Financial Statement4'!I134</f>
        <v>0</v>
      </c>
      <c r="J131" s="571">
        <f>'Financial Statement1'!J134+'Financial Statement2'!J134+'Financial Statement3'!J134+'Financial Statement4'!J134</f>
        <v>0</v>
      </c>
      <c r="K131" s="572">
        <f>'Financial Statement1'!K134+'Financial Statement2'!K134+'Financial Statement3'!K134+'Financial Statement4'!K134</f>
        <v>0</v>
      </c>
      <c r="L131" s="387"/>
    </row>
    <row r="132" spans="1:12" s="388" customFormat="1" ht="15" customHeight="1" outlineLevel="1">
      <c r="B132" s="403"/>
      <c r="C132" s="474"/>
      <c r="D132" s="476"/>
      <c r="E132" s="991" t="s">
        <v>279</v>
      </c>
      <c r="F132" s="992"/>
      <c r="G132" s="547">
        <f>'Financial Statement1'!G135+'Financial Statement2'!G135+'Financial Statement3'!G135+'Financial Statement4'!G135</f>
        <v>0</v>
      </c>
      <c r="H132" s="551">
        <f>'Financial Statement1'!H135+'Financial Statement2'!H135+'Financial Statement3'!H135+'Financial Statement4'!H135</f>
        <v>0</v>
      </c>
      <c r="I132" s="551">
        <f>'Financial Statement1'!I135+'Financial Statement2'!I135+'Financial Statement3'!I135+'Financial Statement4'!I135</f>
        <v>0</v>
      </c>
      <c r="J132" s="551">
        <f>'Financial Statement1'!J135+'Financial Statement2'!J135+'Financial Statement3'!J135+'Financial Statement4'!J135</f>
        <v>0</v>
      </c>
      <c r="K132" s="552">
        <f>'Financial Statement1'!K135+'Financial Statement2'!K135+'Financial Statement3'!K135+'Financial Statement4'!K135</f>
        <v>0</v>
      </c>
      <c r="L132" s="387"/>
    </row>
    <row r="133" spans="1:12" s="388" customFormat="1" ht="15" customHeight="1">
      <c r="B133" s="403"/>
      <c r="C133" s="474"/>
      <c r="D133" s="955" t="s">
        <v>715</v>
      </c>
      <c r="E133" s="956"/>
      <c r="F133" s="957"/>
      <c r="G133" s="551">
        <f>SUM(G134:G135)</f>
        <v>0</v>
      </c>
      <c r="H133" s="551">
        <f t="shared" ref="H133:K133" si="3">SUM(H134:H135)</f>
        <v>0</v>
      </c>
      <c r="I133" s="551">
        <f t="shared" si="3"/>
        <v>0</v>
      </c>
      <c r="J133" s="551">
        <f t="shared" si="3"/>
        <v>0</v>
      </c>
      <c r="K133" s="552">
        <f t="shared" si="3"/>
        <v>0</v>
      </c>
      <c r="L133" s="387"/>
    </row>
    <row r="134" spans="1:12" s="388" customFormat="1" ht="15" customHeight="1" outlineLevel="1">
      <c r="B134" s="403"/>
      <c r="C134" s="474"/>
      <c r="D134" s="408"/>
      <c r="E134" s="997" t="s">
        <v>716</v>
      </c>
      <c r="F134" s="998"/>
      <c r="G134" s="592">
        <f>'Financial Statement1'!G137+'Financial Statement2'!G137+'Financial Statement3'!G137+'Financial Statement4'!G137</f>
        <v>0</v>
      </c>
      <c r="H134" s="571">
        <f>'Financial Statement1'!H137+'Financial Statement2'!H137+'Financial Statement3'!H137+'Financial Statement4'!H137</f>
        <v>0</v>
      </c>
      <c r="I134" s="571">
        <f>'Financial Statement1'!I137+'Financial Statement2'!I137+'Financial Statement3'!I137+'Financial Statement4'!I137</f>
        <v>0</v>
      </c>
      <c r="J134" s="571">
        <f>'Financial Statement1'!J137+'Financial Statement2'!J137+'Financial Statement3'!J137+'Financial Statement4'!J137</f>
        <v>0</v>
      </c>
      <c r="K134" s="572">
        <f>'Financial Statement1'!K137+'Financial Statement2'!K137+'Financial Statement3'!K137+'Financial Statement4'!K137</f>
        <v>0</v>
      </c>
      <c r="L134" s="387"/>
    </row>
    <row r="135" spans="1:12" s="413" customFormat="1" ht="13.5" customHeight="1" outlineLevel="1">
      <c r="B135" s="407"/>
      <c r="C135" s="474"/>
      <c r="E135" s="991" t="s">
        <v>279</v>
      </c>
      <c r="F135" s="992"/>
      <c r="G135" s="547">
        <f>'Financial Statement1'!G138+'Financial Statement2'!G138+'Financial Statement3'!G138+'Financial Statement4'!G138</f>
        <v>0</v>
      </c>
      <c r="H135" s="547">
        <f>'Financial Statement1'!H138+'Financial Statement2'!H138+'Financial Statement3'!H138+'Financial Statement4'!H138</f>
        <v>0</v>
      </c>
      <c r="I135" s="547">
        <f>'Financial Statement1'!I138+'Financial Statement2'!I138+'Financial Statement3'!I138+'Financial Statement4'!I138</f>
        <v>0</v>
      </c>
      <c r="J135" s="547">
        <f>'Financial Statement1'!J138+'Financial Statement2'!J138+'Financial Statement3'!J138+'Financial Statement4'!J138</f>
        <v>0</v>
      </c>
      <c r="K135" s="548">
        <f>'Financial Statement1'!K138+'Financial Statement2'!K138+'Financial Statement3'!K138+'Financial Statement4'!K138</f>
        <v>0</v>
      </c>
      <c r="L135" s="412"/>
    </row>
    <row r="136" spans="1:12" s="388" customFormat="1" ht="15" customHeight="1" thickBot="1">
      <c r="B136" s="403"/>
      <c r="C136" s="477"/>
      <c r="D136" s="1007" t="s">
        <v>717</v>
      </c>
      <c r="E136" s="1008"/>
      <c r="F136" s="1009"/>
      <c r="G136" s="597">
        <f>'Financial Statement1'!G139+'Financial Statement2'!G139+'Financial Statement3'!G139+'Financial Statement4'!G139</f>
        <v>0</v>
      </c>
      <c r="H136" s="586">
        <f>'Financial Statement1'!H139+'Financial Statement2'!H139+'Financial Statement3'!H139+'Financial Statement4'!H139</f>
        <v>0</v>
      </c>
      <c r="I136" s="586">
        <f>'Financial Statement1'!I139+'Financial Statement2'!I139+'Financial Statement3'!I139+'Financial Statement4'!I139</f>
        <v>0</v>
      </c>
      <c r="J136" s="586">
        <f>'Financial Statement1'!J139+'Financial Statement2'!J139+'Financial Statement3'!J139+'Financial Statement4'!J139</f>
        <v>0</v>
      </c>
      <c r="K136" s="587">
        <f>'Financial Statement1'!K139+'Financial Statement2'!K139+'Financial Statement3'!K139+'Financial Statement4'!K139</f>
        <v>0</v>
      </c>
      <c r="L136" s="387"/>
    </row>
    <row r="137" spans="1:12" ht="16.5" customHeight="1" thickBot="1">
      <c r="A137" s="388"/>
      <c r="B137" s="379"/>
      <c r="C137" s="1010" t="s">
        <v>718</v>
      </c>
      <c r="D137" s="1011"/>
      <c r="E137" s="1011"/>
      <c r="F137" s="1011"/>
      <c r="G137" s="549">
        <f>G121+G129+G130+G133+G136</f>
        <v>0</v>
      </c>
      <c r="H137" s="549">
        <f>H121+H129+H130+H133+H136</f>
        <v>0</v>
      </c>
      <c r="I137" s="549">
        <f>I121+I129+I130+I133+I136</f>
        <v>0</v>
      </c>
      <c r="J137" s="549">
        <f>SUM(J129,J130,J133,J136,J121)</f>
        <v>0</v>
      </c>
      <c r="K137" s="550">
        <f>SUM(K129:K136,K121)</f>
        <v>0</v>
      </c>
      <c r="L137" s="378"/>
    </row>
    <row r="138" spans="1:12" ht="7.5" customHeight="1">
      <c r="B138" s="379"/>
      <c r="C138" s="967"/>
      <c r="D138" s="968"/>
      <c r="E138" s="968"/>
      <c r="F138" s="968"/>
      <c r="G138" s="968"/>
      <c r="H138" s="968"/>
      <c r="I138" s="968"/>
      <c r="J138" s="968"/>
      <c r="K138" s="969"/>
      <c r="L138" s="378"/>
    </row>
    <row r="139" spans="1:12" ht="16.5" customHeight="1">
      <c r="B139" s="379"/>
      <c r="C139" s="970" t="s">
        <v>719</v>
      </c>
      <c r="D139" s="971"/>
      <c r="E139" s="971"/>
      <c r="F139" s="971"/>
      <c r="G139" s="467"/>
      <c r="H139" s="468"/>
      <c r="I139" s="468"/>
      <c r="J139" s="468"/>
      <c r="K139" s="469"/>
      <c r="L139" s="378"/>
    </row>
    <row r="140" spans="1:12" s="388" customFormat="1" ht="15" customHeight="1">
      <c r="A140" s="371"/>
      <c r="B140" s="403"/>
      <c r="C140" s="970"/>
      <c r="D140" s="955" t="s">
        <v>720</v>
      </c>
      <c r="E140" s="956"/>
      <c r="F140" s="957"/>
      <c r="G140" s="543">
        <f>SUM(G141:G147)</f>
        <v>0</v>
      </c>
      <c r="H140" s="543">
        <f>SUM(H141:H147)</f>
        <v>0</v>
      </c>
      <c r="I140" s="543">
        <f>SUM(I141:I147)</f>
        <v>0</v>
      </c>
      <c r="J140" s="543">
        <f>SUM(J141:J147)</f>
        <v>0</v>
      </c>
      <c r="K140" s="544">
        <f>SUM(K141:K147)</f>
        <v>0</v>
      </c>
      <c r="L140" s="387"/>
    </row>
    <row r="141" spans="1:12" s="413" customFormat="1" ht="13.5" customHeight="1" outlineLevel="1">
      <c r="B141" s="407"/>
      <c r="C141" s="970"/>
      <c r="D141" s="408"/>
      <c r="E141" s="997" t="s">
        <v>721</v>
      </c>
      <c r="F141" s="998"/>
      <c r="G141" s="592">
        <f>'Financial Statement1'!G144+'Financial Statement2'!G144+'Financial Statement3'!G144+'Financial Statement4'!G144</f>
        <v>0</v>
      </c>
      <c r="H141" s="571">
        <f>'Financial Statement1'!H144+'Financial Statement2'!H144+'Financial Statement3'!H144+'Financial Statement4'!H144</f>
        <v>0</v>
      </c>
      <c r="I141" s="571">
        <f>'Financial Statement1'!I144+'Financial Statement2'!I144+'Financial Statement3'!I144+'Financial Statement4'!I144</f>
        <v>0</v>
      </c>
      <c r="J141" s="571">
        <f>'Financial Statement1'!J144+'Financial Statement2'!J144+'Financial Statement3'!J144+'Financial Statement4'!J144</f>
        <v>0</v>
      </c>
      <c r="K141" s="572">
        <f>'Financial Statement1'!K144+'Financial Statement2'!K144+'Financial Statement3'!K144+'Financial Statement4'!K144</f>
        <v>0</v>
      </c>
      <c r="L141" s="412"/>
    </row>
    <row r="142" spans="1:12" s="413" customFormat="1" ht="15" customHeight="1" outlineLevel="1">
      <c r="B142" s="479"/>
      <c r="C142" s="970"/>
      <c r="E142" s="991" t="s">
        <v>722</v>
      </c>
      <c r="F142" s="992"/>
      <c r="G142" s="593">
        <f>'Financial Statement1'!G145+'Financial Statement2'!G145+'Financial Statement3'!G145+'Financial Statement4'!G145</f>
        <v>0</v>
      </c>
      <c r="H142" s="593">
        <f>'Financial Statement1'!H145+'Financial Statement2'!H145+'Financial Statement3'!H145+'Financial Statement4'!H145</f>
        <v>0</v>
      </c>
      <c r="I142" s="593">
        <f>'Financial Statement1'!I145+'Financial Statement2'!I145+'Financial Statement3'!I145+'Financial Statement4'!I145</f>
        <v>0</v>
      </c>
      <c r="J142" s="593">
        <f>'Financial Statement1'!J145+'Financial Statement2'!J145+'Financial Statement3'!J145+'Financial Statement4'!J145</f>
        <v>0</v>
      </c>
      <c r="K142" s="598">
        <f>'Financial Statement1'!K145+'Financial Statement2'!K145+'Financial Statement3'!K145+'Financial Statement4'!K145</f>
        <v>0</v>
      </c>
      <c r="L142" s="412"/>
    </row>
    <row r="143" spans="1:12" s="413" customFormat="1" ht="15" customHeight="1" outlineLevel="1">
      <c r="B143" s="479"/>
      <c r="C143" s="970"/>
      <c r="E143" s="991" t="s">
        <v>723</v>
      </c>
      <c r="F143" s="992"/>
      <c r="G143" s="593">
        <f>'Financial Statement1'!G146+'Financial Statement2'!G146+'Financial Statement3'!G146+'Financial Statement4'!G146</f>
        <v>0</v>
      </c>
      <c r="H143" s="593">
        <f>'Financial Statement1'!H146+'Financial Statement2'!H146+'Financial Statement3'!H146+'Financial Statement4'!H146</f>
        <v>0</v>
      </c>
      <c r="I143" s="593">
        <f>'Financial Statement1'!I146+'Financial Statement2'!I146+'Financial Statement3'!I146+'Financial Statement4'!I146</f>
        <v>0</v>
      </c>
      <c r="J143" s="593">
        <f>'Financial Statement1'!J146+'Financial Statement2'!J146+'Financial Statement3'!J146+'Financial Statement4'!J146</f>
        <v>0</v>
      </c>
      <c r="K143" s="598">
        <f>'Financial Statement1'!K146+'Financial Statement2'!K146+'Financial Statement3'!K146+'Financial Statement4'!K146</f>
        <v>0</v>
      </c>
      <c r="L143" s="412"/>
    </row>
    <row r="144" spans="1:12" s="413" customFormat="1" ht="15" customHeight="1" outlineLevel="1">
      <c r="B144" s="479"/>
      <c r="C144" s="970"/>
      <c r="E144" s="991" t="s">
        <v>707</v>
      </c>
      <c r="F144" s="992"/>
      <c r="G144" s="593">
        <f>'Financial Statement1'!G147+'Financial Statement2'!G147+'Financial Statement3'!G147+'Financial Statement4'!G147</f>
        <v>0</v>
      </c>
      <c r="H144" s="593">
        <f>'Financial Statement1'!H147+'Financial Statement2'!H147+'Financial Statement3'!H147+'Financial Statement4'!H147</f>
        <v>0</v>
      </c>
      <c r="I144" s="593">
        <f>'Financial Statement1'!I147+'Financial Statement2'!I147+'Financial Statement3'!I147+'Financial Statement4'!I147</f>
        <v>0</v>
      </c>
      <c r="J144" s="593">
        <f>'Financial Statement1'!J147+'Financial Statement2'!J147+'Financial Statement3'!J147+'Financial Statement4'!J147</f>
        <v>0</v>
      </c>
      <c r="K144" s="598">
        <f>'Financial Statement1'!K147+'Financial Statement2'!K147+'Financial Statement3'!K147+'Financial Statement4'!K147</f>
        <v>0</v>
      </c>
      <c r="L144" s="412"/>
    </row>
    <row r="145" spans="1:12" s="413" customFormat="1" ht="13.5" customHeight="1" outlineLevel="1">
      <c r="B145" s="407"/>
      <c r="C145" s="970"/>
      <c r="E145" s="1005" t="s">
        <v>708</v>
      </c>
      <c r="F145" s="1006"/>
      <c r="G145" s="593">
        <f>'Financial Statement1'!G148+'Financial Statement2'!G148+'Financial Statement3'!G148+'Financial Statement4'!G148</f>
        <v>0</v>
      </c>
      <c r="H145" s="547">
        <f>'Financial Statement1'!H148+'Financial Statement2'!H148+'Financial Statement3'!H148+'Financial Statement4'!H148</f>
        <v>0</v>
      </c>
      <c r="I145" s="547">
        <f>'Financial Statement1'!I148+'Financial Statement2'!I148+'Financial Statement3'!I148+'Financial Statement4'!I148</f>
        <v>0</v>
      </c>
      <c r="J145" s="547">
        <f>'Financial Statement1'!J148+'Financial Statement2'!J148+'Financial Statement3'!J148+'Financial Statement4'!J148</f>
        <v>0</v>
      </c>
      <c r="K145" s="548">
        <f>'Financial Statement1'!K148+'Financial Statement2'!K148+'Financial Statement3'!K148+'Financial Statement4'!K148</f>
        <v>0</v>
      </c>
      <c r="L145" s="412"/>
    </row>
    <row r="146" spans="1:12" s="413" customFormat="1" ht="13.5" customHeight="1" outlineLevel="1">
      <c r="B146" s="407"/>
      <c r="C146" s="970"/>
      <c r="E146" s="991" t="s">
        <v>709</v>
      </c>
      <c r="F146" s="992"/>
      <c r="G146" s="593">
        <f>'Financial Statement1'!G149+'Financial Statement2'!G149+'Financial Statement3'!G149+'Financial Statement4'!G149</f>
        <v>0</v>
      </c>
      <c r="H146" s="547">
        <f>'Financial Statement1'!H149+'Financial Statement2'!H149+'Financial Statement3'!H149+'Financial Statement4'!H149</f>
        <v>0</v>
      </c>
      <c r="I146" s="547">
        <f>'Financial Statement1'!I149+'Financial Statement2'!I149+'Financial Statement3'!I149+'Financial Statement4'!I149</f>
        <v>0</v>
      </c>
      <c r="J146" s="547">
        <f>'Financial Statement1'!J149+'Financial Statement2'!J149+'Financial Statement3'!J149+'Financial Statement4'!J149</f>
        <v>0</v>
      </c>
      <c r="K146" s="548">
        <f>'Financial Statement1'!K149+'Financial Statement2'!K149+'Financial Statement3'!K149+'Financial Statement4'!K149</f>
        <v>0</v>
      </c>
      <c r="L146" s="412"/>
    </row>
    <row r="147" spans="1:12" s="413" customFormat="1" ht="13.5" customHeight="1" outlineLevel="1">
      <c r="B147" s="407"/>
      <c r="C147" s="970"/>
      <c r="E147" s="991" t="s">
        <v>279</v>
      </c>
      <c r="F147" s="992"/>
      <c r="G147" s="593">
        <f>'Financial Statement1'!G150+'Financial Statement2'!G150+'Financial Statement3'!G150+'Financial Statement4'!G150</f>
        <v>0</v>
      </c>
      <c r="H147" s="593">
        <f>'Financial Statement1'!H150+'Financial Statement2'!H150+'Financial Statement3'!H150+'Financial Statement4'!H150</f>
        <v>0</v>
      </c>
      <c r="I147" s="547">
        <f>'Financial Statement1'!I150+'Financial Statement2'!I150+'Financial Statement3'!I150+'Financial Statement4'!I150</f>
        <v>0</v>
      </c>
      <c r="J147" s="547">
        <f>'Financial Statement1'!J150+'Financial Statement2'!J150+'Financial Statement3'!J150+'Financial Statement4'!J150</f>
        <v>0</v>
      </c>
      <c r="K147" s="548">
        <f>'Financial Statement1'!K150+'Financial Statement2'!K150+'Financial Statement3'!K150+'Financial Statement4'!K150</f>
        <v>0</v>
      </c>
      <c r="L147" s="412"/>
    </row>
    <row r="148" spans="1:12" s="388" customFormat="1" ht="15" customHeight="1">
      <c r="A148" s="413"/>
      <c r="B148" s="403"/>
      <c r="C148" s="970"/>
      <c r="D148" s="955" t="s">
        <v>724</v>
      </c>
      <c r="E148" s="956"/>
      <c r="F148" s="957"/>
      <c r="G148" s="543">
        <f>SUM(G149:G152)</f>
        <v>0</v>
      </c>
      <c r="H148" s="543">
        <f>SUM(H149:H152)</f>
        <v>0</v>
      </c>
      <c r="I148" s="543">
        <f>SUM(I149:I152)</f>
        <v>0</v>
      </c>
      <c r="J148" s="543">
        <f>SUM(J149:J152)</f>
        <v>0</v>
      </c>
      <c r="K148" s="544">
        <f>SUM(K149:K152)</f>
        <v>0</v>
      </c>
      <c r="L148" s="387"/>
    </row>
    <row r="149" spans="1:12" s="413" customFormat="1" ht="15" customHeight="1" outlineLevel="1">
      <c r="B149" s="407"/>
      <c r="C149" s="970"/>
      <c r="D149" s="434"/>
      <c r="E149" s="997" t="s">
        <v>725</v>
      </c>
      <c r="F149" s="998"/>
      <c r="G149" s="592">
        <f>'Financial Statement1'!G152+'Financial Statement2'!G152+'Financial Statement3'!G152+'Financial Statement4'!G152</f>
        <v>0</v>
      </c>
      <c r="H149" s="571">
        <f>'Financial Statement1'!H152+'Financial Statement2'!H152+'Financial Statement3'!H152+'Financial Statement4'!H152</f>
        <v>0</v>
      </c>
      <c r="I149" s="571">
        <f>'Financial Statement1'!I152+'Financial Statement2'!I152+'Financial Statement3'!I152+'Financial Statement4'!I152</f>
        <v>0</v>
      </c>
      <c r="J149" s="571">
        <f>'Financial Statement1'!J152+'Financial Statement2'!J152+'Financial Statement3'!J152+'Financial Statement4'!J152</f>
        <v>0</v>
      </c>
      <c r="K149" s="572">
        <f>'Financial Statement1'!K152+'Financial Statement2'!K152+'Financial Statement3'!K152+'Financial Statement4'!K152</f>
        <v>0</v>
      </c>
      <c r="L149" s="412"/>
    </row>
    <row r="150" spans="1:12" s="413" customFormat="1" ht="15" customHeight="1" outlineLevel="1">
      <c r="B150" s="407"/>
      <c r="C150" s="970"/>
      <c r="E150" s="1001" t="s">
        <v>726</v>
      </c>
      <c r="F150" s="1002"/>
      <c r="G150" s="547">
        <f>'Financial Statement1'!G153+'Financial Statement2'!G153+'Financial Statement3'!G153+'Financial Statement4'!G153</f>
        <v>0</v>
      </c>
      <c r="H150" s="547">
        <f>'Financial Statement1'!H153+'Financial Statement2'!H153+'Financial Statement3'!H153+'Financial Statement4'!H153</f>
        <v>0</v>
      </c>
      <c r="I150" s="547">
        <f>'Financial Statement1'!I153+'Financial Statement2'!I153+'Financial Statement3'!I153+'Financial Statement4'!I153</f>
        <v>0</v>
      </c>
      <c r="J150" s="547">
        <f>'Financial Statement1'!J153+'Financial Statement2'!J153+'Financial Statement3'!J153+'Financial Statement4'!J153</f>
        <v>0</v>
      </c>
      <c r="K150" s="548">
        <f>'Financial Statement1'!K153+'Financial Statement2'!K153+'Financial Statement3'!K153+'Financial Statement4'!K153</f>
        <v>0</v>
      </c>
      <c r="L150" s="412"/>
    </row>
    <row r="151" spans="1:12" s="413" customFormat="1" ht="15" customHeight="1" outlineLevel="1">
      <c r="B151" s="407"/>
      <c r="C151" s="970"/>
      <c r="E151" s="1003" t="s">
        <v>716</v>
      </c>
      <c r="F151" s="1004"/>
      <c r="G151" s="547">
        <f>'Financial Statement1'!G154+'Financial Statement2'!G154+'Financial Statement3'!G154+'Financial Statement4'!G154</f>
        <v>0</v>
      </c>
      <c r="H151" s="547">
        <f>'Financial Statement1'!H154+'Financial Statement2'!H154+'Financial Statement3'!H154+'Financial Statement4'!H154</f>
        <v>0</v>
      </c>
      <c r="I151" s="547">
        <f>'Financial Statement1'!I154+'Financial Statement2'!I154+'Financial Statement3'!I154+'Financial Statement4'!I154</f>
        <v>0</v>
      </c>
      <c r="J151" s="547">
        <f>'Financial Statement1'!J154+'Financial Statement2'!J154+'Financial Statement3'!J154+'Financial Statement4'!J154</f>
        <v>0</v>
      </c>
      <c r="K151" s="548">
        <f>'Financial Statement1'!K154+'Financial Statement2'!K154+'Financial Statement3'!K154+'Financial Statement4'!K154</f>
        <v>0</v>
      </c>
      <c r="L151" s="412"/>
    </row>
    <row r="152" spans="1:12" s="413" customFormat="1" ht="15" customHeight="1" outlineLevel="1">
      <c r="B152" s="407"/>
      <c r="C152" s="970"/>
      <c r="E152" s="1003" t="s">
        <v>279</v>
      </c>
      <c r="F152" s="1004"/>
      <c r="G152" s="547">
        <f>'Financial Statement1'!G155+'Financial Statement2'!G155+'Financial Statement3'!G155+'Financial Statement4'!G155</f>
        <v>0</v>
      </c>
      <c r="H152" s="547">
        <f>'Financial Statement1'!H155+'Financial Statement2'!H155+'Financial Statement3'!H155+'Financial Statement4'!H155</f>
        <v>0</v>
      </c>
      <c r="I152" s="593">
        <f>'Financial Statement1'!I155+'Financial Statement2'!I155+'Financial Statement3'!I155+'Financial Statement4'!I155</f>
        <v>0</v>
      </c>
      <c r="J152" s="593">
        <f>'Financial Statement1'!J155+'Financial Statement2'!J155+'Financial Statement3'!J155+'Financial Statement4'!J155</f>
        <v>0</v>
      </c>
      <c r="K152" s="548">
        <f>'Financial Statement1'!K155+'Financial Statement2'!K155+'Financial Statement3'!K155+'Financial Statement4'!K155</f>
        <v>0</v>
      </c>
      <c r="L152" s="412"/>
    </row>
    <row r="153" spans="1:12" s="388" customFormat="1" ht="15" customHeight="1">
      <c r="B153" s="403"/>
      <c r="C153" s="970"/>
      <c r="D153" s="955" t="s">
        <v>727</v>
      </c>
      <c r="E153" s="956"/>
      <c r="F153" s="957"/>
      <c r="G153" s="551">
        <f>'Financial Statement1'!G156+'Financial Statement2'!G156+'Financial Statement3'!G156+'Financial Statement4'!G156</f>
        <v>0</v>
      </c>
      <c r="H153" s="551">
        <f>'Financial Statement1'!H156+'Financial Statement2'!H156+'Financial Statement3'!H156+'Financial Statement4'!H156</f>
        <v>0</v>
      </c>
      <c r="I153" s="543">
        <f>'Financial Statement1'!I156+'Financial Statement2'!I156+'Financial Statement3'!I156+'Financial Statement4'!I156</f>
        <v>0</v>
      </c>
      <c r="J153" s="543">
        <f>'Financial Statement1'!J156+'Financial Statement2'!J156+'Financial Statement3'!J156+'Financial Statement4'!J156</f>
        <v>0</v>
      </c>
      <c r="K153" s="552">
        <f>'Financial Statement1'!K156+'Financial Statement2'!K156+'Financial Statement3'!K156+'Financial Statement4'!K156</f>
        <v>0</v>
      </c>
      <c r="L153" s="387"/>
    </row>
    <row r="154" spans="1:12" s="388" customFormat="1" ht="15" customHeight="1">
      <c r="B154" s="403"/>
      <c r="C154" s="970"/>
      <c r="D154" s="955" t="s">
        <v>728</v>
      </c>
      <c r="E154" s="956"/>
      <c r="F154" s="957"/>
      <c r="G154" s="543">
        <f>SUM(G155:G157)</f>
        <v>0</v>
      </c>
      <c r="H154" s="543">
        <f>SUM(H155:H157)</f>
        <v>0</v>
      </c>
      <c r="I154" s="543">
        <f>SUM(I155:I157)</f>
        <v>0</v>
      </c>
      <c r="J154" s="543">
        <f>SUM(J155:J157)</f>
        <v>0</v>
      </c>
      <c r="K154" s="544">
        <f>SUM(K155:K157)</f>
        <v>0</v>
      </c>
      <c r="L154" s="387"/>
    </row>
    <row r="155" spans="1:12" s="413" customFormat="1" ht="15" customHeight="1" outlineLevel="1">
      <c r="B155" s="407"/>
      <c r="C155" s="970"/>
      <c r="D155" s="434"/>
      <c r="E155" s="997" t="s">
        <v>808</v>
      </c>
      <c r="F155" s="998"/>
      <c r="G155" s="592">
        <f>'Financial Statement1'!G158+'Financial Statement2'!G158+'Financial Statement3'!G158+'Financial Statement4'!G158</f>
        <v>0</v>
      </c>
      <c r="H155" s="571">
        <f>'Financial Statement1'!H158+'Financial Statement2'!H158+'Financial Statement3'!H158+'Financial Statement4'!H158</f>
        <v>0</v>
      </c>
      <c r="I155" s="571">
        <f>'Financial Statement1'!I158+'Financial Statement2'!I158+'Financial Statement3'!I158+'Financial Statement4'!I158</f>
        <v>0</v>
      </c>
      <c r="J155" s="571">
        <f>'Financial Statement1'!J158+'Financial Statement2'!J158+'Financial Statement3'!J158+'Financial Statement4'!J158</f>
        <v>0</v>
      </c>
      <c r="K155" s="572">
        <f>'Financial Statement1'!K158+'Financial Statement2'!K158+'Financial Statement3'!K158+'Financial Statement4'!K158</f>
        <v>0</v>
      </c>
      <c r="L155" s="412"/>
    </row>
    <row r="156" spans="1:12" s="413" customFormat="1" ht="15" customHeight="1" outlineLevel="1">
      <c r="B156" s="407"/>
      <c r="C156" s="970"/>
      <c r="D156" s="428"/>
      <c r="E156" s="991" t="s">
        <v>729</v>
      </c>
      <c r="F156" s="992"/>
      <c r="G156" s="593">
        <f>'Financial Statement1'!G159+'Financial Statement2'!G159+'Financial Statement3'!G159+'Financial Statement4'!G159</f>
        <v>0</v>
      </c>
      <c r="H156" s="547">
        <f>'Financial Statement1'!H159+'Financial Statement2'!H159+'Financial Statement3'!H159+'Financial Statement4'!H159</f>
        <v>0</v>
      </c>
      <c r="I156" s="547">
        <f>'Financial Statement1'!I159+'Financial Statement2'!I159+'Financial Statement3'!I159+'Financial Statement4'!I159</f>
        <v>0</v>
      </c>
      <c r="J156" s="547">
        <f>'Financial Statement1'!J159+'Financial Statement2'!J159+'Financial Statement3'!J159+'Financial Statement4'!J159</f>
        <v>0</v>
      </c>
      <c r="K156" s="548">
        <f>'Financial Statement1'!K159+'Financial Statement2'!K159+'Financial Statement3'!K159+'Financial Statement4'!K159</f>
        <v>0</v>
      </c>
      <c r="L156" s="412"/>
    </row>
    <row r="157" spans="1:12" s="413" customFormat="1" ht="15" customHeight="1" outlineLevel="1" thickBot="1">
      <c r="B157" s="407"/>
      <c r="C157" s="988"/>
      <c r="D157" s="481"/>
      <c r="E157" s="999" t="s">
        <v>279</v>
      </c>
      <c r="F157" s="1000"/>
      <c r="G157" s="596">
        <f>'Financial Statement1'!G160+'Financial Statement2'!G160+'Financial Statement3'!G160+'Financial Statement4'!G160</f>
        <v>0</v>
      </c>
      <c r="H157" s="590">
        <f>'Financial Statement1'!H160+'Financial Statement2'!H160+'Financial Statement3'!H160+'Financial Statement4'!H160</f>
        <v>0</v>
      </c>
      <c r="I157" s="590">
        <f>'Financial Statement1'!I160+'Financial Statement2'!I160+'Financial Statement3'!I160+'Financial Statement4'!I160</f>
        <v>0</v>
      </c>
      <c r="J157" s="590">
        <f>'Financial Statement1'!J160+'Financial Statement2'!J160+'Financial Statement3'!J160+'Financial Statement4'!J160</f>
        <v>0</v>
      </c>
      <c r="K157" s="591">
        <f>'Financial Statement1'!K160+'Financial Statement2'!K160+'Financial Statement3'!K160+'Financial Statement4'!K160</f>
        <v>0</v>
      </c>
      <c r="L157" s="412"/>
    </row>
    <row r="158" spans="1:12" ht="16.5" customHeight="1" thickBot="1">
      <c r="A158" s="388"/>
      <c r="B158" s="379"/>
      <c r="C158" s="965" t="s">
        <v>730</v>
      </c>
      <c r="D158" s="966"/>
      <c r="E158" s="966"/>
      <c r="F158" s="966" t="s">
        <v>731</v>
      </c>
      <c r="G158" s="545">
        <f>G140+G148+G153+G154</f>
        <v>0</v>
      </c>
      <c r="H158" s="545">
        <f>H140+H148+H153+H154</f>
        <v>0</v>
      </c>
      <c r="I158" s="545">
        <f>I140+I148+I153+I154</f>
        <v>0</v>
      </c>
      <c r="J158" s="545">
        <f>SUM(J140,J148,J153,J154)</f>
        <v>0</v>
      </c>
      <c r="K158" s="546">
        <f>SUM(K140,K148,K153,K154)</f>
        <v>0</v>
      </c>
      <c r="L158" s="378"/>
    </row>
    <row r="159" spans="1:12" ht="16.5" customHeight="1" thickBot="1">
      <c r="A159" s="388"/>
      <c r="B159" s="379"/>
      <c r="C159" s="961" t="s">
        <v>731</v>
      </c>
      <c r="D159" s="962"/>
      <c r="E159" s="962"/>
      <c r="F159" s="962"/>
      <c r="G159" s="565">
        <f>G115+G137+G158</f>
        <v>0</v>
      </c>
      <c r="H159" s="565">
        <f>H115+H137+H158</f>
        <v>0</v>
      </c>
      <c r="I159" s="565">
        <f>I115+I137+I158</f>
        <v>0</v>
      </c>
      <c r="J159" s="565">
        <f>J115+J137+J158</f>
        <v>0</v>
      </c>
      <c r="K159" s="566">
        <f>K115+K137+K158</f>
        <v>0</v>
      </c>
      <c r="L159" s="378"/>
    </row>
    <row r="160" spans="1:12" ht="16.5" customHeight="1" thickBot="1">
      <c r="B160" s="379"/>
      <c r="C160" s="967"/>
      <c r="D160" s="968"/>
      <c r="E160" s="968"/>
      <c r="F160" s="968"/>
      <c r="G160" s="968"/>
      <c r="H160" s="968"/>
      <c r="I160" s="968"/>
      <c r="J160" s="968"/>
      <c r="K160" s="969"/>
      <c r="L160" s="378"/>
    </row>
    <row r="161" spans="1:14" ht="18.75" thickBot="1">
      <c r="B161" s="379"/>
      <c r="C161" s="983" t="s">
        <v>732</v>
      </c>
      <c r="D161" s="984"/>
      <c r="E161" s="984"/>
      <c r="F161" s="984" t="s">
        <v>732</v>
      </c>
      <c r="G161" s="984"/>
      <c r="H161" s="984"/>
      <c r="I161" s="984"/>
      <c r="J161" s="984"/>
      <c r="K161" s="985"/>
      <c r="L161" s="378"/>
      <c r="M161" s="415"/>
      <c r="N161" s="415"/>
    </row>
    <row r="162" spans="1:14" ht="16.5" customHeight="1">
      <c r="B162" s="379"/>
      <c r="C162" s="986" t="s">
        <v>733</v>
      </c>
      <c r="D162" s="987"/>
      <c r="E162" s="987"/>
      <c r="F162" s="987"/>
      <c r="G162" s="484"/>
      <c r="H162" s="485"/>
      <c r="I162" s="485"/>
      <c r="J162" s="485"/>
      <c r="K162" s="486"/>
      <c r="L162" s="378"/>
    </row>
    <row r="163" spans="1:14" s="388" customFormat="1" ht="15" customHeight="1">
      <c r="A163" s="371"/>
      <c r="B163" s="403"/>
      <c r="C163" s="970"/>
      <c r="D163" s="955" t="s">
        <v>734</v>
      </c>
      <c r="E163" s="956"/>
      <c r="F163" s="957"/>
      <c r="G163" s="543">
        <f>G164-G168+G169-G170+G171+G172</f>
        <v>0</v>
      </c>
      <c r="H163" s="543">
        <f>H164-H168+H169-H170+H171+H172</f>
        <v>0</v>
      </c>
      <c r="I163" s="543">
        <f>I164-I168+I169-I170+I171+I172</f>
        <v>0</v>
      </c>
      <c r="J163" s="543">
        <f>J164-J168+J169-J170+J171+J172</f>
        <v>0</v>
      </c>
      <c r="K163" s="544">
        <f>K164-K168+K169-K170+K171+K172</f>
        <v>0</v>
      </c>
      <c r="L163" s="387"/>
    </row>
    <row r="164" spans="1:14" s="388" customFormat="1" ht="12.75" outlineLevel="1">
      <c r="B164" s="403"/>
      <c r="C164" s="970"/>
      <c r="D164" s="404"/>
      <c r="E164" s="989" t="s">
        <v>735</v>
      </c>
      <c r="F164" s="990"/>
      <c r="G164" s="541">
        <f>SUM(G165:G167)</f>
        <v>0</v>
      </c>
      <c r="H164" s="541">
        <f>SUM(H165:H167)</f>
        <v>0</v>
      </c>
      <c r="I164" s="541">
        <f>SUM(I165:I167)</f>
        <v>0</v>
      </c>
      <c r="J164" s="541">
        <f>SUM(J165:J167)</f>
        <v>0</v>
      </c>
      <c r="K164" s="542">
        <f>SUM(K165:K167)</f>
        <v>0</v>
      </c>
      <c r="L164" s="387"/>
    </row>
    <row r="165" spans="1:14" s="413" customFormat="1" ht="13.5" customHeight="1" outlineLevel="1">
      <c r="B165" s="407"/>
      <c r="C165" s="970"/>
      <c r="E165" s="434"/>
      <c r="F165" s="409" t="s">
        <v>736</v>
      </c>
      <c r="G165" s="592">
        <f>'Financial Statement1'!G168+'Financial Statement2'!G168+'Financial Statement3'!G168+'Financial Statement4'!G168</f>
        <v>0</v>
      </c>
      <c r="H165" s="571">
        <f>'Financial Statement1'!H168+'Financial Statement2'!H168+'Financial Statement3'!H168+'Financial Statement4'!H168</f>
        <v>0</v>
      </c>
      <c r="I165" s="595">
        <f>'Financial Statement1'!I168+'Financial Statement2'!I168+'Financial Statement3'!I168+'Financial Statement4'!I168</f>
        <v>0</v>
      </c>
      <c r="J165" s="595">
        <f>'Financial Statement1'!J168+'Financial Statement2'!J168+'Financial Statement3'!J168+'Financial Statement4'!J168</f>
        <v>0</v>
      </c>
      <c r="K165" s="572">
        <f>'Financial Statement1'!K168+'Financial Statement2'!K168+'Financial Statement3'!K168+'Financial Statement4'!K168</f>
        <v>0</v>
      </c>
      <c r="L165" s="412"/>
    </row>
    <row r="166" spans="1:14" s="413" customFormat="1" ht="13.5" customHeight="1" outlineLevel="1">
      <c r="B166" s="407"/>
      <c r="C166" s="970"/>
      <c r="E166" s="428"/>
      <c r="F166" s="414" t="s">
        <v>737</v>
      </c>
      <c r="G166" s="547">
        <f>'Financial Statement1'!G169+'Financial Statement2'!G169+'Financial Statement3'!G169+'Financial Statement4'!G169</f>
        <v>0</v>
      </c>
      <c r="H166" s="547">
        <f>'Financial Statement1'!H169+'Financial Statement2'!H169+'Financial Statement3'!H169+'Financial Statement4'!H169</f>
        <v>0</v>
      </c>
      <c r="I166" s="547">
        <f>'Financial Statement1'!I169+'Financial Statement2'!I169+'Financial Statement3'!I169+'Financial Statement4'!I169</f>
        <v>0</v>
      </c>
      <c r="J166" s="547">
        <f>'Financial Statement1'!J169+'Financial Statement2'!J169+'Financial Statement3'!J169+'Financial Statement4'!J169</f>
        <v>0</v>
      </c>
      <c r="K166" s="548">
        <f>'Financial Statement1'!K169+'Financial Statement2'!K169+'Financial Statement3'!K169+'Financial Statement4'!K169</f>
        <v>0</v>
      </c>
      <c r="L166" s="412"/>
    </row>
    <row r="167" spans="1:14" s="413" customFormat="1" ht="13.5" customHeight="1" outlineLevel="1">
      <c r="B167" s="407"/>
      <c r="C167" s="970"/>
      <c r="E167" s="428"/>
      <c r="F167" s="414" t="s">
        <v>638</v>
      </c>
      <c r="G167" s="547">
        <f>'Financial Statement1'!G170+'Financial Statement2'!G170+'Financial Statement3'!G170+'Financial Statement4'!G170</f>
        <v>0</v>
      </c>
      <c r="H167" s="547">
        <f>'Financial Statement1'!H170+'Financial Statement2'!H170+'Financial Statement3'!H170+'Financial Statement4'!H170</f>
        <v>0</v>
      </c>
      <c r="I167" s="599">
        <f>'Financial Statement1'!I170+'Financial Statement2'!I170+'Financial Statement3'!I170+'Financial Statement4'!I170</f>
        <v>0</v>
      </c>
      <c r="J167" s="599">
        <f>'Financial Statement1'!J170+'Financial Statement2'!J170+'Financial Statement3'!J170+'Financial Statement4'!J170</f>
        <v>0</v>
      </c>
      <c r="K167" s="548">
        <f>'Financial Statement1'!K170+'Financial Statement2'!K170+'Financial Statement3'!K170+'Financial Statement4'!K170</f>
        <v>0</v>
      </c>
      <c r="L167" s="412"/>
    </row>
    <row r="168" spans="1:14" s="413" customFormat="1" ht="15" customHeight="1" outlineLevel="1">
      <c r="B168" s="407"/>
      <c r="C168" s="970"/>
      <c r="E168" s="991" t="s">
        <v>738</v>
      </c>
      <c r="F168" s="992"/>
      <c r="G168" s="593">
        <f>'Financial Statement1'!G171+'Financial Statement2'!G171+'Financial Statement3'!G171+'Financial Statement4'!G171</f>
        <v>0</v>
      </c>
      <c r="H168" s="547">
        <f>'Financial Statement1'!H171+'Financial Statement2'!H171+'Financial Statement3'!H171+'Financial Statement4'!H171</f>
        <v>0</v>
      </c>
      <c r="I168" s="547">
        <f>'Financial Statement1'!I171+'Financial Statement2'!I171+'Financial Statement3'!I171+'Financial Statement4'!I171</f>
        <v>0</v>
      </c>
      <c r="J168" s="547">
        <f>'Financial Statement1'!J171+'Financial Statement2'!J171+'Financial Statement3'!J171+'Financial Statement4'!J171</f>
        <v>0</v>
      </c>
      <c r="K168" s="548">
        <f>'Financial Statement1'!K171+'Financial Statement2'!K171+'Financial Statement3'!K171+'Financial Statement4'!K171</f>
        <v>0</v>
      </c>
      <c r="L168" s="412"/>
    </row>
    <row r="169" spans="1:14" s="413" customFormat="1" ht="13.5" customHeight="1" outlineLevel="1">
      <c r="B169" s="407"/>
      <c r="C169" s="970"/>
      <c r="E169" s="991" t="s">
        <v>739</v>
      </c>
      <c r="F169" s="992"/>
      <c r="G169" s="547">
        <f>'Financial Statement1'!G172+'Financial Statement2'!G172+'Financial Statement3'!G172+'Financial Statement4'!G172</f>
        <v>0</v>
      </c>
      <c r="H169" s="547">
        <f>'Financial Statement1'!H172+'Financial Statement2'!H172+'Financial Statement3'!H172+'Financial Statement4'!H172</f>
        <v>0</v>
      </c>
      <c r="I169" s="547">
        <f>'Financial Statement1'!I172+'Financial Statement2'!I172+'Financial Statement3'!I172+'Financial Statement4'!I172</f>
        <v>0</v>
      </c>
      <c r="J169" s="547">
        <f>'Financial Statement1'!J172+'Financial Statement2'!J172+'Financial Statement3'!J172+'Financial Statement4'!J172</f>
        <v>0</v>
      </c>
      <c r="K169" s="548">
        <f>'Financial Statement1'!K172+'Financial Statement2'!K172+'Financial Statement3'!K172+'Financial Statement4'!K172</f>
        <v>0</v>
      </c>
      <c r="L169" s="412"/>
    </row>
    <row r="170" spans="1:14" s="413" customFormat="1" ht="13.5" customHeight="1" outlineLevel="1">
      <c r="B170" s="407"/>
      <c r="C170" s="970"/>
      <c r="E170" s="991" t="s">
        <v>738</v>
      </c>
      <c r="F170" s="992"/>
      <c r="G170" s="547">
        <f>'Financial Statement1'!G173+'Financial Statement2'!G173+'Financial Statement3'!G173+'Financial Statement4'!G173</f>
        <v>0</v>
      </c>
      <c r="H170" s="547">
        <f>'Financial Statement1'!H173+'Financial Statement2'!H173+'Financial Statement3'!H173+'Financial Statement4'!H173</f>
        <v>0</v>
      </c>
      <c r="I170" s="547">
        <f>'Financial Statement1'!I173+'Financial Statement2'!I173+'Financial Statement3'!I173+'Financial Statement4'!I173</f>
        <v>0</v>
      </c>
      <c r="J170" s="547">
        <f>'Financial Statement1'!J173+'Financial Statement2'!J173+'Financial Statement3'!J173+'Financial Statement4'!J173</f>
        <v>0</v>
      </c>
      <c r="K170" s="548">
        <f>'Financial Statement1'!K173+'Financial Statement2'!K173+'Financial Statement3'!K173+'Financial Statement4'!K173</f>
        <v>0</v>
      </c>
      <c r="L170" s="412"/>
    </row>
    <row r="171" spans="1:14" s="413" customFormat="1" ht="13.5" customHeight="1" outlineLevel="1">
      <c r="B171" s="407"/>
      <c r="C171" s="970"/>
      <c r="E171" s="991" t="s">
        <v>740</v>
      </c>
      <c r="F171" s="992"/>
      <c r="G171" s="593">
        <f>'Financial Statement1'!G174+'Financial Statement2'!G174+'Financial Statement3'!G174+'Financial Statement4'!G174</f>
        <v>0</v>
      </c>
      <c r="H171" s="547">
        <f>'Financial Statement1'!H174+'Financial Statement2'!H174+'Financial Statement3'!H174+'Financial Statement4'!H174</f>
        <v>0</v>
      </c>
      <c r="I171" s="547">
        <f>'Financial Statement1'!I174+'Financial Statement2'!I174+'Financial Statement3'!I174+'Financial Statement4'!I174</f>
        <v>0</v>
      </c>
      <c r="J171" s="547">
        <f>'Financial Statement1'!J174+'Financial Statement2'!J174+'Financial Statement3'!J174+'Financial Statement4'!J174</f>
        <v>0</v>
      </c>
      <c r="K171" s="548">
        <f>'Financial Statement1'!K174+'Financial Statement2'!K174+'Financial Statement3'!K174+'Financial Statement4'!K174</f>
        <v>0</v>
      </c>
      <c r="L171" s="412"/>
    </row>
    <row r="172" spans="1:14" s="413" customFormat="1" ht="13.5" customHeight="1" outlineLevel="1">
      <c r="B172" s="407"/>
      <c r="C172" s="970"/>
      <c r="E172" s="991" t="s">
        <v>741</v>
      </c>
      <c r="F172" s="992"/>
      <c r="G172" s="593">
        <f>'Financial Statement1'!G175+'Financial Statement2'!G175+'Financial Statement3'!G175+'Financial Statement4'!G175</f>
        <v>0</v>
      </c>
      <c r="H172" s="547">
        <f>'Financial Statement1'!H175+'Financial Statement2'!H175+'Financial Statement3'!H175+'Financial Statement4'!H175</f>
        <v>0</v>
      </c>
      <c r="I172" s="547">
        <f>'Financial Statement1'!I175+'Financial Statement2'!I175+'Financial Statement3'!I175+'Financial Statement4'!I175</f>
        <v>0</v>
      </c>
      <c r="J172" s="547">
        <f>'Financial Statement1'!J175+'Financial Statement2'!J175+'Financial Statement3'!J175+'Financial Statement4'!J175</f>
        <v>0</v>
      </c>
      <c r="K172" s="548">
        <f>'Financial Statement1'!K175+'Financial Statement2'!K175+'Financial Statement3'!K175+'Financial Statement4'!K175</f>
        <v>0</v>
      </c>
      <c r="L172" s="412"/>
    </row>
    <row r="173" spans="1:14" s="388" customFormat="1" ht="15" customHeight="1">
      <c r="A173" s="413"/>
      <c r="B173" s="403"/>
      <c r="C173" s="970"/>
      <c r="D173" s="955" t="s">
        <v>742</v>
      </c>
      <c r="E173" s="956"/>
      <c r="F173" s="957"/>
      <c r="G173" s="543">
        <f>SUM(G174:G177)</f>
        <v>0</v>
      </c>
      <c r="H173" s="543">
        <f>SUM(H174:H177)</f>
        <v>0</v>
      </c>
      <c r="I173" s="543">
        <f>SUM(I174:I177)</f>
        <v>0</v>
      </c>
      <c r="J173" s="543">
        <f>SUM(J174:J177)</f>
        <v>0</v>
      </c>
      <c r="K173" s="544">
        <f>SUM(K174:K177)</f>
        <v>0</v>
      </c>
      <c r="L173" s="387"/>
    </row>
    <row r="174" spans="1:14" s="413" customFormat="1" ht="13.5" customHeight="1" outlineLevel="1">
      <c r="B174" s="407"/>
      <c r="C174" s="970"/>
      <c r="D174" s="408"/>
      <c r="E174" s="973" t="s">
        <v>743</v>
      </c>
      <c r="F174" s="974"/>
      <c r="G174" s="571">
        <f>'Financial Statement1'!G177+'Financial Statement2'!G177+'Financial Statement3'!G177+'Financial Statement4'!G177</f>
        <v>0</v>
      </c>
      <c r="H174" s="571">
        <f>'Financial Statement1'!H177+'Financial Statement2'!H177+'Financial Statement3'!H177+'Financial Statement4'!H177</f>
        <v>0</v>
      </c>
      <c r="I174" s="571">
        <f>'Financial Statement1'!I177+'Financial Statement2'!I177+'Financial Statement3'!I177+'Financial Statement4'!I177</f>
        <v>0</v>
      </c>
      <c r="J174" s="571">
        <f>'Financial Statement1'!J177+'Financial Statement2'!J177+'Financial Statement3'!J177+'Financial Statement4'!J177</f>
        <v>0</v>
      </c>
      <c r="K174" s="572">
        <f>'Financial Statement1'!K177+'Financial Statement2'!K177+'Financial Statement3'!K177+'Financial Statement4'!K177</f>
        <v>0</v>
      </c>
      <c r="L174" s="412"/>
    </row>
    <row r="175" spans="1:14" s="413" customFormat="1" ht="13.5" customHeight="1" outlineLevel="1">
      <c r="B175" s="407"/>
      <c r="C175" s="970"/>
      <c r="E175" s="975" t="s">
        <v>744</v>
      </c>
      <c r="F175" s="976"/>
      <c r="G175" s="547">
        <f>'Financial Statement1'!G178+'Financial Statement2'!G178+'Financial Statement3'!G178+'Financial Statement4'!G178</f>
        <v>0</v>
      </c>
      <c r="H175" s="547">
        <f>'Financial Statement1'!H178+'Financial Statement2'!H178+'Financial Statement3'!H178+'Financial Statement4'!H178</f>
        <v>0</v>
      </c>
      <c r="I175" s="547">
        <f>'Financial Statement1'!I178+'Financial Statement2'!I178+'Financial Statement3'!I178+'Financial Statement4'!I178</f>
        <v>0</v>
      </c>
      <c r="J175" s="547">
        <f>'Financial Statement1'!J178+'Financial Statement2'!J178+'Financial Statement3'!J178+'Financial Statement4'!J178</f>
        <v>0</v>
      </c>
      <c r="K175" s="548">
        <f>'Financial Statement1'!K178+'Financial Statement2'!K178+'Financial Statement3'!K178+'Financial Statement4'!K178</f>
        <v>0</v>
      </c>
      <c r="L175" s="412"/>
    </row>
    <row r="176" spans="1:14" s="413" customFormat="1" ht="13.5" customHeight="1" outlineLevel="1">
      <c r="B176" s="407"/>
      <c r="C176" s="970"/>
      <c r="E176" s="975" t="s">
        <v>745</v>
      </c>
      <c r="F176" s="976"/>
      <c r="G176" s="547">
        <f>'Financial Statement1'!G179+'Financial Statement2'!G179+'Financial Statement3'!G179+'Financial Statement4'!G179</f>
        <v>0</v>
      </c>
      <c r="H176" s="547">
        <f>'Financial Statement1'!H179+'Financial Statement2'!H179+'Financial Statement3'!H179+'Financial Statement4'!H179</f>
        <v>0</v>
      </c>
      <c r="I176" s="547">
        <f>'Financial Statement1'!I179+'Financial Statement2'!I179+'Financial Statement3'!I179+'Financial Statement4'!I179</f>
        <v>0</v>
      </c>
      <c r="J176" s="547">
        <f>'Financial Statement1'!J179+'Financial Statement2'!J179+'Financial Statement3'!J179+'Financial Statement4'!J179</f>
        <v>0</v>
      </c>
      <c r="K176" s="548">
        <f>'Financial Statement1'!K179+'Financial Statement2'!K179+'Financial Statement3'!K179+'Financial Statement4'!K179</f>
        <v>0</v>
      </c>
      <c r="L176" s="412"/>
    </row>
    <row r="177" spans="1:12" s="413" customFormat="1" ht="13.5" customHeight="1" outlineLevel="1">
      <c r="B177" s="407"/>
      <c r="C177" s="970"/>
      <c r="E177" s="975" t="s">
        <v>746</v>
      </c>
      <c r="F177" s="976"/>
      <c r="G177" s="547">
        <f>'Financial Statement1'!G180+'Financial Statement2'!G180+'Financial Statement3'!G180+'Financial Statement4'!G180</f>
        <v>0</v>
      </c>
      <c r="H177" s="547">
        <f>'Financial Statement1'!H180+'Financial Statement2'!H180+'Financial Statement3'!H180+'Financial Statement4'!H180</f>
        <v>0</v>
      </c>
      <c r="I177" s="547">
        <f>'Financial Statement1'!I180+'Financial Statement2'!I180+'Financial Statement3'!I180+'Financial Statement4'!I180</f>
        <v>0</v>
      </c>
      <c r="J177" s="547">
        <f>'Financial Statement1'!J180+'Financial Statement2'!J180+'Financial Statement3'!J180+'Financial Statement4'!J180</f>
        <v>0</v>
      </c>
      <c r="K177" s="548">
        <f>'Financial Statement1'!K180+'Financial Statement2'!K180+'Financial Statement3'!K180+'Financial Statement4'!K180</f>
        <v>0</v>
      </c>
      <c r="L177" s="412"/>
    </row>
    <row r="178" spans="1:12" s="388" customFormat="1" ht="15" customHeight="1">
      <c r="A178" s="413"/>
      <c r="B178" s="403"/>
      <c r="C178" s="970"/>
      <c r="D178" s="955" t="s">
        <v>747</v>
      </c>
      <c r="E178" s="956"/>
      <c r="F178" s="957"/>
      <c r="G178" s="543">
        <f>SUM(G179,G183)</f>
        <v>0</v>
      </c>
      <c r="H178" s="543">
        <f>SUM(H179,H183)</f>
        <v>0</v>
      </c>
      <c r="I178" s="543">
        <f>SUM(I179,I183)</f>
        <v>0</v>
      </c>
      <c r="J178" s="543">
        <f>SUM(J179,J183)</f>
        <v>0</v>
      </c>
      <c r="K178" s="544">
        <f>SUM(K179,K183)</f>
        <v>0</v>
      </c>
      <c r="L178" s="387"/>
    </row>
    <row r="179" spans="1:12" s="413" customFormat="1" ht="13.5" customHeight="1" outlineLevel="1">
      <c r="B179" s="407"/>
      <c r="C179" s="970"/>
      <c r="D179" s="408"/>
      <c r="E179" s="951" t="s">
        <v>716</v>
      </c>
      <c r="F179" s="952"/>
      <c r="G179" s="567">
        <f>SUM(G180:G182)</f>
        <v>0</v>
      </c>
      <c r="H179" s="567">
        <f>SUM(H180:H182)</f>
        <v>0</v>
      </c>
      <c r="I179" s="567">
        <f>SUM(I180:I182)</f>
        <v>0</v>
      </c>
      <c r="J179" s="567">
        <f>SUM(J180:J182)</f>
        <v>0</v>
      </c>
      <c r="K179" s="568">
        <f>SUM(K180:K182)</f>
        <v>0</v>
      </c>
      <c r="L179" s="412"/>
    </row>
    <row r="180" spans="1:12" s="413" customFormat="1" ht="13.5" customHeight="1" outlineLevel="1">
      <c r="B180" s="407"/>
      <c r="C180" s="970"/>
      <c r="E180" s="490"/>
      <c r="F180" s="491" t="s">
        <v>748</v>
      </c>
      <c r="G180" s="567">
        <f>'Financial Statement1'!G183+'Financial Statement2'!G183+'Financial Statement3'!G183+'Financial Statement4'!G183</f>
        <v>0</v>
      </c>
      <c r="H180" s="567">
        <f>'Financial Statement1'!H183+'Financial Statement2'!H183+'Financial Statement3'!H183+'Financial Statement4'!H183</f>
        <v>0</v>
      </c>
      <c r="I180" s="567">
        <f>'Financial Statement1'!I183+'Financial Statement2'!I183+'Financial Statement3'!I183+'Financial Statement4'!I183</f>
        <v>0</v>
      </c>
      <c r="J180" s="567">
        <f>'Financial Statement1'!J183+'Financial Statement2'!J183+'Financial Statement3'!J183+'Financial Statement4'!J183</f>
        <v>0</v>
      </c>
      <c r="K180" s="568">
        <f>'Financial Statement1'!K183+'Financial Statement2'!K183+'Financial Statement3'!K183+'Financial Statement4'!K183</f>
        <v>0</v>
      </c>
      <c r="L180" s="412"/>
    </row>
    <row r="181" spans="1:12" s="413" customFormat="1" ht="13.5" customHeight="1" outlineLevel="1">
      <c r="B181" s="407"/>
      <c r="C181" s="970"/>
      <c r="E181" s="492"/>
      <c r="F181" s="493" t="s">
        <v>749</v>
      </c>
      <c r="G181" s="600">
        <f>'Financial Statement1'!G184+'Financial Statement2'!G184+'Financial Statement3'!G184+'Financial Statement4'!G184</f>
        <v>0</v>
      </c>
      <c r="H181" s="600">
        <f>'Financial Statement1'!H184+'Financial Statement2'!H184+'Financial Statement3'!H184+'Financial Statement4'!H184</f>
        <v>0</v>
      </c>
      <c r="I181" s="600">
        <f>'Financial Statement1'!I184+'Financial Statement2'!I184+'Financial Statement3'!I184+'Financial Statement4'!I184</f>
        <v>0</v>
      </c>
      <c r="J181" s="600">
        <f>'Financial Statement1'!J184+'Financial Statement2'!J184+'Financial Statement3'!J184+'Financial Statement4'!J184</f>
        <v>0</v>
      </c>
      <c r="K181" s="601">
        <f>'Financial Statement1'!K184+'Financial Statement2'!K184+'Financial Statement3'!K184+'Financial Statement4'!K184</f>
        <v>0</v>
      </c>
      <c r="L181" s="412"/>
    </row>
    <row r="182" spans="1:12" s="413" customFormat="1" ht="13.5" customHeight="1" outlineLevel="1">
      <c r="B182" s="407"/>
      <c r="C182" s="970"/>
      <c r="E182" s="492"/>
      <c r="F182" s="493" t="s">
        <v>750</v>
      </c>
      <c r="G182" s="600">
        <f>'Financial Statement1'!G185+'Financial Statement2'!G185+'Financial Statement3'!G185+'Financial Statement4'!G185</f>
        <v>0</v>
      </c>
      <c r="H182" s="600">
        <f>'Financial Statement1'!H185+'Financial Statement2'!H185+'Financial Statement3'!H185+'Financial Statement4'!H185</f>
        <v>0</v>
      </c>
      <c r="I182" s="600">
        <f>'Financial Statement1'!I185+'Financial Statement2'!I185+'Financial Statement3'!I185+'Financial Statement4'!I185</f>
        <v>0</v>
      </c>
      <c r="J182" s="600">
        <f>'Financial Statement1'!J185+'Financial Statement2'!J185+'Financial Statement3'!J185+'Financial Statement4'!J185</f>
        <v>0</v>
      </c>
      <c r="K182" s="601">
        <f>'Financial Statement1'!K185+'Financial Statement2'!K185+'Financial Statement3'!K185+'Financial Statement4'!K185</f>
        <v>0</v>
      </c>
      <c r="L182" s="412"/>
    </row>
    <row r="183" spans="1:12" s="413" customFormat="1" ht="13.5" customHeight="1" outlineLevel="1">
      <c r="B183" s="407"/>
      <c r="C183" s="970"/>
      <c r="E183" s="953" t="s">
        <v>279</v>
      </c>
      <c r="F183" s="954"/>
      <c r="G183" s="547">
        <f>'Financial Statement1'!G186+'Financial Statement2'!G186+'Financial Statement3'!G186+'Financial Statement4'!G186</f>
        <v>0</v>
      </c>
      <c r="H183" s="547">
        <f>'Financial Statement1'!H186+'Financial Statement2'!H186+'Financial Statement3'!H186+'Financial Statement4'!H186</f>
        <v>0</v>
      </c>
      <c r="I183" s="547">
        <f>'Financial Statement1'!I186+'Financial Statement2'!I186+'Financial Statement3'!I186+'Financial Statement4'!I186</f>
        <v>0</v>
      </c>
      <c r="J183" s="547">
        <f>'Financial Statement1'!J186+'Financial Statement2'!J186+'Financial Statement3'!J186+'Financial Statement4'!J186</f>
        <v>0</v>
      </c>
      <c r="K183" s="548">
        <f>'Financial Statement1'!K186+'Financial Statement2'!K186+'Financial Statement3'!K186+'Financial Statement4'!K186</f>
        <v>0</v>
      </c>
      <c r="L183" s="412"/>
    </row>
    <row r="184" spans="1:12" s="388" customFormat="1" ht="15" customHeight="1">
      <c r="A184" s="413"/>
      <c r="B184" s="403"/>
      <c r="C184" s="970"/>
      <c r="D184" s="955" t="s">
        <v>45</v>
      </c>
      <c r="E184" s="956"/>
      <c r="F184" s="957"/>
      <c r="G184" s="569">
        <f>'Financial Statement1'!G187+'Financial Statement2'!G187+'Financial Statement3'!G187+'Financial Statement4'!G187</f>
        <v>0</v>
      </c>
      <c r="H184" s="569">
        <f>'Financial Statement1'!H187+'Financial Statement2'!H187+'Financial Statement3'!H187+'Financial Statement4'!H187</f>
        <v>0</v>
      </c>
      <c r="I184" s="569">
        <f>'Financial Statement1'!I187+'Financial Statement2'!I187+'Financial Statement3'!I187+'Financial Statement4'!I187</f>
        <v>0</v>
      </c>
      <c r="J184" s="569">
        <f>'Financial Statement1'!J187+'Financial Statement2'!J187+'Financial Statement3'!J187+'Financial Statement4'!J187</f>
        <v>0</v>
      </c>
      <c r="K184" s="570">
        <f>'Financial Statement1'!K187+'Financial Statement2'!K187+'Financial Statement3'!K187+'Financial Statement4'!K187</f>
        <v>0</v>
      </c>
      <c r="L184" s="387"/>
    </row>
    <row r="185" spans="1:12" s="388" customFormat="1" ht="15" customHeight="1">
      <c r="A185" s="413"/>
      <c r="B185" s="403"/>
      <c r="C185" s="970"/>
      <c r="D185" s="955" t="s">
        <v>751</v>
      </c>
      <c r="E185" s="956"/>
      <c r="F185" s="957"/>
      <c r="G185" s="569">
        <f>SUM(G186:G188)</f>
        <v>0</v>
      </c>
      <c r="H185" s="569">
        <f>SUM(H186:H188)</f>
        <v>0</v>
      </c>
      <c r="I185" s="569">
        <f>SUM(I186:I188)</f>
        <v>0</v>
      </c>
      <c r="J185" s="569">
        <f>SUM(J186:J188)</f>
        <v>0</v>
      </c>
      <c r="K185" s="570">
        <f>SUM(K186:K188)</f>
        <v>0</v>
      </c>
      <c r="L185" s="387"/>
    </row>
    <row r="186" spans="1:12" s="413" customFormat="1" ht="15" customHeight="1" outlineLevel="1">
      <c r="B186" s="407"/>
      <c r="C186" s="970"/>
      <c r="D186" s="490"/>
      <c r="E186" s="993" t="s">
        <v>752</v>
      </c>
      <c r="F186" s="994"/>
      <c r="G186" s="602">
        <f>'Financial Statement1'!G189+'Financial Statement2'!G189+'Financial Statement3'!G189+'Financial Statement4'!G189</f>
        <v>0</v>
      </c>
      <c r="H186" s="602">
        <f>'Financial Statement1'!H189+'Financial Statement2'!H189+'Financial Statement3'!H189+'Financial Statement4'!H189</f>
        <v>0</v>
      </c>
      <c r="I186" s="602">
        <f>'Financial Statement1'!I189+'Financial Statement2'!I189+'Financial Statement3'!I189+'Financial Statement4'!I189</f>
        <v>0</v>
      </c>
      <c r="J186" s="602">
        <f>'Financial Statement1'!J189+'Financial Statement2'!J189+'Financial Statement3'!J189+'Financial Statement4'!J189</f>
        <v>0</v>
      </c>
      <c r="K186" s="603">
        <f>'Financial Statement1'!K189+'Financial Statement2'!K189+'Financial Statement3'!K189+'Financial Statement4'!K189</f>
        <v>0</v>
      </c>
      <c r="L186" s="412"/>
    </row>
    <row r="187" spans="1:12" s="413" customFormat="1" ht="15" customHeight="1" outlineLevel="1">
      <c r="B187" s="407"/>
      <c r="C187" s="970"/>
      <c r="D187" s="492"/>
      <c r="E187" s="977" t="s">
        <v>753</v>
      </c>
      <c r="F187" s="978"/>
      <c r="G187" s="604">
        <f>'Financial Statement1'!G190+'Financial Statement2'!G190+'Financial Statement3'!G190+'Financial Statement4'!G190</f>
        <v>0</v>
      </c>
      <c r="H187" s="604">
        <f>'Financial Statement1'!H190+'Financial Statement2'!H190+'Financial Statement3'!H190+'Financial Statement4'!H190</f>
        <v>0</v>
      </c>
      <c r="I187" s="604">
        <f>'Financial Statement1'!I190+'Financial Statement2'!I190+'Financial Statement3'!I190+'Financial Statement4'!I190</f>
        <v>0</v>
      </c>
      <c r="J187" s="604">
        <f>'Financial Statement1'!J190+'Financial Statement2'!J190+'Financial Statement3'!J190+'Financial Statement4'!J190</f>
        <v>0</v>
      </c>
      <c r="K187" s="605">
        <f>'Financial Statement1'!K190+'Financial Statement2'!K190+'Financial Statement3'!K190+'Financial Statement4'!K190</f>
        <v>0</v>
      </c>
      <c r="L187" s="412"/>
    </row>
    <row r="188" spans="1:12" s="413" customFormat="1" ht="15" customHeight="1" outlineLevel="1" thickBot="1">
      <c r="B188" s="407"/>
      <c r="C188" s="988"/>
      <c r="D188" s="502"/>
      <c r="E188" s="995" t="s">
        <v>279</v>
      </c>
      <c r="F188" s="996"/>
      <c r="G188" s="606">
        <f>'Financial Statement1'!G191+'Financial Statement2'!G191+'Financial Statement3'!G191+'Financial Statement4'!G191</f>
        <v>0</v>
      </c>
      <c r="H188" s="607">
        <f>'Financial Statement1'!H191+'Financial Statement2'!H191+'Financial Statement3'!H191+'Financial Statement4'!H191</f>
        <v>0</v>
      </c>
      <c r="I188" s="607">
        <f>'Financial Statement1'!I191+'Financial Statement2'!I191+'Financial Statement3'!I191+'Financial Statement4'!I191</f>
        <v>0</v>
      </c>
      <c r="J188" s="607">
        <f>'Financial Statement1'!J191+'Financial Statement2'!J191+'Financial Statement3'!J191+'Financial Statement4'!J191</f>
        <v>0</v>
      </c>
      <c r="K188" s="587">
        <f>'Financial Statement1'!K191+'Financial Statement2'!K191+'Financial Statement3'!K191+'Financial Statement4'!K191</f>
        <v>0</v>
      </c>
      <c r="L188" s="412"/>
    </row>
    <row r="189" spans="1:12" ht="16.5" customHeight="1" thickBot="1">
      <c r="A189" s="388"/>
      <c r="B189" s="379"/>
      <c r="C189" s="965" t="s">
        <v>754</v>
      </c>
      <c r="D189" s="966"/>
      <c r="E189" s="966"/>
      <c r="F189" s="966" t="s">
        <v>755</v>
      </c>
      <c r="G189" s="545">
        <f>SUM(G163,G173,G178,G184,G185)</f>
        <v>0</v>
      </c>
      <c r="H189" s="545">
        <f>SUM(H163,H173,H178,H184,H185)</f>
        <v>0</v>
      </c>
      <c r="I189" s="545">
        <f>SUM(I163,I173,I178,I184,I185)</f>
        <v>0</v>
      </c>
      <c r="J189" s="545">
        <f>SUM(J163,J173,J178,J184,J185)</f>
        <v>0</v>
      </c>
      <c r="K189" s="546">
        <f>SUM(K163,K173,K178,K184,K185)</f>
        <v>0</v>
      </c>
      <c r="L189" s="378"/>
    </row>
    <row r="190" spans="1:12" ht="7.5" customHeight="1">
      <c r="B190" s="379"/>
      <c r="C190" s="967"/>
      <c r="D190" s="968"/>
      <c r="E190" s="968"/>
      <c r="F190" s="968"/>
      <c r="G190" s="968"/>
      <c r="H190" s="968"/>
      <c r="I190" s="968"/>
      <c r="J190" s="968"/>
      <c r="K190" s="969"/>
      <c r="L190" s="378"/>
    </row>
    <row r="191" spans="1:12" ht="16.5" customHeight="1">
      <c r="B191" s="379"/>
      <c r="C191" s="970" t="s">
        <v>44</v>
      </c>
      <c r="D191" s="971"/>
      <c r="E191" s="971"/>
      <c r="F191" s="971"/>
      <c r="G191" s="467"/>
      <c r="H191" s="468"/>
      <c r="I191" s="468"/>
      <c r="J191" s="468"/>
      <c r="K191" s="469"/>
      <c r="L191" s="378"/>
    </row>
    <row r="192" spans="1:12" s="388" customFormat="1" ht="15" customHeight="1">
      <c r="A192" s="371"/>
      <c r="B192" s="403"/>
      <c r="C192" s="933"/>
      <c r="D192" s="955" t="s">
        <v>756</v>
      </c>
      <c r="E192" s="956"/>
      <c r="F192" s="957"/>
      <c r="G192" s="543">
        <f>SUM(G193,G196,G197,G198)</f>
        <v>0</v>
      </c>
      <c r="H192" s="543">
        <f t="shared" ref="H192:K192" si="4">SUM(H193,H196,H197,H198)</f>
        <v>0</v>
      </c>
      <c r="I192" s="543">
        <f t="shared" si="4"/>
        <v>0</v>
      </c>
      <c r="J192" s="543">
        <f t="shared" si="4"/>
        <v>0</v>
      </c>
      <c r="K192" s="544">
        <f t="shared" si="4"/>
        <v>0</v>
      </c>
      <c r="L192" s="387"/>
    </row>
    <row r="193" spans="1:12" s="413" customFormat="1" ht="13.5" customHeight="1" outlineLevel="1">
      <c r="B193" s="407"/>
      <c r="C193" s="933"/>
      <c r="D193" s="408"/>
      <c r="E193" s="973" t="s">
        <v>743</v>
      </c>
      <c r="F193" s="974"/>
      <c r="G193" s="571">
        <f>SUM(G194:G195)</f>
        <v>0</v>
      </c>
      <c r="H193" s="571">
        <f>SUM(H194:H195)</f>
        <v>0</v>
      </c>
      <c r="I193" s="571">
        <f>SUM(I194:I195)</f>
        <v>0</v>
      </c>
      <c r="J193" s="571">
        <f>SUM(J194:J195)</f>
        <v>0</v>
      </c>
      <c r="K193" s="572">
        <f>SUM(K194:K195)</f>
        <v>0</v>
      </c>
      <c r="L193" s="412"/>
    </row>
    <row r="194" spans="1:12" s="413" customFormat="1" ht="13.5" customHeight="1" outlineLevel="2">
      <c r="B194" s="407"/>
      <c r="C194" s="933"/>
      <c r="E194" s="505"/>
      <c r="F194" s="506" t="s">
        <v>757</v>
      </c>
      <c r="G194" s="571">
        <f>'Financial Statement1'!G197+'Financial Statement2'!G197+'Financial Statement3'!G197+'Financial Statement4'!G197</f>
        <v>0</v>
      </c>
      <c r="H194" s="571">
        <f>'Financial Statement1'!H197+'Financial Statement2'!H197+'Financial Statement3'!H197+'Financial Statement4'!H197</f>
        <v>0</v>
      </c>
      <c r="I194" s="571">
        <f>'Financial Statement1'!I197+'Financial Statement2'!I197+'Financial Statement3'!I197+'Financial Statement4'!I197</f>
        <v>0</v>
      </c>
      <c r="J194" s="571">
        <f>'Financial Statement1'!J197+'Financial Statement2'!J197+'Financial Statement3'!J197+'Financial Statement4'!J197</f>
        <v>0</v>
      </c>
      <c r="K194" s="572">
        <f>'Financial Statement1'!K197+'Financial Statement2'!K197+'Financial Statement3'!K197+'Financial Statement4'!K197</f>
        <v>0</v>
      </c>
      <c r="L194" s="412"/>
    </row>
    <row r="195" spans="1:12" s="413" customFormat="1" ht="13.5" customHeight="1" outlineLevel="2">
      <c r="B195" s="407"/>
      <c r="C195" s="933"/>
      <c r="E195" s="507"/>
      <c r="F195" s="508" t="s">
        <v>758</v>
      </c>
      <c r="G195" s="547">
        <f>'Financial Statement1'!G198+'Financial Statement2'!G198+'Financial Statement3'!G198+'Financial Statement4'!G198</f>
        <v>0</v>
      </c>
      <c r="H195" s="547">
        <f>'Financial Statement1'!H198+'Financial Statement2'!H198+'Financial Statement3'!H198+'Financial Statement4'!H198</f>
        <v>0</v>
      </c>
      <c r="I195" s="547">
        <f>'Financial Statement1'!I198+'Financial Statement2'!I198+'Financial Statement3'!I198+'Financial Statement4'!I198</f>
        <v>0</v>
      </c>
      <c r="J195" s="547">
        <f>'Financial Statement1'!J198+'Financial Statement2'!J198+'Financial Statement3'!J198+'Financial Statement4'!J198</f>
        <v>0</v>
      </c>
      <c r="K195" s="548">
        <f>'Financial Statement1'!K198+'Financial Statement2'!K198+'Financial Statement3'!K198+'Financial Statement4'!K198</f>
        <v>0</v>
      </c>
      <c r="L195" s="412"/>
    </row>
    <row r="196" spans="1:12" s="413" customFormat="1" ht="13.5" customHeight="1" outlineLevel="1">
      <c r="B196" s="407"/>
      <c r="C196" s="933"/>
      <c r="E196" s="975" t="s">
        <v>744</v>
      </c>
      <c r="F196" s="976"/>
      <c r="G196" s="547">
        <f>'Financial Statement1'!G199+'Financial Statement2'!G199+'Financial Statement3'!G199+'Financial Statement4'!G199</f>
        <v>0</v>
      </c>
      <c r="H196" s="547">
        <f>'Financial Statement1'!H199+'Financial Statement2'!H199+'Financial Statement3'!H199+'Financial Statement4'!H199</f>
        <v>0</v>
      </c>
      <c r="I196" s="547">
        <f>'Financial Statement1'!I199+'Financial Statement2'!I199+'Financial Statement3'!I199+'Financial Statement4'!I199</f>
        <v>0</v>
      </c>
      <c r="J196" s="547">
        <f>'Financial Statement1'!J199+'Financial Statement2'!J199+'Financial Statement3'!J199+'Financial Statement4'!J199</f>
        <v>0</v>
      </c>
      <c r="K196" s="548">
        <f>'Financial Statement1'!K199+'Financial Statement2'!K199+'Financial Statement3'!K199+'Financial Statement4'!K199</f>
        <v>0</v>
      </c>
      <c r="L196" s="412"/>
    </row>
    <row r="197" spans="1:12" s="413" customFormat="1" ht="13.5" customHeight="1" outlineLevel="1">
      <c r="B197" s="407"/>
      <c r="C197" s="933"/>
      <c r="E197" s="975" t="s">
        <v>745</v>
      </c>
      <c r="F197" s="976"/>
      <c r="G197" s="547">
        <f>'Financial Statement1'!G200+'Financial Statement2'!G200+'Financial Statement3'!G200+'Financial Statement4'!G200</f>
        <v>0</v>
      </c>
      <c r="H197" s="547">
        <f>'Financial Statement1'!H200+'Financial Statement2'!H200+'Financial Statement3'!H200+'Financial Statement4'!H200</f>
        <v>0</v>
      </c>
      <c r="I197" s="547">
        <f>'Financial Statement1'!I200+'Financial Statement2'!I200+'Financial Statement3'!I200+'Financial Statement4'!I200</f>
        <v>0</v>
      </c>
      <c r="J197" s="547">
        <f>'Financial Statement1'!J200+'Financial Statement2'!J200+'Financial Statement3'!J200+'Financial Statement4'!J200</f>
        <v>0</v>
      </c>
      <c r="K197" s="548">
        <f>'Financial Statement1'!K200+'Financial Statement2'!K200+'Financial Statement3'!K200+'Financial Statement4'!K200</f>
        <v>0</v>
      </c>
      <c r="L197" s="412"/>
    </row>
    <row r="198" spans="1:12" s="413" customFormat="1" ht="13.5" customHeight="1" outlineLevel="1">
      <c r="B198" s="407"/>
      <c r="C198" s="933"/>
      <c r="E198" s="975" t="s">
        <v>746</v>
      </c>
      <c r="F198" s="976"/>
      <c r="G198" s="547">
        <f>'Financial Statement1'!G201+'Financial Statement2'!G201+'Financial Statement3'!G201+'Financial Statement4'!G201</f>
        <v>0</v>
      </c>
      <c r="H198" s="547">
        <f>'Financial Statement1'!H201+'Financial Statement2'!H201+'Financial Statement3'!H201+'Financial Statement4'!H201</f>
        <v>0</v>
      </c>
      <c r="I198" s="547">
        <f>'Financial Statement1'!I201+'Financial Statement2'!I201+'Financial Statement3'!I201+'Financial Statement4'!I201</f>
        <v>0</v>
      </c>
      <c r="J198" s="547">
        <f>'Financial Statement1'!J201+'Financial Statement2'!J201+'Financial Statement3'!J201+'Financial Statement4'!J201</f>
        <v>0</v>
      </c>
      <c r="K198" s="548">
        <f>'Financial Statement1'!K201+'Financial Statement2'!K201+'Financial Statement3'!K201+'Financial Statement4'!K201</f>
        <v>0</v>
      </c>
      <c r="L198" s="412"/>
    </row>
    <row r="199" spans="1:12" s="388" customFormat="1" ht="15" customHeight="1">
      <c r="A199" s="413"/>
      <c r="B199" s="403"/>
      <c r="C199" s="933"/>
      <c r="D199" s="955" t="s">
        <v>759</v>
      </c>
      <c r="E199" s="956"/>
      <c r="F199" s="957"/>
      <c r="G199" s="569">
        <f>SUM(G200:G203)</f>
        <v>0</v>
      </c>
      <c r="H199" s="569">
        <f>SUM(H200:H203)</f>
        <v>0</v>
      </c>
      <c r="I199" s="569">
        <f>SUM(I200:I203)</f>
        <v>0</v>
      </c>
      <c r="J199" s="569">
        <f>SUM(J200:J203)</f>
        <v>0</v>
      </c>
      <c r="K199" s="570">
        <f>SUM(K200:K203)</f>
        <v>0</v>
      </c>
      <c r="L199" s="387"/>
    </row>
    <row r="200" spans="1:12" s="413" customFormat="1" ht="15" customHeight="1" outlineLevel="1">
      <c r="B200" s="407"/>
      <c r="C200" s="933"/>
      <c r="D200" s="490"/>
      <c r="E200" s="979" t="s">
        <v>760</v>
      </c>
      <c r="F200" s="980"/>
      <c r="G200" s="602">
        <f>'Financial Statement1'!G203+'Financial Statement2'!G203+'Financial Statement3'!G203+'Financial Statement4'!G203</f>
        <v>0</v>
      </c>
      <c r="H200" s="602">
        <f>'Financial Statement1'!H203+'Financial Statement2'!H203+'Financial Statement3'!H203+'Financial Statement4'!H203</f>
        <v>0</v>
      </c>
      <c r="I200" s="602">
        <f>'Financial Statement1'!I203+'Financial Statement2'!I203+'Financial Statement3'!I203+'Financial Statement4'!I203</f>
        <v>0</v>
      </c>
      <c r="J200" s="602">
        <f>'Financial Statement1'!J203+'Financial Statement2'!J203+'Financial Statement3'!J203+'Financial Statement4'!J203</f>
        <v>0</v>
      </c>
      <c r="K200" s="603">
        <f>'Financial Statement1'!K203+'Financial Statement2'!K203+'Financial Statement3'!K203+'Financial Statement4'!K203</f>
        <v>0</v>
      </c>
      <c r="L200" s="412"/>
    </row>
    <row r="201" spans="1:12" s="413" customFormat="1" ht="15" customHeight="1" outlineLevel="1">
      <c r="B201" s="407"/>
      <c r="C201" s="933"/>
      <c r="D201" s="492"/>
      <c r="E201" s="981" t="s">
        <v>761</v>
      </c>
      <c r="F201" s="982"/>
      <c r="G201" s="604">
        <f>'Financial Statement1'!G204+'Financial Statement2'!G204+'Financial Statement3'!G204+'Financial Statement4'!G204</f>
        <v>0</v>
      </c>
      <c r="H201" s="604">
        <f>'Financial Statement1'!H204+'Financial Statement2'!H204+'Financial Statement3'!H204+'Financial Statement4'!H204</f>
        <v>0</v>
      </c>
      <c r="I201" s="604">
        <f>'Financial Statement1'!I204+'Financial Statement2'!I204+'Financial Statement3'!I204+'Financial Statement4'!I204</f>
        <v>0</v>
      </c>
      <c r="J201" s="604">
        <f>'Financial Statement1'!J204+'Financial Statement2'!J204+'Financial Statement3'!J204+'Financial Statement4'!J204</f>
        <v>0</v>
      </c>
      <c r="K201" s="605">
        <f>'Financial Statement1'!K204+'Financial Statement2'!K204+'Financial Statement3'!K204+'Financial Statement4'!K204</f>
        <v>0</v>
      </c>
      <c r="L201" s="412"/>
    </row>
    <row r="202" spans="1:12" s="413" customFormat="1" ht="15" customHeight="1" outlineLevel="1">
      <c r="B202" s="407"/>
      <c r="C202" s="933"/>
      <c r="D202" s="492"/>
      <c r="E202" s="981" t="s">
        <v>762</v>
      </c>
      <c r="F202" s="982"/>
      <c r="G202" s="604">
        <f>'Financial Statement1'!G205+'Financial Statement2'!G205+'Financial Statement3'!G205+'Financial Statement4'!G205</f>
        <v>0</v>
      </c>
      <c r="H202" s="604">
        <f>'Financial Statement1'!H205+'Financial Statement2'!H205+'Financial Statement3'!H205+'Financial Statement4'!H205</f>
        <v>0</v>
      </c>
      <c r="I202" s="604">
        <f>'Financial Statement1'!I205+'Financial Statement2'!I205+'Financial Statement3'!I205+'Financial Statement4'!I205</f>
        <v>0</v>
      </c>
      <c r="J202" s="604">
        <f>'Financial Statement1'!J205+'Financial Statement2'!J205+'Financial Statement3'!J205+'Financial Statement4'!J205</f>
        <v>0</v>
      </c>
      <c r="K202" s="605">
        <f>'Financial Statement1'!K205+'Financial Statement2'!K205+'Financial Statement3'!K205+'Financial Statement4'!K205</f>
        <v>0</v>
      </c>
      <c r="L202" s="412"/>
    </row>
    <row r="203" spans="1:12" s="413" customFormat="1" ht="15" customHeight="1" outlineLevel="1">
      <c r="B203" s="407"/>
      <c r="C203" s="933"/>
      <c r="D203" s="492"/>
      <c r="E203" s="981" t="s">
        <v>763</v>
      </c>
      <c r="F203" s="982"/>
      <c r="G203" s="604">
        <f>'Financial Statement1'!G206+'Financial Statement2'!G206+'Financial Statement3'!G206+'Financial Statement4'!G206</f>
        <v>0</v>
      </c>
      <c r="H203" s="604">
        <f>'Financial Statement1'!H206+'Financial Statement2'!H206+'Financial Statement3'!H206+'Financial Statement4'!H206</f>
        <v>0</v>
      </c>
      <c r="I203" s="604">
        <f>'Financial Statement1'!I206+'Financial Statement2'!I206+'Financial Statement3'!I206+'Financial Statement4'!I206</f>
        <v>0</v>
      </c>
      <c r="J203" s="604">
        <f>'Financial Statement1'!J206+'Financial Statement2'!J206+'Financial Statement3'!J206+'Financial Statement4'!J206</f>
        <v>0</v>
      </c>
      <c r="K203" s="605">
        <f>'Financial Statement1'!K206+'Financial Statement2'!K206+'Financial Statement3'!K206+'Financial Statement4'!K206</f>
        <v>0</v>
      </c>
      <c r="L203" s="412"/>
    </row>
    <row r="204" spans="1:12" s="388" customFormat="1" ht="15" customHeight="1">
      <c r="B204" s="403"/>
      <c r="C204" s="933"/>
      <c r="D204" s="955" t="s">
        <v>764</v>
      </c>
      <c r="E204" s="956"/>
      <c r="F204" s="957"/>
      <c r="G204" s="543">
        <f>SUM(G205:G207)-G208</f>
        <v>0</v>
      </c>
      <c r="H204" s="543">
        <f t="shared" ref="H204:K204" si="5">SUM(H205:H207)-H208</f>
        <v>0</v>
      </c>
      <c r="I204" s="543">
        <f t="shared" si="5"/>
        <v>0</v>
      </c>
      <c r="J204" s="543">
        <f t="shared" si="5"/>
        <v>0</v>
      </c>
      <c r="K204" s="544">
        <f t="shared" si="5"/>
        <v>0</v>
      </c>
      <c r="L204" s="387"/>
    </row>
    <row r="205" spans="1:12" s="413" customFormat="1" ht="13.5" customHeight="1" outlineLevel="1">
      <c r="B205" s="407"/>
      <c r="C205" s="933"/>
      <c r="D205" s="408"/>
      <c r="E205" s="951" t="s">
        <v>765</v>
      </c>
      <c r="F205" s="952"/>
      <c r="G205" s="602">
        <f>'Financial Statement1'!G208+'Financial Statement2'!G208+'Financial Statement3'!G208+'Financial Statement4'!G208</f>
        <v>0</v>
      </c>
      <c r="H205" s="602">
        <f>'Financial Statement1'!H208+'Financial Statement2'!H208+'Financial Statement3'!H208+'Financial Statement4'!H208</f>
        <v>0</v>
      </c>
      <c r="I205" s="602">
        <f>'Financial Statement1'!I208+'Financial Statement2'!I208+'Financial Statement3'!I208+'Financial Statement4'!I208</f>
        <v>0</v>
      </c>
      <c r="J205" s="602">
        <f>'Financial Statement1'!J208+'Financial Statement2'!J208+'Financial Statement3'!J208+'Financial Statement4'!J208</f>
        <v>0</v>
      </c>
      <c r="K205" s="603">
        <f>'Financial Statement1'!K208+'Financial Statement2'!K208+'Financial Statement3'!K208+'Financial Statement4'!K208</f>
        <v>0</v>
      </c>
      <c r="L205" s="412"/>
    </row>
    <row r="206" spans="1:12" s="413" customFormat="1" ht="13.5" customHeight="1" outlineLevel="1">
      <c r="B206" s="407"/>
      <c r="C206" s="933"/>
      <c r="E206" s="953" t="s">
        <v>766</v>
      </c>
      <c r="F206" s="954"/>
      <c r="G206" s="604">
        <f>'Financial Statement1'!G209+'Financial Statement2'!G209+'Financial Statement3'!G209+'Financial Statement4'!G209</f>
        <v>0</v>
      </c>
      <c r="H206" s="604">
        <f>'Financial Statement1'!H209+'Financial Statement2'!H209+'Financial Statement3'!H209+'Financial Statement4'!H209</f>
        <v>0</v>
      </c>
      <c r="I206" s="604">
        <f>'Financial Statement1'!I209+'Financial Statement2'!I209+'Financial Statement3'!I209+'Financial Statement4'!I209</f>
        <v>0</v>
      </c>
      <c r="J206" s="604">
        <f>'Financial Statement1'!J209+'Financial Statement2'!J209+'Financial Statement3'!J209+'Financial Statement4'!J209</f>
        <v>0</v>
      </c>
      <c r="K206" s="605">
        <f>'Financial Statement1'!K209+'Financial Statement2'!K209+'Financial Statement3'!K209+'Financial Statement4'!K209</f>
        <v>0</v>
      </c>
      <c r="L206" s="412"/>
    </row>
    <row r="207" spans="1:12" s="413" customFormat="1" ht="13.5" hidden="1" customHeight="1" outlineLevel="1">
      <c r="B207" s="407"/>
      <c r="C207" s="933"/>
      <c r="E207" s="953" t="s">
        <v>716</v>
      </c>
      <c r="F207" s="954"/>
      <c r="G207" s="604">
        <f>'Financial Statement1'!G210+'Financial Statement2'!G210+'Financial Statement3'!G210+'Financial Statement4'!G210</f>
        <v>0</v>
      </c>
      <c r="H207" s="604">
        <f>'Financial Statement1'!H210+'Financial Statement2'!H210+'Financial Statement3'!H210+'Financial Statement4'!H210</f>
        <v>0</v>
      </c>
      <c r="I207" s="604">
        <f>'Financial Statement1'!I210+'Financial Statement2'!I210+'Financial Statement3'!I210+'Financial Statement4'!I210</f>
        <v>0</v>
      </c>
      <c r="J207" s="604">
        <f>'Financial Statement1'!J210+'Financial Statement2'!J210+'Financial Statement3'!J210+'Financial Statement4'!J210</f>
        <v>0</v>
      </c>
      <c r="K207" s="605">
        <f>'Financial Statement1'!K210+'Financial Statement2'!K210+'Financial Statement3'!K210+'Financial Statement4'!K210</f>
        <v>0</v>
      </c>
      <c r="L207" s="412"/>
    </row>
    <row r="208" spans="1:12" s="413" customFormat="1" ht="13.5" hidden="1" customHeight="1" outlineLevel="1">
      <c r="B208" s="407"/>
      <c r="C208" s="933"/>
      <c r="E208" s="977" t="s">
        <v>767</v>
      </c>
      <c r="F208" s="978"/>
      <c r="G208" s="604">
        <f>'Financial Statement1'!G211+'Financial Statement2'!G211+'Financial Statement3'!G211+'Financial Statement4'!G211</f>
        <v>0</v>
      </c>
      <c r="H208" s="604">
        <f>'Financial Statement1'!H211+'Financial Statement2'!H211+'Financial Statement3'!H211+'Financial Statement4'!H211</f>
        <v>0</v>
      </c>
      <c r="I208" s="604">
        <f>'Financial Statement1'!I211+'Financial Statement2'!I211+'Financial Statement3'!I211+'Financial Statement4'!I211</f>
        <v>0</v>
      </c>
      <c r="J208" s="604">
        <f>'Financial Statement1'!J211+'Financial Statement2'!J211+'Financial Statement3'!J211+'Financial Statement4'!J211</f>
        <v>0</v>
      </c>
      <c r="K208" s="605">
        <f>'Financial Statement1'!K211+'Financial Statement2'!K211+'Financial Statement3'!K211+'Financial Statement4'!K211</f>
        <v>0</v>
      </c>
      <c r="L208" s="412"/>
    </row>
    <row r="209" spans="1:12" s="388" customFormat="1" ht="15" customHeight="1">
      <c r="A209" s="413"/>
      <c r="B209" s="403"/>
      <c r="C209" s="933"/>
      <c r="D209" s="955" t="s">
        <v>768</v>
      </c>
      <c r="E209" s="956"/>
      <c r="F209" s="957"/>
      <c r="G209" s="569">
        <f>'Financial Statement1'!G212+'Financial Statement2'!G212+'Financial Statement3'!G212+'Financial Statement4'!G212</f>
        <v>0</v>
      </c>
      <c r="H209" s="569">
        <f>'Financial Statement1'!H212+'Financial Statement2'!H212+'Financial Statement3'!H212+'Financial Statement4'!H212</f>
        <v>0</v>
      </c>
      <c r="I209" s="569">
        <f>'Financial Statement1'!I212+'Financial Statement2'!I212+'Financial Statement3'!I212+'Financial Statement4'!I212</f>
        <v>0</v>
      </c>
      <c r="J209" s="569">
        <f>'Financial Statement1'!J212+'Financial Statement2'!J212+'Financial Statement3'!J212+'Financial Statement4'!J212</f>
        <v>0</v>
      </c>
      <c r="K209" s="570">
        <f>'Financial Statement1'!K212+'Financial Statement2'!K212+'Financial Statement3'!K212+'Financial Statement4'!K212</f>
        <v>0</v>
      </c>
      <c r="L209" s="387"/>
    </row>
    <row r="210" spans="1:12" s="388" customFormat="1" ht="15" customHeight="1">
      <c r="B210" s="403"/>
      <c r="C210" s="933"/>
      <c r="D210" s="955" t="s">
        <v>769</v>
      </c>
      <c r="E210" s="956"/>
      <c r="F210" s="957"/>
      <c r="G210" s="543">
        <f>SUM(G211,G215)</f>
        <v>0</v>
      </c>
      <c r="H210" s="543">
        <f>SUM(H211,H215)</f>
        <v>0</v>
      </c>
      <c r="I210" s="543">
        <f>SUM(I211,I215)</f>
        <v>0</v>
      </c>
      <c r="J210" s="543">
        <f>SUM(J211,J215)</f>
        <v>0</v>
      </c>
      <c r="K210" s="544">
        <f>SUM(K211,K215)</f>
        <v>0</v>
      </c>
      <c r="L210" s="387"/>
    </row>
    <row r="211" spans="1:12" s="413" customFormat="1" ht="13.5" customHeight="1" outlineLevel="1">
      <c r="A211" s="388"/>
      <c r="B211" s="407"/>
      <c r="C211" s="933"/>
      <c r="D211" s="408"/>
      <c r="E211" s="951" t="s">
        <v>716</v>
      </c>
      <c r="F211" s="952"/>
      <c r="G211" s="573">
        <f>SUM(G212:G214)</f>
        <v>0</v>
      </c>
      <c r="H211" s="573">
        <f>SUM(H212:H214)</f>
        <v>0</v>
      </c>
      <c r="I211" s="573">
        <f>SUM(I212:I214)</f>
        <v>0</v>
      </c>
      <c r="J211" s="573">
        <f>SUM(J212:J214)</f>
        <v>0</v>
      </c>
      <c r="K211" s="574">
        <f>SUM(K212:K214)</f>
        <v>0</v>
      </c>
      <c r="L211" s="412"/>
    </row>
    <row r="212" spans="1:12" s="413" customFormat="1" ht="13.5" customHeight="1" outlineLevel="1">
      <c r="A212" s="388"/>
      <c r="B212" s="407"/>
      <c r="C212" s="933"/>
      <c r="E212" s="490"/>
      <c r="F212" s="491" t="s">
        <v>748</v>
      </c>
      <c r="G212" s="573">
        <f>'Financial Statement1'!G215+'Financial Statement2'!G215+'Financial Statement3'!G215+'Financial Statement4'!G215</f>
        <v>0</v>
      </c>
      <c r="H212" s="573">
        <f>'Financial Statement1'!H215+'Financial Statement2'!H215+'Financial Statement3'!H215+'Financial Statement4'!H215</f>
        <v>0</v>
      </c>
      <c r="I212" s="573">
        <f>'Financial Statement1'!I215+'Financial Statement2'!I215+'Financial Statement3'!I215+'Financial Statement4'!I215</f>
        <v>0</v>
      </c>
      <c r="J212" s="573">
        <f>'Financial Statement1'!J215+'Financial Statement2'!J215+'Financial Statement3'!J215+'Financial Statement4'!J215</f>
        <v>0</v>
      </c>
      <c r="K212" s="574">
        <f>'Financial Statement1'!K215+'Financial Statement2'!K215+'Financial Statement3'!K215+'Financial Statement4'!K215</f>
        <v>0</v>
      </c>
      <c r="L212" s="412"/>
    </row>
    <row r="213" spans="1:12" s="413" customFormat="1" ht="13.5" customHeight="1" outlineLevel="1">
      <c r="A213" s="388"/>
      <c r="B213" s="407"/>
      <c r="C213" s="933"/>
      <c r="E213" s="492"/>
      <c r="F213" s="493" t="s">
        <v>749</v>
      </c>
      <c r="G213" s="608">
        <f>'Financial Statement1'!G216+'Financial Statement2'!G216+'Financial Statement3'!G216+'Financial Statement4'!G216</f>
        <v>0</v>
      </c>
      <c r="H213" s="608">
        <f>'Financial Statement1'!H216+'Financial Statement2'!H216+'Financial Statement3'!H216+'Financial Statement4'!H216</f>
        <v>0</v>
      </c>
      <c r="I213" s="608">
        <f>'Financial Statement1'!I216+'Financial Statement2'!I216+'Financial Statement3'!I216+'Financial Statement4'!I216</f>
        <v>0</v>
      </c>
      <c r="J213" s="608">
        <f>'Financial Statement1'!J216+'Financial Statement2'!J216+'Financial Statement3'!J216+'Financial Statement4'!J216</f>
        <v>0</v>
      </c>
      <c r="K213" s="609">
        <f>'Financial Statement1'!K216+'Financial Statement2'!K216+'Financial Statement3'!K216+'Financial Statement4'!K216</f>
        <v>0</v>
      </c>
      <c r="L213" s="412"/>
    </row>
    <row r="214" spans="1:12" s="413" customFormat="1" ht="13.5" customHeight="1" outlineLevel="1">
      <c r="A214" s="388"/>
      <c r="B214" s="407"/>
      <c r="C214" s="933"/>
      <c r="E214" s="492"/>
      <c r="F214" s="493" t="s">
        <v>750</v>
      </c>
      <c r="G214" s="608">
        <f>'Financial Statement1'!G217+'Financial Statement2'!G217+'Financial Statement3'!G217+'Financial Statement4'!G217</f>
        <v>0</v>
      </c>
      <c r="H214" s="608">
        <f>'Financial Statement1'!H217+'Financial Statement2'!H217+'Financial Statement3'!H217+'Financial Statement4'!H217</f>
        <v>0</v>
      </c>
      <c r="I214" s="608">
        <f>'Financial Statement1'!I217+'Financial Statement2'!I217+'Financial Statement3'!I217+'Financial Statement4'!I217</f>
        <v>0</v>
      </c>
      <c r="J214" s="608">
        <f>'Financial Statement1'!J217+'Financial Statement2'!J217+'Financial Statement3'!J217+'Financial Statement4'!J217</f>
        <v>0</v>
      </c>
      <c r="K214" s="609">
        <f>'Financial Statement1'!K217+'Financial Statement2'!K217+'Financial Statement3'!K217+'Financial Statement4'!K217</f>
        <v>0</v>
      </c>
      <c r="L214" s="412"/>
    </row>
    <row r="215" spans="1:12" s="413" customFormat="1" ht="13.5" customHeight="1" outlineLevel="1">
      <c r="B215" s="407"/>
      <c r="C215" s="933"/>
      <c r="E215" s="953" t="s">
        <v>279</v>
      </c>
      <c r="F215" s="954"/>
      <c r="G215" s="547">
        <f>'Financial Statement1'!G218+'Financial Statement2'!G218+'Financial Statement3'!G218+'Financial Statement4'!G218</f>
        <v>0</v>
      </c>
      <c r="H215" s="547">
        <f>'Financial Statement1'!H218+'Financial Statement2'!H218+'Financial Statement3'!H218+'Financial Statement4'!H218</f>
        <v>0</v>
      </c>
      <c r="I215" s="547">
        <f>'Financial Statement1'!I218+'Financial Statement2'!I218+'Financial Statement3'!I218+'Financial Statement4'!I218</f>
        <v>0</v>
      </c>
      <c r="J215" s="547">
        <f>'Financial Statement1'!J218+'Financial Statement2'!J218+'Financial Statement3'!J218+'Financial Statement4'!J218</f>
        <v>0</v>
      </c>
      <c r="K215" s="548">
        <f>'Financial Statement1'!K218+'Financial Statement2'!K218+'Financial Statement3'!K218+'Financial Statement4'!K218</f>
        <v>0</v>
      </c>
      <c r="L215" s="412"/>
    </row>
    <row r="216" spans="1:12" s="388" customFormat="1" ht="15" customHeight="1" thickBot="1">
      <c r="A216" s="413"/>
      <c r="B216" s="403"/>
      <c r="C216" s="972"/>
      <c r="D216" s="955" t="s">
        <v>770</v>
      </c>
      <c r="E216" s="956"/>
      <c r="F216" s="957"/>
      <c r="G216" s="607">
        <f>'Financial Statement1'!G219+'Financial Statement2'!G219+'Financial Statement3'!G219+'Financial Statement4'!G219</f>
        <v>0</v>
      </c>
      <c r="H216" s="607">
        <f>'Financial Statement1'!H219+'Financial Statement2'!H219+'Financial Statement3'!H219+'Financial Statement4'!H219</f>
        <v>0</v>
      </c>
      <c r="I216" s="607">
        <f>'Financial Statement1'!I219+'Financial Statement2'!I219+'Financial Statement3'!I219+'Financial Statement4'!I219</f>
        <v>0</v>
      </c>
      <c r="J216" s="607">
        <f>'Financial Statement1'!J219+'Financial Statement2'!J219+'Financial Statement3'!J219+'Financial Statement4'!J219</f>
        <v>0</v>
      </c>
      <c r="K216" s="610">
        <f>'Financial Statement1'!K219+'Financial Statement2'!K219+'Financial Statement3'!K219+'Financial Statement4'!K219</f>
        <v>0</v>
      </c>
      <c r="L216" s="387"/>
    </row>
    <row r="217" spans="1:12" ht="16.5" customHeight="1" thickBot="1">
      <c r="A217" s="388"/>
      <c r="B217" s="379"/>
      <c r="C217" s="958" t="s">
        <v>771</v>
      </c>
      <c r="D217" s="959"/>
      <c r="E217" s="959"/>
      <c r="F217" s="960" t="s">
        <v>755</v>
      </c>
      <c r="G217" s="545">
        <f>SUM(G192,G199,G204,G209:G210,G216)</f>
        <v>0</v>
      </c>
      <c r="H217" s="545">
        <f>SUM(H192,H199,H204,H209:H210,H216)</f>
        <v>0</v>
      </c>
      <c r="I217" s="545">
        <f>SUM(I192,I199,I204,I209:I210,I216)</f>
        <v>0</v>
      </c>
      <c r="J217" s="545">
        <f>SUM(J192,J199,J204,J209:J210,J216)</f>
        <v>0</v>
      </c>
      <c r="K217" s="546">
        <f>SUM(K192,K199,K204,K209:K210,K216)</f>
        <v>0</v>
      </c>
      <c r="L217" s="378"/>
    </row>
    <row r="218" spans="1:12" ht="16.5" customHeight="1" thickBot="1">
      <c r="A218" s="388"/>
      <c r="B218" s="379"/>
      <c r="C218" s="961" t="s">
        <v>772</v>
      </c>
      <c r="D218" s="962"/>
      <c r="E218" s="962"/>
      <c r="F218" s="962" t="s">
        <v>772</v>
      </c>
      <c r="G218" s="565">
        <f>SUM(G189,G217)</f>
        <v>0</v>
      </c>
      <c r="H218" s="565">
        <f>SUM(H189,H217)</f>
        <v>0</v>
      </c>
      <c r="I218" s="565">
        <f>SUM(I189,I217)</f>
        <v>0</v>
      </c>
      <c r="J218" s="565">
        <f>SUM(J189,J217)</f>
        <v>0</v>
      </c>
      <c r="K218" s="566">
        <f>SUM(K189,K217)</f>
        <v>0</v>
      </c>
      <c r="L218" s="378"/>
    </row>
    <row r="219" spans="1:12" ht="13.5" customHeight="1">
      <c r="B219" s="379"/>
      <c r="F219" s="514"/>
      <c r="G219" s="515"/>
      <c r="H219" s="516"/>
      <c r="I219" s="516"/>
      <c r="J219" s="516"/>
      <c r="K219" s="516"/>
      <c r="L219" s="378"/>
    </row>
    <row r="220" spans="1:12" s="413" customFormat="1" ht="15" customHeight="1">
      <c r="B220" s="407"/>
      <c r="C220" s="963" t="s">
        <v>773</v>
      </c>
      <c r="D220" s="964"/>
      <c r="E220" s="964"/>
      <c r="F220" s="964"/>
      <c r="G220" s="575">
        <f>G159-G218</f>
        <v>0</v>
      </c>
      <c r="H220" s="575">
        <f>H159-H218</f>
        <v>0</v>
      </c>
      <c r="I220" s="575">
        <f>I159-I218</f>
        <v>0</v>
      </c>
      <c r="J220" s="575">
        <f>J159-J218</f>
        <v>0</v>
      </c>
      <c r="K220" s="576">
        <f>K159-K218</f>
        <v>0</v>
      </c>
      <c r="L220" s="412"/>
    </row>
    <row r="221" spans="1:12" s="473" customFormat="1" ht="13.5" customHeight="1" thickBot="1">
      <c r="A221" s="388"/>
      <c r="B221" s="379"/>
      <c r="C221" s="371"/>
      <c r="D221" s="371"/>
      <c r="E221" s="371"/>
      <c r="F221" s="519"/>
      <c r="G221" s="520"/>
      <c r="H221" s="521"/>
      <c r="I221" s="521"/>
      <c r="J221" s="521"/>
      <c r="K221" s="521"/>
      <c r="L221" s="378"/>
    </row>
    <row r="222" spans="1:12" s="473" customFormat="1" ht="20.25" thickBot="1">
      <c r="A222" s="371"/>
      <c r="B222" s="379"/>
      <c r="C222" s="942" t="s">
        <v>774</v>
      </c>
      <c r="D222" s="943"/>
      <c r="E222" s="943"/>
      <c r="F222" s="943"/>
      <c r="G222" s="943"/>
      <c r="H222" s="943"/>
      <c r="I222" s="943"/>
      <c r="J222" s="943"/>
      <c r="K222" s="944"/>
      <c r="L222" s="378"/>
    </row>
    <row r="223" spans="1:12" s="473" customFormat="1" ht="16.5" customHeight="1" thickBot="1">
      <c r="A223" s="371"/>
      <c r="B223" s="379"/>
      <c r="C223" s="945" t="s">
        <v>611</v>
      </c>
      <c r="D223" s="946"/>
      <c r="E223" s="946"/>
      <c r="F223" s="947" t="s">
        <v>685</v>
      </c>
      <c r="G223" s="563" t="str">
        <f>G5</f>
        <v>-</v>
      </c>
      <c r="H223" s="563" t="str">
        <f>H5</f>
        <v>-</v>
      </c>
      <c r="I223" s="563" t="str">
        <f>I5</f>
        <v>-</v>
      </c>
      <c r="J223" s="563" t="str">
        <f>J5</f>
        <v>-</v>
      </c>
      <c r="K223" s="564" t="str">
        <f>K5</f>
        <v>-</v>
      </c>
      <c r="L223" s="378"/>
    </row>
    <row r="224" spans="1:12" s="524" customFormat="1" ht="16.5">
      <c r="A224" s="371"/>
      <c r="B224" s="522"/>
      <c r="C224" s="936" t="s">
        <v>775</v>
      </c>
      <c r="D224" s="937"/>
      <c r="E224" s="937"/>
      <c r="F224" s="937"/>
      <c r="G224" s="937"/>
      <c r="H224" s="937"/>
      <c r="I224" s="937"/>
      <c r="J224" s="937"/>
      <c r="K224" s="938"/>
      <c r="L224" s="523"/>
    </row>
    <row r="225" spans="1:12" s="473" customFormat="1" ht="15" customHeight="1">
      <c r="A225" s="525"/>
      <c r="B225" s="403"/>
      <c r="C225" s="948" t="s">
        <v>776</v>
      </c>
      <c r="D225" s="949"/>
      <c r="E225" s="949"/>
      <c r="F225" s="950"/>
      <c r="G225" s="526"/>
      <c r="H225" s="577" t="str">
        <f>IFERROR((H19-G19)/G19,"-")</f>
        <v>-</v>
      </c>
      <c r="I225" s="577" t="str">
        <f>IFERROR((I19-H19)/H19,"-")</f>
        <v>-</v>
      </c>
      <c r="J225" s="577" t="str">
        <f>IFERROR((J19-I19)/I19,"-")</f>
        <v>-</v>
      </c>
      <c r="K225" s="578" t="str">
        <f>IFERROR((K19-J19)/J19,"-")</f>
        <v>-</v>
      </c>
      <c r="L225" s="387"/>
    </row>
    <row r="226" spans="1:12" s="473" customFormat="1" ht="15" customHeight="1">
      <c r="A226" s="388"/>
      <c r="B226" s="403"/>
      <c r="C226" s="948" t="s">
        <v>777</v>
      </c>
      <c r="D226" s="949"/>
      <c r="E226" s="949"/>
      <c r="F226" s="950"/>
      <c r="G226" s="526"/>
      <c r="H226" s="577" t="str">
        <f>IFERROR(H51/G51-1,"-")</f>
        <v>-</v>
      </c>
      <c r="I226" s="577" t="str">
        <f>IFERROR(I51/H51-1,"-")</f>
        <v>-</v>
      </c>
      <c r="J226" s="577" t="str">
        <f>IFERROR(J51/I51-1,"-")</f>
        <v>-</v>
      </c>
      <c r="K226" s="578" t="str">
        <f>IFERROR(K51/J51-1,"-")</f>
        <v>-</v>
      </c>
      <c r="L226" s="387"/>
    </row>
    <row r="227" spans="1:12" s="473" customFormat="1" ht="15" customHeight="1">
      <c r="A227" s="388"/>
      <c r="B227" s="403"/>
      <c r="C227" s="948" t="s">
        <v>778</v>
      </c>
      <c r="D227" s="949"/>
      <c r="E227" s="949"/>
      <c r="F227" s="950"/>
      <c r="G227" s="526"/>
      <c r="H227" s="577" t="str">
        <f>IFERROR((H88-G88)/G88,"-")</f>
        <v>-</v>
      </c>
      <c r="I227" s="577" t="str">
        <f>IFERROR((I88-H88)/H88,"-")</f>
        <v>-</v>
      </c>
      <c r="J227" s="577" t="str">
        <f>IFERROR((J88-I88)/I88,"-")</f>
        <v>-</v>
      </c>
      <c r="K227" s="578" t="str">
        <f>IFERROR((K88-J88)/J88,"-")</f>
        <v>-</v>
      </c>
      <c r="L227" s="387"/>
    </row>
    <row r="228" spans="1:12" ht="7.5" customHeight="1" thickBot="1">
      <c r="A228" s="388"/>
      <c r="B228" s="379"/>
      <c r="C228" s="933"/>
      <c r="D228" s="934"/>
      <c r="E228" s="934"/>
      <c r="F228" s="934"/>
      <c r="G228" s="934"/>
      <c r="H228" s="934"/>
      <c r="I228" s="934"/>
      <c r="J228" s="934"/>
      <c r="K228" s="935"/>
      <c r="L228" s="378"/>
    </row>
    <row r="229" spans="1:12" s="524" customFormat="1" ht="16.5">
      <c r="A229" s="371"/>
      <c r="B229" s="522"/>
      <c r="C229" s="936" t="s">
        <v>779</v>
      </c>
      <c r="D229" s="937"/>
      <c r="E229" s="937"/>
      <c r="F229" s="937"/>
      <c r="G229" s="937"/>
      <c r="H229" s="937"/>
      <c r="I229" s="937"/>
      <c r="J229" s="937"/>
      <c r="K229" s="938"/>
      <c r="L229" s="523"/>
    </row>
    <row r="230" spans="1:12" s="473" customFormat="1" ht="15" customHeight="1">
      <c r="A230" s="525"/>
      <c r="B230" s="403"/>
      <c r="C230" s="927" t="s">
        <v>780</v>
      </c>
      <c r="D230" s="928"/>
      <c r="E230" s="928"/>
      <c r="F230" s="929"/>
      <c r="G230" s="577" t="str">
        <f>IFERROR(G51/G19,"-")</f>
        <v>-</v>
      </c>
      <c r="H230" s="577" t="str">
        <f>IFERROR(H51/H19,"-")</f>
        <v>-</v>
      </c>
      <c r="I230" s="577" t="str">
        <f>IFERROR(I51/I19,"-")</f>
        <v>-</v>
      </c>
      <c r="J230" s="577" t="str">
        <f>IFERROR(J51/J19,"-")</f>
        <v>-</v>
      </c>
      <c r="K230" s="578" t="str">
        <f>IFERROR(K51/K19,"-")</f>
        <v>-</v>
      </c>
      <c r="L230" s="387"/>
    </row>
    <row r="231" spans="1:12" s="473" customFormat="1" ht="15" customHeight="1">
      <c r="A231" s="388"/>
      <c r="B231" s="403"/>
      <c r="C231" s="939" t="s">
        <v>781</v>
      </c>
      <c r="D231" s="940"/>
      <c r="E231" s="940"/>
      <c r="F231" s="941"/>
      <c r="G231" s="577" t="str">
        <f>IFERROR((G88-G69)/G19,"-")</f>
        <v>-</v>
      </c>
      <c r="H231" s="577" t="str">
        <f>IFERROR((H88-H69)/H19,"-")</f>
        <v>-</v>
      </c>
      <c r="I231" s="577" t="str">
        <f>IFERROR((I88-I69)/I19,"-")</f>
        <v>-</v>
      </c>
      <c r="J231" s="577" t="str">
        <f>IFERROR((J88-J69)/J19,"-")</f>
        <v>-</v>
      </c>
      <c r="K231" s="578" t="str">
        <f>IFERROR((K88-K69)/K19,"-")</f>
        <v>-</v>
      </c>
      <c r="L231" s="387"/>
    </row>
    <row r="232" spans="1:12" s="473" customFormat="1" ht="15" customHeight="1">
      <c r="A232" s="388"/>
      <c r="B232" s="403"/>
      <c r="C232" s="927" t="s">
        <v>782</v>
      </c>
      <c r="D232" s="928"/>
      <c r="E232" s="928"/>
      <c r="F232" s="929"/>
      <c r="G232" s="577" t="str">
        <f>IFERROR((G96-G69)/G19,"-")</f>
        <v>-</v>
      </c>
      <c r="H232" s="577" t="str">
        <f>IFERROR((H96-H69)/H19,"-")</f>
        <v>-</v>
      </c>
      <c r="I232" s="577" t="str">
        <f>IFERROR((I96-I69)/I19,"-")</f>
        <v>-</v>
      </c>
      <c r="J232" s="577" t="str">
        <f>IFERROR((J96-J69)/J19,"-")</f>
        <v>-</v>
      </c>
      <c r="K232" s="578" t="str">
        <f>IFERROR((K96-K69)/K19,"-")</f>
        <v>-</v>
      </c>
      <c r="L232" s="387"/>
    </row>
    <row r="233" spans="1:12" s="473" customFormat="1" ht="15" customHeight="1">
      <c r="A233" s="388"/>
      <c r="B233" s="403"/>
      <c r="C233" s="927" t="s">
        <v>783</v>
      </c>
      <c r="D233" s="928"/>
      <c r="E233" s="928"/>
      <c r="F233" s="929"/>
      <c r="G233" s="577" t="str">
        <f>IFERROR(G61/(G218-G158),"-")</f>
        <v>-</v>
      </c>
      <c r="H233" s="577" t="str">
        <f>IFERROR(H61/(H218-H158),"-")</f>
        <v>-</v>
      </c>
      <c r="I233" s="577" t="str">
        <f>IFERROR(I61/(I218-I158),"-")</f>
        <v>-</v>
      </c>
      <c r="J233" s="577" t="str">
        <f>IFERROR(J61/(J218-J158),"-")</f>
        <v>-</v>
      </c>
      <c r="K233" s="578" t="str">
        <f>IFERROR(K61/(K218-K158),"-")</f>
        <v>-</v>
      </c>
      <c r="L233" s="387"/>
    </row>
    <row r="234" spans="1:12" s="473" customFormat="1" ht="15" customHeight="1">
      <c r="A234" s="388"/>
      <c r="B234" s="403"/>
      <c r="C234" s="927" t="s">
        <v>784</v>
      </c>
      <c r="D234" s="928"/>
      <c r="E234" s="928"/>
      <c r="F234" s="929"/>
      <c r="G234" s="577" t="str">
        <f>IFERROR(G88/G115,"-")</f>
        <v>-</v>
      </c>
      <c r="H234" s="577" t="str">
        <f>IFERROR(H88/H115,"-")</f>
        <v>-</v>
      </c>
      <c r="I234" s="577" t="str">
        <f>IFERROR(I88/I115,"-")</f>
        <v>-</v>
      </c>
      <c r="J234" s="577" t="str">
        <f>IFERROR(J88/J115,"-")</f>
        <v>-</v>
      </c>
      <c r="K234" s="578" t="str">
        <f>IFERROR(K88/K115,"-")</f>
        <v>-</v>
      </c>
      <c r="L234" s="387"/>
    </row>
    <row r="235" spans="1:12" s="473" customFormat="1" ht="15" customHeight="1">
      <c r="A235" s="388"/>
      <c r="B235" s="403"/>
      <c r="C235" s="927" t="s">
        <v>785</v>
      </c>
      <c r="D235" s="928"/>
      <c r="E235" s="928"/>
      <c r="F235" s="929"/>
      <c r="G235" s="577" t="str">
        <f>IFERROR(G88/G218,"-")</f>
        <v>-</v>
      </c>
      <c r="H235" s="577" t="str">
        <f>IFERROR(H88/H218,"-")</f>
        <v>-</v>
      </c>
      <c r="I235" s="577" t="str">
        <f>IFERROR(I88/I218,"-")</f>
        <v>-</v>
      </c>
      <c r="J235" s="577" t="str">
        <f>IFERROR(J88/J218,"-")</f>
        <v>-</v>
      </c>
      <c r="K235" s="578" t="str">
        <f>IFERROR(K88/K218,"-")</f>
        <v>-</v>
      </c>
      <c r="L235" s="387"/>
    </row>
    <row r="236" spans="1:12" ht="7.5" customHeight="1" thickBot="1">
      <c r="A236" s="388"/>
      <c r="B236" s="379"/>
      <c r="C236" s="933"/>
      <c r="D236" s="934"/>
      <c r="E236" s="934"/>
      <c r="F236" s="934"/>
      <c r="G236" s="934"/>
      <c r="H236" s="934"/>
      <c r="I236" s="934"/>
      <c r="J236" s="934"/>
      <c r="K236" s="935"/>
      <c r="L236" s="378"/>
    </row>
    <row r="237" spans="1:12" s="524" customFormat="1" ht="16.5">
      <c r="A237" s="371"/>
      <c r="B237" s="522"/>
      <c r="C237" s="936" t="s">
        <v>786</v>
      </c>
      <c r="D237" s="937"/>
      <c r="E237" s="937"/>
      <c r="F237" s="937"/>
      <c r="G237" s="937"/>
      <c r="H237" s="937"/>
      <c r="I237" s="937"/>
      <c r="J237" s="937"/>
      <c r="K237" s="938"/>
      <c r="L237" s="523"/>
    </row>
    <row r="238" spans="1:12" s="473" customFormat="1" ht="15" customHeight="1">
      <c r="A238" s="525"/>
      <c r="B238" s="403"/>
      <c r="C238" s="927" t="s">
        <v>787</v>
      </c>
      <c r="D238" s="928"/>
      <c r="E238" s="928"/>
      <c r="F238" s="929"/>
      <c r="G238" s="579" t="str">
        <f>IFERROR(G217/G158,"-")</f>
        <v>-</v>
      </c>
      <c r="H238" s="579" t="str">
        <f>IFERROR(H217/H158,"-")</f>
        <v>-</v>
      </c>
      <c r="I238" s="579" t="str">
        <f>IFERROR(I217/I158,"-")</f>
        <v>-</v>
      </c>
      <c r="J238" s="579" t="str">
        <f>IFERROR(J217/J158,"-")</f>
        <v>-</v>
      </c>
      <c r="K238" s="580" t="str">
        <f>IFERROR(K217/K158,"-")</f>
        <v>-</v>
      </c>
      <c r="L238" s="387"/>
    </row>
    <row r="239" spans="1:12" s="473" customFormat="1" ht="15" customHeight="1">
      <c r="A239" s="388"/>
      <c r="B239" s="403"/>
      <c r="C239" s="927" t="s">
        <v>788</v>
      </c>
      <c r="D239" s="928"/>
      <c r="E239" s="928"/>
      <c r="F239" s="929"/>
      <c r="G239" s="579">
        <f>G217-G158</f>
        <v>0</v>
      </c>
      <c r="H239" s="579">
        <f>H217-H158</f>
        <v>0</v>
      </c>
      <c r="I239" s="579">
        <f>I217-I158</f>
        <v>0</v>
      </c>
      <c r="J239" s="579">
        <f>J217-J158</f>
        <v>0</v>
      </c>
      <c r="K239" s="580">
        <f>K217-K158</f>
        <v>0</v>
      </c>
      <c r="L239" s="387"/>
    </row>
    <row r="240" spans="1:12" s="473" customFormat="1" ht="15" customHeight="1">
      <c r="A240" s="388"/>
      <c r="B240" s="403"/>
      <c r="C240" s="927" t="s">
        <v>789</v>
      </c>
      <c r="D240" s="928"/>
      <c r="E240" s="928"/>
      <c r="F240" s="929"/>
      <c r="G240" s="579" t="str">
        <f>IFERROR((G19/G239),"-")</f>
        <v>-</v>
      </c>
      <c r="H240" s="579" t="str">
        <f>IFERROR((H19/H239),"-")</f>
        <v>-</v>
      </c>
      <c r="I240" s="579" t="str">
        <f>IFERROR((I19/I239),"-")</f>
        <v>-</v>
      </c>
      <c r="J240" s="579" t="str">
        <f>IFERROR((J19/J239),"-")</f>
        <v>-</v>
      </c>
      <c r="K240" s="580" t="str">
        <f>IFERROR((K19/K239),"-")</f>
        <v>-</v>
      </c>
      <c r="L240" s="387"/>
    </row>
    <row r="241" spans="1:12" s="473" customFormat="1" ht="15" customHeight="1">
      <c r="A241" s="388"/>
      <c r="B241" s="403"/>
      <c r="C241" s="927" t="s">
        <v>790</v>
      </c>
      <c r="D241" s="928"/>
      <c r="E241" s="928"/>
      <c r="F241" s="929"/>
      <c r="G241" s="579" t="str">
        <f>IFERROR((G217-G216-G199)/G158,"-")</f>
        <v>-</v>
      </c>
      <c r="H241" s="579" t="str">
        <f>IFERROR((H217-H216-H199)/H158,"-")</f>
        <v>-</v>
      </c>
      <c r="I241" s="579" t="str">
        <f>IFERROR((I217-I216-I199)/I158,"-")</f>
        <v>-</v>
      </c>
      <c r="J241" s="579" t="str">
        <f>IFERROR((J217-J216-J199)/J158,"-")</f>
        <v>-</v>
      </c>
      <c r="K241" s="580" t="str">
        <f>IFERROR((K217-K216-K199)/K158,"-")</f>
        <v>-</v>
      </c>
      <c r="L241" s="387"/>
    </row>
    <row r="242" spans="1:12" ht="7.5" customHeight="1" thickBot="1">
      <c r="A242" s="388"/>
      <c r="B242" s="379"/>
      <c r="C242" s="933"/>
      <c r="D242" s="934"/>
      <c r="E242" s="934"/>
      <c r="F242" s="934"/>
      <c r="G242" s="934"/>
      <c r="H242" s="934"/>
      <c r="I242" s="934"/>
      <c r="J242" s="934"/>
      <c r="K242" s="935"/>
      <c r="L242" s="378"/>
    </row>
    <row r="243" spans="1:12" s="524" customFormat="1" ht="16.5">
      <c r="A243" s="371"/>
      <c r="B243" s="522"/>
      <c r="C243" s="936" t="s">
        <v>791</v>
      </c>
      <c r="D243" s="937"/>
      <c r="E243" s="937"/>
      <c r="F243" s="937"/>
      <c r="G243" s="937"/>
      <c r="H243" s="937"/>
      <c r="I243" s="937"/>
      <c r="J243" s="937"/>
      <c r="K243" s="938"/>
      <c r="L243" s="523"/>
    </row>
    <row r="244" spans="1:12" s="473" customFormat="1" ht="15" customHeight="1">
      <c r="A244" s="525"/>
      <c r="B244" s="403"/>
      <c r="C244" s="927" t="s">
        <v>792</v>
      </c>
      <c r="D244" s="928"/>
      <c r="E244" s="928"/>
      <c r="F244" s="929"/>
      <c r="G244" s="579" t="str">
        <f>IFERROR((G22/G199),"-")</f>
        <v>-</v>
      </c>
      <c r="H244" s="579" t="str">
        <f>IFERROR((H22/H199),"-")</f>
        <v>-</v>
      </c>
      <c r="I244" s="579" t="str">
        <f>IFERROR((I22/I199),"-")</f>
        <v>-</v>
      </c>
      <c r="J244" s="579" t="str">
        <f>IFERROR((J22/J199),"-")</f>
        <v>-</v>
      </c>
      <c r="K244" s="580" t="str">
        <f>IFERROR((K22/K199),"-")</f>
        <v>-</v>
      </c>
      <c r="L244" s="387"/>
    </row>
    <row r="245" spans="1:12" s="473" customFormat="1" ht="15" customHeight="1">
      <c r="A245" s="388"/>
      <c r="B245" s="403"/>
      <c r="C245" s="927" t="s">
        <v>793</v>
      </c>
      <c r="D245" s="928"/>
      <c r="E245" s="928"/>
      <c r="F245" s="929"/>
      <c r="G245" s="579" t="str">
        <f>IFERROR(365/G244,"-")</f>
        <v>-</v>
      </c>
      <c r="H245" s="579" t="str">
        <f>IFERROR(365/H244,"-")</f>
        <v>-</v>
      </c>
      <c r="I245" s="579" t="str">
        <f>IFERROR(365/I244,"-")</f>
        <v>-</v>
      </c>
      <c r="J245" s="579" t="str">
        <f>IFERROR(365/J244,"-")</f>
        <v>-</v>
      </c>
      <c r="K245" s="580" t="str">
        <f>IFERROR(365/K244,"-")</f>
        <v>-</v>
      </c>
      <c r="L245" s="387"/>
    </row>
    <row r="246" spans="1:12" s="473" customFormat="1" ht="15" customHeight="1">
      <c r="A246" s="388"/>
      <c r="B246" s="403"/>
      <c r="C246" s="927" t="s">
        <v>794</v>
      </c>
      <c r="D246" s="928"/>
      <c r="E246" s="928"/>
      <c r="F246" s="929"/>
      <c r="G246" s="579" t="str">
        <f>IFERROR(G19/G204,"-")</f>
        <v>-</v>
      </c>
      <c r="H246" s="579" t="str">
        <f>IFERROR(H19/H204,"-")</f>
        <v>-</v>
      </c>
      <c r="I246" s="579" t="str">
        <f>IFERROR(I19/I204,"-")</f>
        <v>-</v>
      </c>
      <c r="J246" s="579" t="str">
        <f>IFERROR(J19/J204,"-")</f>
        <v>-</v>
      </c>
      <c r="K246" s="580" t="str">
        <f>IFERROR(K19/K204,"-")</f>
        <v>-</v>
      </c>
      <c r="L246" s="387"/>
    </row>
    <row r="247" spans="1:12" s="473" customFormat="1" ht="15" customHeight="1">
      <c r="A247" s="388"/>
      <c r="B247" s="403"/>
      <c r="C247" s="927" t="s">
        <v>795</v>
      </c>
      <c r="D247" s="928"/>
      <c r="E247" s="928"/>
      <c r="F247" s="929"/>
      <c r="G247" s="579" t="str">
        <f>IFERROR(365/G246,"-")</f>
        <v>-</v>
      </c>
      <c r="H247" s="579" t="str">
        <f>IFERROR(365/H246,"-")</f>
        <v>-</v>
      </c>
      <c r="I247" s="579" t="str">
        <f>IFERROR(365/I246,"-")</f>
        <v>-</v>
      </c>
      <c r="J247" s="579" t="str">
        <f>IFERROR(365/J246,"-")</f>
        <v>-</v>
      </c>
      <c r="K247" s="580" t="str">
        <f>IFERROR(365/K246,"-")</f>
        <v>-</v>
      </c>
      <c r="L247" s="387"/>
    </row>
    <row r="248" spans="1:12" s="473" customFormat="1" ht="15" customHeight="1">
      <c r="A248" s="388"/>
      <c r="B248" s="403"/>
      <c r="C248" s="927" t="s">
        <v>796</v>
      </c>
      <c r="D248" s="928"/>
      <c r="E248" s="928"/>
      <c r="F248" s="929"/>
      <c r="G248" s="579" t="str">
        <f>IFERROR((G22+G34)/G148,"-")</f>
        <v>-</v>
      </c>
      <c r="H248" s="579" t="str">
        <f>IFERROR((H22+H34)/H148,"-")</f>
        <v>-</v>
      </c>
      <c r="I248" s="579" t="str">
        <f>IFERROR((I22+I34)/I148,"-")</f>
        <v>-</v>
      </c>
      <c r="J248" s="579" t="str">
        <f>IFERROR((J22+J34)/J148,"-")</f>
        <v>-</v>
      </c>
      <c r="K248" s="580" t="str">
        <f>IFERROR((K22+K34)/K148,"-")</f>
        <v>-</v>
      </c>
      <c r="L248" s="387"/>
    </row>
    <row r="249" spans="1:12" s="473" customFormat="1" ht="15" customHeight="1">
      <c r="A249" s="388"/>
      <c r="B249" s="403"/>
      <c r="C249" s="927" t="s">
        <v>797</v>
      </c>
      <c r="D249" s="928"/>
      <c r="E249" s="928"/>
      <c r="F249" s="929"/>
      <c r="G249" s="579" t="str">
        <f>IFERROR(365/G248,"-")</f>
        <v>-</v>
      </c>
      <c r="H249" s="579" t="str">
        <f>IFERROR(365/H248,"-")</f>
        <v>-</v>
      </c>
      <c r="I249" s="579" t="str">
        <f>IFERROR(365/I248,"-")</f>
        <v>-</v>
      </c>
      <c r="J249" s="579" t="str">
        <f>IFERROR(365/J248,"-")</f>
        <v>-</v>
      </c>
      <c r="K249" s="580" t="str">
        <f>IFERROR(365/K248,"-")</f>
        <v>-</v>
      </c>
      <c r="L249" s="387"/>
    </row>
    <row r="250" spans="1:12" s="473" customFormat="1" ht="15" customHeight="1">
      <c r="A250" s="388"/>
      <c r="B250" s="403"/>
      <c r="C250" s="927" t="s">
        <v>798</v>
      </c>
      <c r="D250" s="928"/>
      <c r="E250" s="928"/>
      <c r="F250" s="929"/>
      <c r="G250" s="579" t="str">
        <f>IFERROR(G245+G247-G249,"-")</f>
        <v>-</v>
      </c>
      <c r="H250" s="579" t="str">
        <f>IFERROR(H245+H247-H249,"-")</f>
        <v>-</v>
      </c>
      <c r="I250" s="579" t="str">
        <f>IFERROR(I245+I247-I249,"-")</f>
        <v>-</v>
      </c>
      <c r="J250" s="579" t="str">
        <f>IFERROR(J245+J247-J249,"-")</f>
        <v>-</v>
      </c>
      <c r="K250" s="580" t="str">
        <f>IFERROR(K245+K247-K249,"-")</f>
        <v>-</v>
      </c>
      <c r="L250" s="387"/>
    </row>
    <row r="251" spans="1:12" s="473" customFormat="1" ht="15" customHeight="1">
      <c r="A251" s="388"/>
      <c r="B251" s="403"/>
      <c r="C251" s="927" t="s">
        <v>799</v>
      </c>
      <c r="D251" s="928"/>
      <c r="E251" s="928"/>
      <c r="F251" s="929"/>
      <c r="G251" s="579" t="str">
        <f>IFERROR(G19/(G164-G168),"-")</f>
        <v>-</v>
      </c>
      <c r="H251" s="579" t="str">
        <f>IFERROR(H19/(H164-H168),"-")</f>
        <v>-</v>
      </c>
      <c r="I251" s="579" t="str">
        <f>IFERROR(I19/(I164-I168),"-")</f>
        <v>-</v>
      </c>
      <c r="J251" s="579" t="str">
        <f>IFERROR(J19/(J164-J168),"-")</f>
        <v>-</v>
      </c>
      <c r="K251" s="580" t="str">
        <f>IFERROR(K19/(K164-K168),"-")</f>
        <v>-</v>
      </c>
      <c r="L251" s="387"/>
    </row>
    <row r="252" spans="1:12" s="473" customFormat="1" ht="15" customHeight="1">
      <c r="A252" s="388"/>
      <c r="B252" s="403"/>
      <c r="C252" s="927" t="s">
        <v>800</v>
      </c>
      <c r="D252" s="928"/>
      <c r="E252" s="928"/>
      <c r="F252" s="929"/>
      <c r="G252" s="579" t="str">
        <f>IFERROR(G19/G218,"-")</f>
        <v>-</v>
      </c>
      <c r="H252" s="579" t="str">
        <f>IFERROR(H19/H218,"-")</f>
        <v>-</v>
      </c>
      <c r="I252" s="579" t="str">
        <f>IFERROR(I19/I218,"-")</f>
        <v>-</v>
      </c>
      <c r="J252" s="579" t="str">
        <f>IFERROR(J19/J218,"-")</f>
        <v>-</v>
      </c>
      <c r="K252" s="580" t="str">
        <f>IFERROR(K19/K218,"-")</f>
        <v>-</v>
      </c>
      <c r="L252" s="387"/>
    </row>
    <row r="253" spans="1:12" s="473" customFormat="1" ht="7.5" customHeight="1" thickBot="1">
      <c r="A253" s="388"/>
      <c r="B253" s="403"/>
      <c r="C253" s="933"/>
      <c r="D253" s="934"/>
      <c r="E253" s="934"/>
      <c r="F253" s="934"/>
      <c r="G253" s="934"/>
      <c r="H253" s="934"/>
      <c r="I253" s="934"/>
      <c r="J253" s="934"/>
      <c r="K253" s="935"/>
      <c r="L253" s="387"/>
    </row>
    <row r="254" spans="1:12" s="524" customFormat="1" ht="16.5">
      <c r="A254" s="388"/>
      <c r="B254" s="522"/>
      <c r="C254" s="936" t="s">
        <v>801</v>
      </c>
      <c r="D254" s="937"/>
      <c r="E254" s="937"/>
      <c r="F254" s="937"/>
      <c r="G254" s="937"/>
      <c r="H254" s="937"/>
      <c r="I254" s="937"/>
      <c r="J254" s="937"/>
      <c r="K254" s="938"/>
      <c r="L254" s="523"/>
    </row>
    <row r="255" spans="1:12" s="388" customFormat="1" ht="15" customHeight="1">
      <c r="A255" s="525"/>
      <c r="B255" s="403"/>
      <c r="C255" s="927" t="s">
        <v>802</v>
      </c>
      <c r="D255" s="928"/>
      <c r="E255" s="928"/>
      <c r="F255" s="929"/>
      <c r="G255" s="579" t="str">
        <f>IFERROR(G51/G63,"-")</f>
        <v>-</v>
      </c>
      <c r="H255" s="579" t="str">
        <f>IFERROR(H61/H63,"-")</f>
        <v>-</v>
      </c>
      <c r="I255" s="579" t="str">
        <f>IFERROR(I61/I63,"-")</f>
        <v>-</v>
      </c>
      <c r="J255" s="579" t="str">
        <f>IFERROR(J51/J63,"-")</f>
        <v>-</v>
      </c>
      <c r="K255" s="580" t="str">
        <f>IFERROR(K51/K63,"-")</f>
        <v>-</v>
      </c>
      <c r="L255" s="387"/>
    </row>
    <row r="256" spans="1:12" s="388" customFormat="1" ht="27.75" customHeight="1">
      <c r="B256" s="403"/>
      <c r="C256" s="927" t="s">
        <v>803</v>
      </c>
      <c r="D256" s="928"/>
      <c r="E256" s="928"/>
      <c r="F256" s="929"/>
      <c r="G256" s="581" t="str">
        <f>IF(G140+G148=0,"No Short Term Obligation", G51/(G140+G148))</f>
        <v>No Short Term Obligation</v>
      </c>
      <c r="H256" s="581" t="str">
        <f>IF(H140+H148=0,"No Short Term Obligation", H51/(H140+H148))</f>
        <v>No Short Term Obligation</v>
      </c>
      <c r="I256" s="581" t="str">
        <f>IF(I140+I148=0,"No Short Term Obligation", I51/(I140+I148))</f>
        <v>No Short Term Obligation</v>
      </c>
      <c r="J256" s="581" t="str">
        <f>IF(J140+J148=0,"No Short Term Obligation", J51/(J140+J148))</f>
        <v>No Short Term Obligation</v>
      </c>
      <c r="K256" s="582" t="str">
        <f>IF(K140+K148=0,"No Short Term Obligation", K51/(K140+K148))</f>
        <v>No Short Term Obligation</v>
      </c>
      <c r="L256" s="387"/>
    </row>
    <row r="257" spans="1:12" s="388" customFormat="1" ht="15" customHeight="1">
      <c r="B257" s="403"/>
      <c r="C257" s="927" t="s">
        <v>804</v>
      </c>
      <c r="D257" s="928"/>
      <c r="E257" s="928"/>
      <c r="F257" s="929"/>
      <c r="G257" s="579" t="str">
        <f>IFERROR((G137+G158+#REF!)/G115,"-")</f>
        <v>-</v>
      </c>
      <c r="H257" s="579" t="str">
        <f>IFERROR((H137+H158+#REF!)/H115,"-")</f>
        <v>-</v>
      </c>
      <c r="I257" s="579" t="str">
        <f>IFERROR((I137+I158+#REF!)/I115,"-")</f>
        <v>-</v>
      </c>
      <c r="J257" s="579" t="str">
        <f>IFERROR((J137+J158+#REF!)/J115,"-")</f>
        <v>-</v>
      </c>
      <c r="K257" s="580" t="str">
        <f>IFERROR((K137+K158+#REF!)/K115,"-")</f>
        <v>-</v>
      </c>
      <c r="L257" s="387"/>
    </row>
    <row r="258" spans="1:12" s="388" customFormat="1" ht="40.5" customHeight="1">
      <c r="B258" s="403"/>
      <c r="C258" s="927" t="s">
        <v>805</v>
      </c>
      <c r="D258" s="928"/>
      <c r="E258" s="928"/>
      <c r="F258" s="929"/>
      <c r="G258" s="579" t="str">
        <f>IFERROR((G121+SUM(G140,G148))/(G88+G53),"-")</f>
        <v>-</v>
      </c>
      <c r="H258" s="579" t="str">
        <f>IFERROR((H121+SUM(H140,H148))/(H88+H53),"-")</f>
        <v>-</v>
      </c>
      <c r="I258" s="579" t="str">
        <f>IFERROR((I121+SUM(I140,I148))/(I88+I53),"-")</f>
        <v>-</v>
      </c>
      <c r="J258" s="579" t="str">
        <f>IFERROR((J121+SUM(J140,J148))/(J88+J53),"-")</f>
        <v>-</v>
      </c>
      <c r="K258" s="580" t="str">
        <f>IFERROR((K121+SUM(K140,K148))/(K88+K53),"-")</f>
        <v>-</v>
      </c>
      <c r="L258" s="387"/>
    </row>
    <row r="259" spans="1:12" s="388" customFormat="1" ht="15" customHeight="1">
      <c r="B259" s="403"/>
      <c r="C259" s="927" t="s">
        <v>806</v>
      </c>
      <c r="D259" s="928"/>
      <c r="E259" s="928"/>
      <c r="F259" s="929"/>
      <c r="G259" s="579" t="str">
        <f>IFERROR((SUM(G140,G148,G121))/G115,"-")</f>
        <v>-</v>
      </c>
      <c r="H259" s="579" t="str">
        <f>IFERROR((SUM(H140,H148,H121))/H115,"-")</f>
        <v>-</v>
      </c>
      <c r="I259" s="579" t="str">
        <f>IFERROR((SUM(I140,I148,I121))/I115,"-")</f>
        <v>-</v>
      </c>
      <c r="J259" s="579" t="str">
        <f>IFERROR((SUM(J140,J148,J121))/J115,"-")</f>
        <v>-</v>
      </c>
      <c r="K259" s="580" t="str">
        <f>IFERROR((SUM(K140,K148,K121))/K115,"-")</f>
        <v>-</v>
      </c>
      <c r="L259" s="387"/>
    </row>
    <row r="260" spans="1:12" s="388" customFormat="1" ht="15" customHeight="1" thickBot="1">
      <c r="B260" s="403"/>
      <c r="C260" s="930" t="s">
        <v>807</v>
      </c>
      <c r="D260" s="931"/>
      <c r="E260" s="931"/>
      <c r="F260" s="932"/>
      <c r="G260" s="583" t="str">
        <f>IF((G121+G140+G148)=0,"No Debt", ((G218-(G169+G170)-G187)-(G158-(G140+G148)))/(G121+G140+G148))</f>
        <v>No Debt</v>
      </c>
      <c r="H260" s="583" t="str">
        <f>IF((H121+H140+H148)=0,"No Debt", ((H218-(H169+H170)-H187)-(H158-(H140+H148)))/(H121+H140+H148))</f>
        <v>No Debt</v>
      </c>
      <c r="I260" s="583" t="str">
        <f>IF((I121+I140+I148)=0,"No Debt", ((I218-(I169+I170)-I187)-(I158-(I140+I148)))/(I121+I140+I148))</f>
        <v>No Debt</v>
      </c>
      <c r="J260" s="583" t="str">
        <f>IF((J121+J140+J148)=0,"No Debt", ((J218-(J169+J170)-J187)-(J158-(J140+J148)))/(J121+J140+J148))</f>
        <v>No Debt</v>
      </c>
      <c r="K260" s="584" t="str">
        <f>IF((K121+K140+K148)=0,"No Debt", ((K218-(K169+K170)-K187)-(K158-(K140+K148)))/(K121+K140+K148))</f>
        <v>No Debt</v>
      </c>
      <c r="L260" s="387"/>
    </row>
    <row r="261" spans="1:12" ht="12.75" customHeight="1" thickBot="1">
      <c r="A261" s="388"/>
      <c r="B261" s="459"/>
      <c r="C261" s="460"/>
      <c r="D261" s="460"/>
      <c r="E261" s="460"/>
      <c r="F261" s="535"/>
      <c r="G261" s="460"/>
      <c r="H261" s="460"/>
      <c r="I261" s="460"/>
      <c r="J261" s="460"/>
      <c r="K261" s="460"/>
      <c r="L261" s="536"/>
    </row>
  </sheetData>
  <sheetProtection algorithmName="SHA-512" hashValue="WlOZ4bDeTmHHFS83Sk+oJ0+80n+CsBEP7pvCFfK+CUzpNaPQFN7NoUzyOE0J7nVwgPKuxb7ZctjxwU2GDmUhlA==" saltValue="uKQZBEvBd5jAD/sJdueA2Q==" spinCount="100000" sheet="1" objects="1" scenarios="1" formatCells="0" formatColumns="0" formatRows="0"/>
  <mergeCells count="249">
    <mergeCell ref="B2:L2"/>
    <mergeCell ref="C3:E3"/>
    <mergeCell ref="C4:K4"/>
    <mergeCell ref="C5:F5"/>
    <mergeCell ref="C6:F6"/>
    <mergeCell ref="D7:F7"/>
    <mergeCell ref="C8:C18"/>
    <mergeCell ref="E8:F8"/>
    <mergeCell ref="D9:D11"/>
    <mergeCell ref="E12:F12"/>
    <mergeCell ref="D13:D15"/>
    <mergeCell ref="E16:F16"/>
    <mergeCell ref="D17:F17"/>
    <mergeCell ref="E30:F30"/>
    <mergeCell ref="D31:D33"/>
    <mergeCell ref="D34:F34"/>
    <mergeCell ref="E35:F35"/>
    <mergeCell ref="E36:F36"/>
    <mergeCell ref="E37:F37"/>
    <mergeCell ref="D18:F18"/>
    <mergeCell ref="C19:F19"/>
    <mergeCell ref="C20:K20"/>
    <mergeCell ref="C21:F21"/>
    <mergeCell ref="D22:F22"/>
    <mergeCell ref="C23:C38"/>
    <mergeCell ref="E23:F23"/>
    <mergeCell ref="D24:D26"/>
    <mergeCell ref="E27:F27"/>
    <mergeCell ref="D28:D29"/>
    <mergeCell ref="E47:F47"/>
    <mergeCell ref="D48:F48"/>
    <mergeCell ref="E49:F49"/>
    <mergeCell ref="E50:F50"/>
    <mergeCell ref="C51:F51"/>
    <mergeCell ref="C52:K52"/>
    <mergeCell ref="E38:F38"/>
    <mergeCell ref="C39:F39"/>
    <mergeCell ref="C40:K40"/>
    <mergeCell ref="D41:F41"/>
    <mergeCell ref="C42:C50"/>
    <mergeCell ref="E42:F42"/>
    <mergeCell ref="E43:F43"/>
    <mergeCell ref="E44:F44"/>
    <mergeCell ref="D45:F45"/>
    <mergeCell ref="E46:F46"/>
    <mergeCell ref="C53:C60"/>
    <mergeCell ref="D53:F53"/>
    <mergeCell ref="D54:F54"/>
    <mergeCell ref="E55:F55"/>
    <mergeCell ref="E56:F56"/>
    <mergeCell ref="D57:F57"/>
    <mergeCell ref="E58:F58"/>
    <mergeCell ref="E59:F59"/>
    <mergeCell ref="D60:F60"/>
    <mergeCell ref="C61:F61"/>
    <mergeCell ref="C62:K62"/>
    <mergeCell ref="C63:C76"/>
    <mergeCell ref="D63:F63"/>
    <mergeCell ref="D64:D67"/>
    <mergeCell ref="E64:F64"/>
    <mergeCell ref="E65:F65"/>
    <mergeCell ref="E66:F66"/>
    <mergeCell ref="E67:F67"/>
    <mergeCell ref="E68:F68"/>
    <mergeCell ref="D69:F69"/>
    <mergeCell ref="D70:D76"/>
    <mergeCell ref="E70:F70"/>
    <mergeCell ref="E71:F71"/>
    <mergeCell ref="E72:F72"/>
    <mergeCell ref="E73:F73"/>
    <mergeCell ref="E74:F74"/>
    <mergeCell ref="E75:F75"/>
    <mergeCell ref="E76:F76"/>
    <mergeCell ref="C83:C85"/>
    <mergeCell ref="E83:F83"/>
    <mergeCell ref="E84:F84"/>
    <mergeCell ref="D85:F85"/>
    <mergeCell ref="C86:C87"/>
    <mergeCell ref="D86:F86"/>
    <mergeCell ref="D87:F87"/>
    <mergeCell ref="C77:F77"/>
    <mergeCell ref="C78:K78"/>
    <mergeCell ref="D79:F79"/>
    <mergeCell ref="C80:F80"/>
    <mergeCell ref="C81:K81"/>
    <mergeCell ref="D82:F82"/>
    <mergeCell ref="E94:F94"/>
    <mergeCell ref="C95:F95"/>
    <mergeCell ref="C96:F96"/>
    <mergeCell ref="C98:K98"/>
    <mergeCell ref="C99:F99"/>
    <mergeCell ref="C100:K100"/>
    <mergeCell ref="C88:F88"/>
    <mergeCell ref="C89:K89"/>
    <mergeCell ref="D90:F90"/>
    <mergeCell ref="C91:F91"/>
    <mergeCell ref="D92:F92"/>
    <mergeCell ref="E93:F93"/>
    <mergeCell ref="E110:F110"/>
    <mergeCell ref="E111:F111"/>
    <mergeCell ref="E112:F112"/>
    <mergeCell ref="E113:F113"/>
    <mergeCell ref="E114:F114"/>
    <mergeCell ref="C115:F115"/>
    <mergeCell ref="C101:K101"/>
    <mergeCell ref="C102:F102"/>
    <mergeCell ref="D103:F103"/>
    <mergeCell ref="C104:C114"/>
    <mergeCell ref="E104:F104"/>
    <mergeCell ref="E105:F105"/>
    <mergeCell ref="E106:F106"/>
    <mergeCell ref="E107:F107"/>
    <mergeCell ref="E108:F108"/>
    <mergeCell ref="D109:F109"/>
    <mergeCell ref="E122:F122"/>
    <mergeCell ref="E123:F123"/>
    <mergeCell ref="E124:F124"/>
    <mergeCell ref="E125:F125"/>
    <mergeCell ref="E126:F126"/>
    <mergeCell ref="E127:F127"/>
    <mergeCell ref="C116:K116"/>
    <mergeCell ref="C117:F117"/>
    <mergeCell ref="C118:K118"/>
    <mergeCell ref="C119:F119"/>
    <mergeCell ref="C120:F120"/>
    <mergeCell ref="D121:F121"/>
    <mergeCell ref="E134:F134"/>
    <mergeCell ref="E135:F135"/>
    <mergeCell ref="D136:F136"/>
    <mergeCell ref="C137:F137"/>
    <mergeCell ref="C138:K138"/>
    <mergeCell ref="C139:F139"/>
    <mergeCell ref="E128:F128"/>
    <mergeCell ref="D129:F129"/>
    <mergeCell ref="D130:F130"/>
    <mergeCell ref="E131:F131"/>
    <mergeCell ref="E132:F132"/>
    <mergeCell ref="D133:F133"/>
    <mergeCell ref="E155:F155"/>
    <mergeCell ref="E156:F156"/>
    <mergeCell ref="E157:F157"/>
    <mergeCell ref="C158:F158"/>
    <mergeCell ref="C159:F159"/>
    <mergeCell ref="C160:K160"/>
    <mergeCell ref="E149:F149"/>
    <mergeCell ref="E150:F150"/>
    <mergeCell ref="E151:F151"/>
    <mergeCell ref="E152:F152"/>
    <mergeCell ref="D153:F153"/>
    <mergeCell ref="D154:F154"/>
    <mergeCell ref="C140:C157"/>
    <mergeCell ref="D140:F140"/>
    <mergeCell ref="E141:F141"/>
    <mergeCell ref="E142:F142"/>
    <mergeCell ref="E143:F143"/>
    <mergeCell ref="E144:F144"/>
    <mergeCell ref="E145:F145"/>
    <mergeCell ref="E146:F146"/>
    <mergeCell ref="E147:F147"/>
    <mergeCell ref="D148:F148"/>
    <mergeCell ref="C161:K161"/>
    <mergeCell ref="C162:F162"/>
    <mergeCell ref="C163:C188"/>
    <mergeCell ref="D163:F163"/>
    <mergeCell ref="E164:F164"/>
    <mergeCell ref="E168:F168"/>
    <mergeCell ref="E169:F169"/>
    <mergeCell ref="E170:F170"/>
    <mergeCell ref="E171:F171"/>
    <mergeCell ref="E172:F172"/>
    <mergeCell ref="E179:F179"/>
    <mergeCell ref="E183:F183"/>
    <mergeCell ref="D184:F184"/>
    <mergeCell ref="D185:F185"/>
    <mergeCell ref="E186:F186"/>
    <mergeCell ref="E187:F187"/>
    <mergeCell ref="D173:F173"/>
    <mergeCell ref="E174:F174"/>
    <mergeCell ref="E175:F175"/>
    <mergeCell ref="E176:F176"/>
    <mergeCell ref="E177:F177"/>
    <mergeCell ref="D178:F178"/>
    <mergeCell ref="E188:F188"/>
    <mergeCell ref="C189:F189"/>
    <mergeCell ref="C190:K190"/>
    <mergeCell ref="C191:F191"/>
    <mergeCell ref="C192:C216"/>
    <mergeCell ref="D192:F192"/>
    <mergeCell ref="E193:F193"/>
    <mergeCell ref="E196:F196"/>
    <mergeCell ref="E197:F197"/>
    <mergeCell ref="E198:F198"/>
    <mergeCell ref="E205:F205"/>
    <mergeCell ref="E206:F206"/>
    <mergeCell ref="E207:F207"/>
    <mergeCell ref="E208:F208"/>
    <mergeCell ref="D209:F209"/>
    <mergeCell ref="D210:F210"/>
    <mergeCell ref="D199:F199"/>
    <mergeCell ref="E200:F200"/>
    <mergeCell ref="E201:F201"/>
    <mergeCell ref="E202:F202"/>
    <mergeCell ref="E203:F203"/>
    <mergeCell ref="D204:F204"/>
    <mergeCell ref="C222:K222"/>
    <mergeCell ref="C223:F223"/>
    <mergeCell ref="C224:K224"/>
    <mergeCell ref="C225:F225"/>
    <mergeCell ref="C226:F226"/>
    <mergeCell ref="C227:F227"/>
    <mergeCell ref="E211:F211"/>
    <mergeCell ref="E215:F215"/>
    <mergeCell ref="D216:F216"/>
    <mergeCell ref="C217:F217"/>
    <mergeCell ref="C218:F218"/>
    <mergeCell ref="C220:F220"/>
    <mergeCell ref="C234:F234"/>
    <mergeCell ref="C235:F235"/>
    <mergeCell ref="C236:K236"/>
    <mergeCell ref="C237:K237"/>
    <mergeCell ref="C238:F238"/>
    <mergeCell ref="C239:F239"/>
    <mergeCell ref="C228:K228"/>
    <mergeCell ref="C229:K229"/>
    <mergeCell ref="C230:F230"/>
    <mergeCell ref="C231:F231"/>
    <mergeCell ref="C232:F232"/>
    <mergeCell ref="C233:F233"/>
    <mergeCell ref="C246:F246"/>
    <mergeCell ref="C247:F247"/>
    <mergeCell ref="C248:F248"/>
    <mergeCell ref="C249:F249"/>
    <mergeCell ref="C250:F250"/>
    <mergeCell ref="C251:F251"/>
    <mergeCell ref="C240:F240"/>
    <mergeCell ref="C241:F241"/>
    <mergeCell ref="C242:K242"/>
    <mergeCell ref="C243:K243"/>
    <mergeCell ref="C244:F244"/>
    <mergeCell ref="C245:F245"/>
    <mergeCell ref="C258:F258"/>
    <mergeCell ref="C259:F259"/>
    <mergeCell ref="C260:F260"/>
    <mergeCell ref="C252:F252"/>
    <mergeCell ref="C253:K253"/>
    <mergeCell ref="C254:K254"/>
    <mergeCell ref="C255:F255"/>
    <mergeCell ref="C256:F256"/>
    <mergeCell ref="C257:F257"/>
  </mergeCells>
  <conditionalFormatting sqref="G22:K38 G41:K50 G53:K60 G63:K76 G79:K79 G82:K87 G90:K90 G92:K96 G121:K136 G140:K157 G163:K188 G192:K216 G220:K220 G225:K227 G230:K235 G238:K241 G244:K252 G255:K260 G103:K114 G7:K18">
    <cfRule type="expression" dxfId="374" priority="14">
      <formula>G$88+G$159=0</formula>
    </cfRule>
  </conditionalFormatting>
  <dataValidations disablePrompts="1" count="1">
    <dataValidation type="list" allowBlank="1" showInputMessage="1" showErrorMessage="1" sqref="J3:K3" xr:uid="{F216B655-EF57-46BF-8477-20F5F2E7CE22}">
      <formula1>"Actuals, Thousands, Lakhs, Millions, Crores"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7E1D9-97A0-4E34-A341-797B5936D26A}">
  <sheetPr codeName="Sheet23">
    <tabColor theme="3" tint="-0.499984740745262"/>
  </sheetPr>
  <dimension ref="B1:J88"/>
  <sheetViews>
    <sheetView showRowColHeaders="0" workbookViewId="0"/>
  </sheetViews>
  <sheetFormatPr defaultRowHeight="12.75"/>
  <cols>
    <col min="1" max="1" width="2.375" style="308" customWidth="1"/>
    <col min="2" max="3" width="2.125" style="308" customWidth="1"/>
    <col min="4" max="4" width="44.375" style="308" customWidth="1"/>
    <col min="5" max="5" width="13.25" style="308" bestFit="1" customWidth="1"/>
    <col min="6" max="6" width="15.125" style="308" bestFit="1" customWidth="1"/>
    <col min="7" max="8" width="13.75" style="308" customWidth="1"/>
    <col min="9" max="16384" width="9" style="308"/>
  </cols>
  <sheetData>
    <row r="1" spans="2:10" ht="13.5" thickBot="1"/>
    <row r="2" spans="2:10" s="366" customFormat="1" ht="20.25" thickBot="1">
      <c r="B2" s="1139" t="s">
        <v>810</v>
      </c>
      <c r="C2" s="1140"/>
      <c r="D2" s="1140"/>
      <c r="E2" s="1140"/>
      <c r="F2" s="1140"/>
      <c r="G2" s="1140"/>
      <c r="H2" s="1141"/>
    </row>
    <row r="3" spans="2:10" s="366" customFormat="1" ht="15.75" thickBot="1">
      <c r="B3" s="1142" t="s">
        <v>611</v>
      </c>
      <c r="C3" s="1143"/>
      <c r="D3" s="1144"/>
      <c r="E3" s="280" t="str">
        <f>'Financial Statement-Combined'!H5</f>
        <v>-</v>
      </c>
      <c r="F3" s="280" t="str">
        <f>'Financial Statement-Combined'!I5</f>
        <v>-</v>
      </c>
      <c r="G3" s="280" t="str">
        <f>'Financial Statement-Combined'!J5</f>
        <v>-</v>
      </c>
      <c r="H3" s="281" t="str">
        <f>'Financial Statement-Combined'!K5</f>
        <v>-</v>
      </c>
    </row>
    <row r="4" spans="2:10" s="366" customFormat="1" ht="7.5" customHeight="1">
      <c r="B4" s="1145"/>
      <c r="C4" s="1146"/>
      <c r="D4" s="1146"/>
      <c r="E4" s="1146"/>
      <c r="F4" s="1146"/>
      <c r="G4" s="1146"/>
      <c r="H4" s="1147"/>
    </row>
    <row r="5" spans="2:10" s="304" customFormat="1" ht="15">
      <c r="B5" s="1109" t="s">
        <v>811</v>
      </c>
      <c r="C5" s="1110"/>
      <c r="D5" s="1110"/>
      <c r="E5" s="306"/>
      <c r="F5" s="306"/>
      <c r="G5" s="306"/>
      <c r="H5" s="307"/>
    </row>
    <row r="6" spans="2:10" ht="15" customHeight="1">
      <c r="B6" s="1102" t="s">
        <v>657</v>
      </c>
      <c r="C6" s="1103"/>
      <c r="D6" s="1127"/>
      <c r="E6" s="282">
        <f>'Financial Statement-Combined'!H61</f>
        <v>0</v>
      </c>
      <c r="F6" s="282">
        <f>'Financial Statement-Combined'!I61</f>
        <v>0</v>
      </c>
      <c r="G6" s="282">
        <f>'Financial Statement-Combined'!J61</f>
        <v>0</v>
      </c>
      <c r="H6" s="283">
        <f>'Financial Statement-Combined'!K61</f>
        <v>0</v>
      </c>
    </row>
    <row r="7" spans="2:10" ht="15" customHeight="1">
      <c r="B7" s="1102" t="s">
        <v>812</v>
      </c>
      <c r="C7" s="1103"/>
      <c r="D7" s="1127"/>
      <c r="E7" s="284"/>
      <c r="F7" s="284"/>
      <c r="G7" s="284"/>
      <c r="H7" s="285"/>
      <c r="J7" s="367"/>
    </row>
    <row r="8" spans="2:10" ht="15" customHeight="1">
      <c r="B8" s="1131"/>
      <c r="C8" s="1103" t="s">
        <v>649</v>
      </c>
      <c r="D8" s="1127"/>
      <c r="E8" s="282">
        <f>'Financial Statement-Combined'!H53</f>
        <v>0</v>
      </c>
      <c r="F8" s="282">
        <f>'Financial Statement-Combined'!I53</f>
        <v>0</v>
      </c>
      <c r="G8" s="282">
        <f>'Financial Statement-Combined'!J53</f>
        <v>0</v>
      </c>
      <c r="H8" s="283">
        <f>'Financial Statement-Combined'!K53</f>
        <v>0</v>
      </c>
    </row>
    <row r="9" spans="2:10" ht="15" customHeight="1">
      <c r="B9" s="1132"/>
      <c r="C9" s="1103" t="s">
        <v>813</v>
      </c>
      <c r="D9" s="1127"/>
      <c r="E9" s="282">
        <f>'Financial Statement-Combined'!H57</f>
        <v>0</v>
      </c>
      <c r="F9" s="282">
        <f>'Financial Statement-Combined'!I57</f>
        <v>0</v>
      </c>
      <c r="G9" s="282">
        <f>'Financial Statement-Combined'!J57</f>
        <v>0</v>
      </c>
      <c r="H9" s="283">
        <f>'Financial Statement-Combined'!K57</f>
        <v>0</v>
      </c>
    </row>
    <row r="10" spans="2:10" ht="15" customHeight="1">
      <c r="B10" s="1132"/>
      <c r="C10" s="1103" t="s">
        <v>814</v>
      </c>
      <c r="D10" s="1127"/>
      <c r="E10" s="282">
        <f>'Financial Statement-Combined'!H72</f>
        <v>0</v>
      </c>
      <c r="F10" s="282">
        <f>'Financial Statement-Combined'!I72</f>
        <v>0</v>
      </c>
      <c r="G10" s="282">
        <f>'Financial Statement-Combined'!J72</f>
        <v>0</v>
      </c>
      <c r="H10" s="283">
        <f>'Financial Statement-Combined'!K72</f>
        <v>0</v>
      </c>
    </row>
    <row r="11" spans="2:10" ht="15" customHeight="1">
      <c r="B11" s="1132"/>
      <c r="C11" s="1103" t="s">
        <v>815</v>
      </c>
      <c r="D11" s="1127"/>
      <c r="E11" s="282">
        <f>'Financial Statement-Combined'!H73</f>
        <v>0</v>
      </c>
      <c r="F11" s="282">
        <f>'Financial Statement-Combined'!I73</f>
        <v>0</v>
      </c>
      <c r="G11" s="282">
        <f>'Financial Statement-Combined'!J73</f>
        <v>0</v>
      </c>
      <c r="H11" s="283">
        <f>'Financial Statement-Combined'!K73</f>
        <v>0</v>
      </c>
    </row>
    <row r="12" spans="2:10" ht="15" customHeight="1" thickBot="1">
      <c r="B12" s="1132"/>
      <c r="C12" s="1137" t="s">
        <v>816</v>
      </c>
      <c r="D12" s="1138"/>
      <c r="E12" s="282">
        <f>'Financial Statement-Combined'!H74</f>
        <v>0</v>
      </c>
      <c r="F12" s="282">
        <f>'Financial Statement-Combined'!I74</f>
        <v>0</v>
      </c>
      <c r="G12" s="282">
        <f>'Financial Statement-Combined'!J74</f>
        <v>0</v>
      </c>
      <c r="H12" s="283">
        <f>'Financial Statement-Combined'!K74</f>
        <v>0</v>
      </c>
    </row>
    <row r="13" spans="2:10" ht="30" customHeight="1">
      <c r="B13" s="1128" t="s">
        <v>817</v>
      </c>
      <c r="C13" s="1129"/>
      <c r="D13" s="1130"/>
      <c r="E13" s="286">
        <f>SUM(E6,E8:E12)</f>
        <v>0</v>
      </c>
      <c r="F13" s="286">
        <f>SUM(F6,F8:F12)</f>
        <v>0</v>
      </c>
      <c r="G13" s="286">
        <f>SUM(G6,G8:G12)</f>
        <v>0</v>
      </c>
      <c r="H13" s="287">
        <f>SUM(H6,H8:H12)</f>
        <v>0</v>
      </c>
    </row>
    <row r="14" spans="2:10" ht="7.5" customHeight="1">
      <c r="B14" s="1116"/>
      <c r="C14" s="1117"/>
      <c r="D14" s="1117"/>
      <c r="E14" s="1117"/>
      <c r="F14" s="1117"/>
      <c r="G14" s="1117"/>
      <c r="H14" s="1118"/>
    </row>
    <row r="15" spans="2:10" ht="15" customHeight="1">
      <c r="B15" s="1131"/>
      <c r="C15" s="1134" t="s">
        <v>818</v>
      </c>
      <c r="D15" s="1135"/>
      <c r="E15" s="282">
        <f>'Financial Statement-Combined'!G199-'Financial Statement-Combined'!H199</f>
        <v>0</v>
      </c>
      <c r="F15" s="282">
        <f>'Financial Statement-Combined'!H199-'Financial Statement-Combined'!I199</f>
        <v>0</v>
      </c>
      <c r="G15" s="282">
        <f>'Financial Statement-Combined'!I199-'Financial Statement-Combined'!J199</f>
        <v>0</v>
      </c>
      <c r="H15" s="283">
        <f>'Financial Statement-Combined'!J199-'Financial Statement-Combined'!K199</f>
        <v>0</v>
      </c>
    </row>
    <row r="16" spans="2:10" ht="15" customHeight="1">
      <c r="B16" s="1132"/>
      <c r="C16" s="1134" t="s">
        <v>819</v>
      </c>
      <c r="D16" s="1135"/>
      <c r="E16" s="282">
        <f>'Financial Statement-Combined'!G204-'Financial Statement-Combined'!H204</f>
        <v>0</v>
      </c>
      <c r="F16" s="282">
        <f>'Financial Statement-Combined'!H204-'Financial Statement-Combined'!I204</f>
        <v>0</v>
      </c>
      <c r="G16" s="282">
        <f>'Financial Statement-Combined'!I204-'Financial Statement-Combined'!J204</f>
        <v>0</v>
      </c>
      <c r="H16" s="283">
        <f>'Financial Statement-Combined'!J204-'Financial Statement-Combined'!K204</f>
        <v>0</v>
      </c>
    </row>
    <row r="17" spans="2:8" ht="15" customHeight="1">
      <c r="B17" s="1132"/>
      <c r="C17" s="1090" t="s">
        <v>820</v>
      </c>
      <c r="D17" s="1091"/>
      <c r="E17" s="288">
        <f>SUM(E18:E19)</f>
        <v>0</v>
      </c>
      <c r="F17" s="288">
        <f>SUM(F18:F19)</f>
        <v>0</v>
      </c>
      <c r="G17" s="288">
        <f>SUM(G18:G19)</f>
        <v>0</v>
      </c>
      <c r="H17" s="289">
        <f>SUM(H18:H19)</f>
        <v>0</v>
      </c>
    </row>
    <row r="18" spans="2:8" s="305" customFormat="1" ht="13.5" customHeight="1">
      <c r="B18" s="1132"/>
      <c r="C18" s="1136"/>
      <c r="D18" s="290" t="s">
        <v>716</v>
      </c>
      <c r="E18" s="291">
        <f>'Financial Statement-Combined'!G179-'Financial Statement-Combined'!H179</f>
        <v>0</v>
      </c>
      <c r="F18" s="291">
        <f>'Financial Statement-Combined'!H179-'Financial Statement-Combined'!I179</f>
        <v>0</v>
      </c>
      <c r="G18" s="291">
        <f>'Financial Statement-Combined'!I179-'Financial Statement-Combined'!J179</f>
        <v>0</v>
      </c>
      <c r="H18" s="292">
        <f>'Financial Statement-Combined'!J179-'Financial Statement-Combined'!K179</f>
        <v>0</v>
      </c>
    </row>
    <row r="19" spans="2:8" s="305" customFormat="1" ht="13.5" customHeight="1">
      <c r="B19" s="1132"/>
      <c r="C19" s="1093"/>
      <c r="D19" s="290" t="s">
        <v>279</v>
      </c>
      <c r="E19" s="291">
        <f>'Financial Statement-Combined'!G183-'Financial Statement-Combined'!H183</f>
        <v>0</v>
      </c>
      <c r="F19" s="291">
        <f>'Financial Statement-Combined'!H183-'Financial Statement-Combined'!I183</f>
        <v>0</v>
      </c>
      <c r="G19" s="291">
        <f>'Financial Statement-Combined'!I183-'Financial Statement-Combined'!J183</f>
        <v>0</v>
      </c>
      <c r="H19" s="292">
        <f>'Financial Statement-Combined'!J183-'Financial Statement-Combined'!K183</f>
        <v>0</v>
      </c>
    </row>
    <row r="20" spans="2:8" ht="15" customHeight="1">
      <c r="B20" s="1132"/>
      <c r="C20" s="1090" t="s">
        <v>821</v>
      </c>
      <c r="D20" s="1091"/>
      <c r="E20" s="288">
        <f>SUM(E21:E22)</f>
        <v>0</v>
      </c>
      <c r="F20" s="288">
        <f>SUM(F21:F22)</f>
        <v>0</v>
      </c>
      <c r="G20" s="288">
        <f>SUM(G21:G22)</f>
        <v>0</v>
      </c>
      <c r="H20" s="289">
        <f>SUM(H21:H22)</f>
        <v>0</v>
      </c>
    </row>
    <row r="21" spans="2:8" s="305" customFormat="1" ht="13.5" customHeight="1">
      <c r="B21" s="1132"/>
      <c r="C21" s="1136"/>
      <c r="D21" s="290" t="s">
        <v>716</v>
      </c>
      <c r="E21" s="291">
        <f>'Financial Statement-Combined'!G211-'Financial Statement-Combined'!H211</f>
        <v>0</v>
      </c>
      <c r="F21" s="291">
        <f>'Financial Statement-Combined'!H211-'Financial Statement-Combined'!I211</f>
        <v>0</v>
      </c>
      <c r="G21" s="291">
        <f>'Financial Statement-Combined'!I211-'Financial Statement-Combined'!J211</f>
        <v>0</v>
      </c>
      <c r="H21" s="292">
        <f>'Financial Statement-Combined'!J211-'Financial Statement-Combined'!K211</f>
        <v>0</v>
      </c>
    </row>
    <row r="22" spans="2:8" s="305" customFormat="1" ht="13.5" customHeight="1">
      <c r="B22" s="1132"/>
      <c r="C22" s="1093"/>
      <c r="D22" s="290" t="s">
        <v>279</v>
      </c>
      <c r="E22" s="291">
        <f>'Financial Statement-Combined'!G215-'Financial Statement-Combined'!H215</f>
        <v>0</v>
      </c>
      <c r="F22" s="291">
        <f>'Financial Statement-Combined'!H215-'Financial Statement-Combined'!I215</f>
        <v>0</v>
      </c>
      <c r="G22" s="291">
        <f>'Financial Statement-Combined'!I215-'Financial Statement-Combined'!J215</f>
        <v>0</v>
      </c>
      <c r="H22" s="292">
        <f>'Financial Statement-Combined'!J215-'Financial Statement-Combined'!K215</f>
        <v>0</v>
      </c>
    </row>
    <row r="23" spans="2:8" ht="15" customHeight="1">
      <c r="B23" s="1132"/>
      <c r="C23" s="1123" t="s">
        <v>822</v>
      </c>
      <c r="D23" s="1124"/>
      <c r="E23" s="282">
        <f>'Financial Statement-Combined'!G185-'Financial Statement-Combined'!H185</f>
        <v>0</v>
      </c>
      <c r="F23" s="282">
        <f>'Financial Statement-Combined'!H185-'Financial Statement-Combined'!I185</f>
        <v>0</v>
      </c>
      <c r="G23" s="282">
        <f>'Financial Statement-Combined'!I185-'Financial Statement-Combined'!J185</f>
        <v>0</v>
      </c>
      <c r="H23" s="283">
        <f>'Financial Statement-Combined'!J185-'Financial Statement-Combined'!K185</f>
        <v>0</v>
      </c>
    </row>
    <row r="24" spans="2:8" ht="15" customHeight="1">
      <c r="B24" s="1132"/>
      <c r="C24" s="1123" t="s">
        <v>823</v>
      </c>
      <c r="D24" s="1124"/>
      <c r="E24" s="282">
        <f>'Financial Statement-Combined'!G216-'Financial Statement-Combined'!H216</f>
        <v>0</v>
      </c>
      <c r="F24" s="282">
        <f>'Financial Statement-Combined'!H216-'Financial Statement-Combined'!I216</f>
        <v>0</v>
      </c>
      <c r="G24" s="282">
        <f>'Financial Statement-Combined'!I216-'Financial Statement-Combined'!J216</f>
        <v>0</v>
      </c>
      <c r="H24" s="283">
        <f>'Financial Statement-Combined'!J216-'Financial Statement-Combined'!K216</f>
        <v>0</v>
      </c>
    </row>
    <row r="25" spans="2:8" ht="15" customHeight="1">
      <c r="B25" s="1132"/>
      <c r="C25" s="1123" t="s">
        <v>824</v>
      </c>
      <c r="D25" s="1124"/>
      <c r="E25" s="282">
        <f>'Financial Statement-Combined'!H148+'Financial Statement-Combined'!H133-'Financial Statement-Combined'!G148-'Financial Statement-Combined'!G133</f>
        <v>0</v>
      </c>
      <c r="F25" s="282">
        <f>'Financial Statement-Combined'!I148+'Financial Statement-Combined'!I133-'Financial Statement-Combined'!H148-'Financial Statement-Combined'!H133</f>
        <v>0</v>
      </c>
      <c r="G25" s="282">
        <f>'Financial Statement-Combined'!J148+'Financial Statement-Combined'!J133-'Financial Statement-Combined'!I148-'Financial Statement-Combined'!I133</f>
        <v>0</v>
      </c>
      <c r="H25" s="283">
        <f>'Financial Statement-Combined'!K148-'Financial Statement-Combined'!J148</f>
        <v>0</v>
      </c>
    </row>
    <row r="26" spans="2:8" ht="15" customHeight="1">
      <c r="B26" s="1132"/>
      <c r="C26" s="1123" t="s">
        <v>825</v>
      </c>
      <c r="D26" s="1124"/>
      <c r="E26" s="282">
        <f>'Financial Statement-Combined'!H130-'Financial Statement-Combined'!G130</f>
        <v>0</v>
      </c>
      <c r="F26" s="282">
        <f>'Financial Statement-Combined'!I130-'Financial Statement-Combined'!H130</f>
        <v>0</v>
      </c>
      <c r="G26" s="282">
        <f>'Financial Statement-Combined'!J130-'Financial Statement-Combined'!I130</f>
        <v>0</v>
      </c>
      <c r="H26" s="283">
        <f>'Financial Statement-Combined'!K130-'Financial Statement-Combined'!J130</f>
        <v>0</v>
      </c>
    </row>
    <row r="27" spans="2:8" ht="15" customHeight="1">
      <c r="B27" s="1132"/>
      <c r="C27" s="1123" t="s">
        <v>826</v>
      </c>
      <c r="D27" s="1124"/>
      <c r="E27" s="282">
        <f>'Financial Statement-Combined'!H153-'Financial Statement-Combined'!G153</f>
        <v>0</v>
      </c>
      <c r="F27" s="282">
        <f>'Financial Statement-Combined'!I153-'Financial Statement-Combined'!H153</f>
        <v>0</v>
      </c>
      <c r="G27" s="282">
        <f>'Financial Statement-Combined'!J153-'Financial Statement-Combined'!I153</f>
        <v>0</v>
      </c>
      <c r="H27" s="283">
        <f>'Financial Statement-Combined'!K153-'Financial Statement-Combined'!J153</f>
        <v>0</v>
      </c>
    </row>
    <row r="28" spans="2:8" ht="15" customHeight="1">
      <c r="B28" s="1132"/>
      <c r="C28" s="1123" t="s">
        <v>827</v>
      </c>
      <c r="D28" s="1124"/>
      <c r="E28" s="282">
        <f>'Financial Statement-Combined'!H136-'Financial Statement-Combined'!G136</f>
        <v>0</v>
      </c>
      <c r="F28" s="282">
        <f>'Financial Statement-Combined'!I136-'Financial Statement-Combined'!H136</f>
        <v>0</v>
      </c>
      <c r="G28" s="282">
        <f>'Financial Statement-Combined'!J136-'Financial Statement-Combined'!I136</f>
        <v>0</v>
      </c>
      <c r="H28" s="283">
        <f>'Financial Statement-Combined'!K136-'Financial Statement-Combined'!J136</f>
        <v>0</v>
      </c>
    </row>
    <row r="29" spans="2:8" ht="15" customHeight="1" thickBot="1">
      <c r="B29" s="1133"/>
      <c r="C29" s="1123" t="s">
        <v>828</v>
      </c>
      <c r="D29" s="1124"/>
      <c r="E29" s="282">
        <f>'Financial Statement-Combined'!H154-'Financial Statement-Combined'!G154</f>
        <v>0</v>
      </c>
      <c r="F29" s="282">
        <f>'Financial Statement-Combined'!I154-'Financial Statement-Combined'!H154</f>
        <v>0</v>
      </c>
      <c r="G29" s="282">
        <f>'Financial Statement-Combined'!J154-'Financial Statement-Combined'!I154</f>
        <v>0</v>
      </c>
      <c r="H29" s="283">
        <f>'Financial Statement-Combined'!K154-'Financial Statement-Combined'!J154</f>
        <v>0</v>
      </c>
    </row>
    <row r="30" spans="2:8" s="366" customFormat="1" ht="16.5" customHeight="1">
      <c r="B30" s="1119" t="s">
        <v>829</v>
      </c>
      <c r="C30" s="1120"/>
      <c r="D30" s="1121"/>
      <c r="E30" s="286">
        <f>SUM(E13,E15:E16,E17,E20,E23:E29)</f>
        <v>0</v>
      </c>
      <c r="F30" s="286">
        <f>SUM(F13,F15:F16,F17,F20,F23:F29)</f>
        <v>0</v>
      </c>
      <c r="G30" s="286">
        <f>SUM(G13,G15:G16,G17,G20,G23:G29)</f>
        <v>0</v>
      </c>
      <c r="H30" s="287">
        <f>SUM(H13,H15:H16,H17,H20,H23:H29)</f>
        <v>0</v>
      </c>
    </row>
    <row r="31" spans="2:8" s="366" customFormat="1" ht="7.5" customHeight="1">
      <c r="B31" s="1116"/>
      <c r="C31" s="1117"/>
      <c r="D31" s="1117"/>
      <c r="E31" s="1117"/>
      <c r="F31" s="1117"/>
      <c r="G31" s="1117"/>
      <c r="H31" s="1118"/>
    </row>
    <row r="32" spans="2:8" ht="15" customHeight="1" collapsed="1">
      <c r="B32" s="1122"/>
      <c r="C32" s="1123" t="s">
        <v>830</v>
      </c>
      <c r="D32" s="1124"/>
      <c r="E32" s="282">
        <f>'Financial Statement-Combined'!H76+'Financial Statement-Combined'!H75</f>
        <v>0</v>
      </c>
      <c r="F32" s="282">
        <f>'Financial Statement-Combined'!I76+'Financial Statement-Combined'!I75</f>
        <v>0</v>
      </c>
      <c r="G32" s="282">
        <f>'Financial Statement-Combined'!J76+'Financial Statement-Combined'!J75</f>
        <v>0</v>
      </c>
      <c r="H32" s="283">
        <f>'Financial Statement-Combined'!K76+'Financial Statement-Combined'!K75</f>
        <v>0</v>
      </c>
    </row>
    <row r="33" spans="2:10" ht="13.5" customHeight="1">
      <c r="B33" s="1102"/>
      <c r="C33" s="1125" t="s">
        <v>831</v>
      </c>
      <c r="D33" s="1126"/>
      <c r="E33" s="282">
        <f>-'Financial Statement-Combined'!H79</f>
        <v>0</v>
      </c>
      <c r="F33" s="282">
        <f>-'Financial Statement-Combined'!I79</f>
        <v>0</v>
      </c>
      <c r="G33" s="282">
        <f>-'Financial Statement-Combined'!J79</f>
        <v>0</v>
      </c>
      <c r="H33" s="283">
        <f>-'Financial Statement-Combined'!K79</f>
        <v>0</v>
      </c>
    </row>
    <row r="34" spans="2:10" ht="15" customHeight="1">
      <c r="B34" s="1102"/>
      <c r="C34" s="1103" t="s">
        <v>832</v>
      </c>
      <c r="D34" s="1127"/>
      <c r="E34" s="282">
        <f>-'Financial Statement-Combined'!H83</f>
        <v>0</v>
      </c>
      <c r="F34" s="282">
        <f>-'Financial Statement-Combined'!I83</f>
        <v>0</v>
      </c>
      <c r="G34" s="282">
        <f>-'Financial Statement-Combined'!J83</f>
        <v>0</v>
      </c>
      <c r="H34" s="283">
        <f>-'Financial Statement-Combined'!K83</f>
        <v>0</v>
      </c>
      <c r="J34" s="367"/>
    </row>
    <row r="35" spans="2:10" ht="15" customHeight="1" thickBot="1">
      <c r="B35" s="1111"/>
      <c r="C35" s="308" t="s">
        <v>833</v>
      </c>
      <c r="D35" s="312"/>
      <c r="E35" s="282">
        <f>('Financial Statement-Combined'!G184-'Financial Statement-Combined'!H184)+('Financial Statement-Combined'!H129-'Financial Statement-Combined'!G129)-'Financial Statement-Combined'!H84</f>
        <v>0</v>
      </c>
      <c r="F35" s="282">
        <f>('Financial Statement-Combined'!H184-'Financial Statement-Combined'!I184)+('Financial Statement-Combined'!I129-'Financial Statement-Combined'!H129)-'Financial Statement-Combined'!I84</f>
        <v>0</v>
      </c>
      <c r="G35" s="282">
        <f>('Financial Statement-Combined'!I184-'Financial Statement-Combined'!J184)+('Financial Statement-Combined'!J129-'Financial Statement-Combined'!I129)-'Financial Statement-Combined'!J84</f>
        <v>0</v>
      </c>
      <c r="H35" s="283">
        <f>('Financial Statement-Combined'!J184-'Financial Statement-Combined'!K184)+('Financial Statement-Combined'!K129-'Financial Statement-Combined'!J129)-'Financial Statement-Combined'!K84</f>
        <v>0</v>
      </c>
      <c r="J35" s="367"/>
    </row>
    <row r="36" spans="2:10" s="366" customFormat="1" ht="16.5" customHeight="1">
      <c r="B36" s="1106" t="s">
        <v>834</v>
      </c>
      <c r="C36" s="1107"/>
      <c r="D36" s="1108"/>
      <c r="E36" s="293">
        <f>SUM(E32:E35,E30)</f>
        <v>0</v>
      </c>
      <c r="F36" s="293">
        <f>SUM(F32:F35,F30)</f>
        <v>0</v>
      </c>
      <c r="G36" s="293">
        <f>SUM(G32:G35,G30)</f>
        <v>0</v>
      </c>
      <c r="H36" s="294">
        <f>SUM(H32:H35,H30)</f>
        <v>0</v>
      </c>
    </row>
    <row r="37" spans="2:10" s="366" customFormat="1" ht="7.5" customHeight="1">
      <c r="B37" s="1099"/>
      <c r="C37" s="1100"/>
      <c r="D37" s="1100"/>
      <c r="E37" s="1100"/>
      <c r="F37" s="1100"/>
      <c r="G37" s="1100"/>
      <c r="H37" s="1101"/>
    </row>
    <row r="38" spans="2:10" ht="16.5" customHeight="1">
      <c r="B38" s="1109" t="s">
        <v>835</v>
      </c>
      <c r="C38" s="1110"/>
      <c r="D38" s="1110"/>
      <c r="E38" s="306"/>
      <c r="F38" s="306"/>
      <c r="G38" s="306"/>
      <c r="H38" s="307"/>
    </row>
    <row r="39" spans="2:10" ht="15" customHeight="1">
      <c r="B39" s="1102"/>
      <c r="C39" s="1090" t="s">
        <v>836</v>
      </c>
      <c r="D39" s="1091"/>
      <c r="E39" s="288">
        <f>SUM(E40:E43,-'Financial Statement-Combined'!H53)</f>
        <v>0</v>
      </c>
      <c r="F39" s="288">
        <f>SUM(F40:F43,-'Financial Statement-Combined'!I53)</f>
        <v>0</v>
      </c>
      <c r="G39" s="288">
        <f>SUM(G40:G43,-'Financial Statement-Combined'!J53)</f>
        <v>0</v>
      </c>
      <c r="H39" s="289">
        <f>SUM(H40:H43,-'Financial Statement-Combined'!K53)</f>
        <v>0</v>
      </c>
    </row>
    <row r="40" spans="2:10" s="305" customFormat="1" ht="13.5" customHeight="1">
      <c r="B40" s="1102"/>
      <c r="C40" s="1094"/>
      <c r="D40" s="311" t="s">
        <v>837</v>
      </c>
      <c r="E40" s="291">
        <f>SUM(('Financial Statement-Combined'!G164-'Financial Statement-Combined'!G168),-('Financial Statement-Combined'!H164-'Financial Statement-Combined'!H168))</f>
        <v>0</v>
      </c>
      <c r="F40" s="291">
        <f>SUM(('Financial Statement-Combined'!H164-'Financial Statement-Combined'!H168),-('Financial Statement-Combined'!I164-'Financial Statement-Combined'!I168))</f>
        <v>0</v>
      </c>
      <c r="G40" s="291">
        <f>SUM(('Financial Statement-Combined'!I164-'Financial Statement-Combined'!I168),-('Financial Statement-Combined'!J164-'Financial Statement-Combined'!J168))</f>
        <v>0</v>
      </c>
      <c r="H40" s="292">
        <f>SUM(('Financial Statement-Combined'!J164-'Financial Statement-Combined'!J168),-('Financial Statement-Combined'!K164-'Financial Statement-Combined'!K168))</f>
        <v>0</v>
      </c>
    </row>
    <row r="41" spans="2:10" s="305" customFormat="1" ht="13.5" customHeight="1">
      <c r="B41" s="1102"/>
      <c r="C41" s="1095"/>
      <c r="D41" s="311" t="s">
        <v>838</v>
      </c>
      <c r="E41" s="291">
        <f>SUM(('Financial Statement-Combined'!G169-'Financial Statement-Combined'!G170),-('Financial Statement-Combined'!H169-'Financial Statement-Combined'!H170))</f>
        <v>0</v>
      </c>
      <c r="F41" s="291">
        <f>SUM(('Financial Statement-Combined'!H169-'Financial Statement-Combined'!H170),-('Financial Statement-Combined'!I169-'Financial Statement-Combined'!I170))</f>
        <v>0</v>
      </c>
      <c r="G41" s="291">
        <f>SUM(('Financial Statement-Combined'!I169-'Financial Statement-Combined'!I170),-('Financial Statement-Combined'!J169-'Financial Statement-Combined'!J170))</f>
        <v>0</v>
      </c>
      <c r="H41" s="292">
        <f>SUM(('Financial Statement-Combined'!J169-'Financial Statement-Combined'!J170),-('Financial Statement-Combined'!K169-'Financial Statement-Combined'!K170))</f>
        <v>0</v>
      </c>
    </row>
    <row r="42" spans="2:10" s="305" customFormat="1" ht="13.5" customHeight="1">
      <c r="B42" s="1102"/>
      <c r="C42" s="1095"/>
      <c r="D42" s="311" t="s">
        <v>839</v>
      </c>
      <c r="E42" s="291">
        <f>SUM('Financial Statement-Combined'!G171,-'Financial Statement-Combined'!H171)</f>
        <v>0</v>
      </c>
      <c r="F42" s="291">
        <f>SUM('Financial Statement-Combined'!H171,-'Financial Statement-Combined'!I171)</f>
        <v>0</v>
      </c>
      <c r="G42" s="291">
        <f>SUM('Financial Statement-Combined'!I171,-'Financial Statement-Combined'!J171)</f>
        <v>0</v>
      </c>
      <c r="H42" s="292">
        <f>SUM('Financial Statement-Combined'!J171,-'Financial Statement-Combined'!K171)</f>
        <v>0</v>
      </c>
    </row>
    <row r="43" spans="2:10" s="305" customFormat="1" ht="13.5" customHeight="1">
      <c r="B43" s="1102"/>
      <c r="C43" s="1095"/>
      <c r="D43" s="295" t="s">
        <v>840</v>
      </c>
      <c r="E43" s="291">
        <f>SUM('Financial Statement-Combined'!G172,-'Financial Statement-Combined'!H172)</f>
        <v>0</v>
      </c>
      <c r="F43" s="291">
        <f>SUM('Financial Statement-Combined'!H172,-'Financial Statement-Combined'!I172)</f>
        <v>0</v>
      </c>
      <c r="G43" s="291">
        <f>SUM('Financial Statement-Combined'!I172,-'Financial Statement-Combined'!J172)</f>
        <v>0</v>
      </c>
      <c r="H43" s="292">
        <f>SUM('Financial Statement-Combined'!J172,-'Financial Statement-Combined'!K172)</f>
        <v>0</v>
      </c>
    </row>
    <row r="44" spans="2:10" ht="15" customHeight="1">
      <c r="B44" s="1102"/>
      <c r="C44" s="1090" t="s">
        <v>841</v>
      </c>
      <c r="D44" s="1091"/>
      <c r="E44" s="288">
        <f>SUM(E45:E47)</f>
        <v>0</v>
      </c>
      <c r="F44" s="288">
        <f>SUM(F45:F47)</f>
        <v>0</v>
      </c>
      <c r="G44" s="288">
        <f>SUM(G45:G47)</f>
        <v>0</v>
      </c>
      <c r="H44" s="289">
        <f>SUM(H45:H47)</f>
        <v>0</v>
      </c>
    </row>
    <row r="45" spans="2:10" s="305" customFormat="1" ht="13.5" customHeight="1">
      <c r="B45" s="1102"/>
      <c r="C45" s="1094"/>
      <c r="D45" s="296" t="s">
        <v>743</v>
      </c>
      <c r="E45" s="291">
        <f>SUM('Financial Statement-Combined'!G174,'Financial Statement-Combined'!G175-'Financial Statement-Combined'!H174,-'Financial Statement-Combined'!H175)</f>
        <v>0</v>
      </c>
      <c r="F45" s="291">
        <f>SUM('Financial Statement-Combined'!H174,'Financial Statement-Combined'!H175-'Financial Statement-Combined'!I174,-'Financial Statement-Combined'!I175)</f>
        <v>0</v>
      </c>
      <c r="G45" s="291">
        <f>SUM('Financial Statement-Combined'!I174,'Financial Statement-Combined'!I175-'Financial Statement-Combined'!J174,-'Financial Statement-Combined'!J175)</f>
        <v>0</v>
      </c>
      <c r="H45" s="292">
        <f>SUM('Financial Statement-Combined'!J174,'Financial Statement-Combined'!J175-'Financial Statement-Combined'!K174,-'Financial Statement-Combined'!K175)</f>
        <v>0</v>
      </c>
    </row>
    <row r="46" spans="2:10" s="305" customFormat="1" ht="13.5" customHeight="1">
      <c r="B46" s="1102"/>
      <c r="C46" s="1095"/>
      <c r="D46" s="296" t="s">
        <v>745</v>
      </c>
      <c r="E46" s="291">
        <f>SUM('Financial Statement-Combined'!G176,-'Financial Statement-Combined'!H176)</f>
        <v>0</v>
      </c>
      <c r="F46" s="291">
        <f>SUM('Financial Statement-Combined'!H176,-'Financial Statement-Combined'!I176)</f>
        <v>0</v>
      </c>
      <c r="G46" s="291">
        <f>SUM('Financial Statement-Combined'!I176,-'Financial Statement-Combined'!J176)</f>
        <v>0</v>
      </c>
      <c r="H46" s="292">
        <f>SUM('Financial Statement-Combined'!J176,-'Financial Statement-Combined'!K176)</f>
        <v>0</v>
      </c>
    </row>
    <row r="47" spans="2:10" s="305" customFormat="1" ht="13.5" customHeight="1">
      <c r="B47" s="1102"/>
      <c r="C47" s="1095"/>
      <c r="D47" s="296" t="s">
        <v>746</v>
      </c>
      <c r="E47" s="291">
        <f>SUM('Financial Statement-Combined'!G177,-'Financial Statement-Combined'!H177)</f>
        <v>0</v>
      </c>
      <c r="F47" s="291">
        <f>SUM('Financial Statement-Combined'!H177,-'Financial Statement-Combined'!I177)</f>
        <v>0</v>
      </c>
      <c r="G47" s="291">
        <f>SUM('Financial Statement-Combined'!I177,-'Financial Statement-Combined'!J177)</f>
        <v>0</v>
      </c>
      <c r="H47" s="292">
        <f>SUM('Financial Statement-Combined'!J177,-'Financial Statement-Combined'!K177)</f>
        <v>0</v>
      </c>
    </row>
    <row r="48" spans="2:10" ht="15" customHeight="1">
      <c r="B48" s="1102"/>
      <c r="C48" s="1090" t="s">
        <v>842</v>
      </c>
      <c r="D48" s="1091"/>
      <c r="E48" s="288">
        <f>SUM(E49:E51)</f>
        <v>0</v>
      </c>
      <c r="F48" s="288">
        <f>SUM(F49:F51)</f>
        <v>0</v>
      </c>
      <c r="G48" s="288">
        <f>SUM(G49:G51)</f>
        <v>0</v>
      </c>
      <c r="H48" s="289">
        <f>SUM(H49:H51)</f>
        <v>0</v>
      </c>
    </row>
    <row r="49" spans="2:8" s="305" customFormat="1" ht="13.5" customHeight="1">
      <c r="B49" s="1102"/>
      <c r="C49" s="1094"/>
      <c r="D49" s="296" t="s">
        <v>743</v>
      </c>
      <c r="E49" s="291">
        <f>'Financial Statement-Combined'!G193+'Financial Statement-Combined'!G196-'Financial Statement-Combined'!H193-'Financial Statement-Combined'!H196</f>
        <v>0</v>
      </c>
      <c r="F49" s="291">
        <f>'Financial Statement-Combined'!H193+'Financial Statement-Combined'!H196-'Financial Statement-Combined'!I193-'Financial Statement-Combined'!I196</f>
        <v>0</v>
      </c>
      <c r="G49" s="291">
        <f>'Financial Statement-Combined'!I193+'Financial Statement-Combined'!I196-'Financial Statement-Combined'!J193-'Financial Statement-Combined'!J196</f>
        <v>0</v>
      </c>
      <c r="H49" s="292">
        <f>'Financial Statement-Combined'!J193+'Financial Statement-Combined'!J196-'Financial Statement-Combined'!K193-'Financial Statement-Combined'!K196</f>
        <v>0</v>
      </c>
    </row>
    <row r="50" spans="2:8" s="305" customFormat="1" ht="13.5" customHeight="1">
      <c r="B50" s="1102"/>
      <c r="C50" s="1095"/>
      <c r="D50" s="296" t="s">
        <v>745</v>
      </c>
      <c r="E50" s="291">
        <f>'Financial Statement-Combined'!G197-'Financial Statement-Combined'!H197</f>
        <v>0</v>
      </c>
      <c r="F50" s="291">
        <f>'Financial Statement-Combined'!H197-'Financial Statement-Combined'!I197</f>
        <v>0</v>
      </c>
      <c r="G50" s="291">
        <f>'Financial Statement-Combined'!I197-'Financial Statement-Combined'!J197</f>
        <v>0</v>
      </c>
      <c r="H50" s="292">
        <f>'Financial Statement-Combined'!J197-'Financial Statement-Combined'!K197</f>
        <v>0</v>
      </c>
    </row>
    <row r="51" spans="2:8" s="305" customFormat="1" ht="13.5" customHeight="1">
      <c r="B51" s="1102"/>
      <c r="C51" s="1095"/>
      <c r="D51" s="296" t="s">
        <v>746</v>
      </c>
      <c r="E51" s="291">
        <f>'Financial Statement-Combined'!G198-'Financial Statement-Combined'!H198</f>
        <v>0</v>
      </c>
      <c r="F51" s="291">
        <f>'Financial Statement-Combined'!H198-'Financial Statement-Combined'!I198</f>
        <v>0</v>
      </c>
      <c r="G51" s="291">
        <f>'Financial Statement-Combined'!I198-'Financial Statement-Combined'!J198</f>
        <v>0</v>
      </c>
      <c r="H51" s="292">
        <f>'Financial Statement-Combined'!J198-'Financial Statement-Combined'!K198</f>
        <v>0</v>
      </c>
    </row>
    <row r="52" spans="2:8" ht="15" customHeight="1">
      <c r="B52" s="1102"/>
      <c r="C52" s="1112" t="s">
        <v>664</v>
      </c>
      <c r="D52" s="1113"/>
      <c r="E52" s="282">
        <f>'Financial Statement-Combined'!H70</f>
        <v>0</v>
      </c>
      <c r="F52" s="282">
        <f>'Financial Statement-Combined'!I70</f>
        <v>0</v>
      </c>
      <c r="G52" s="282">
        <f>'Financial Statement-Combined'!J70</f>
        <v>0</v>
      </c>
      <c r="H52" s="283">
        <f>'Financial Statement-Combined'!K70</f>
        <v>0</v>
      </c>
    </row>
    <row r="53" spans="2:8" ht="15" customHeight="1" thickBot="1">
      <c r="B53" s="1111"/>
      <c r="C53" s="1114" t="s">
        <v>665</v>
      </c>
      <c r="D53" s="1115"/>
      <c r="E53" s="282">
        <f>'Financial Statement-Combined'!H71</f>
        <v>0</v>
      </c>
      <c r="F53" s="282">
        <f>'Financial Statement-Combined'!I71</f>
        <v>0</v>
      </c>
      <c r="G53" s="282">
        <f>'Financial Statement-Combined'!J71</f>
        <v>0</v>
      </c>
      <c r="H53" s="283">
        <f>'Financial Statement-Combined'!K71</f>
        <v>0</v>
      </c>
    </row>
    <row r="54" spans="2:8" s="366" customFormat="1" ht="16.5" customHeight="1">
      <c r="B54" s="1096" t="s">
        <v>843</v>
      </c>
      <c r="C54" s="1097"/>
      <c r="D54" s="1098"/>
      <c r="E54" s="293">
        <f>SUM(E48,E44,E39,E52:E53)</f>
        <v>0</v>
      </c>
      <c r="F54" s="293">
        <f>SUM(F48,F44,F39,F52:F53)</f>
        <v>0</v>
      </c>
      <c r="G54" s="293">
        <f>SUM(G48,G44,G39,G52:G53)</f>
        <v>0</v>
      </c>
      <c r="H54" s="294">
        <f>SUM(H48,H44,H39,H52:H53)</f>
        <v>0</v>
      </c>
    </row>
    <row r="55" spans="2:8" ht="7.5" customHeight="1">
      <c r="B55" s="1116"/>
      <c r="C55" s="1117"/>
      <c r="D55" s="1117"/>
      <c r="E55" s="1117"/>
      <c r="F55" s="1117"/>
      <c r="G55" s="1117"/>
      <c r="H55" s="1118"/>
    </row>
    <row r="56" spans="2:8" s="366" customFormat="1" ht="16.5" customHeight="1">
      <c r="B56" s="1109" t="s">
        <v>844</v>
      </c>
      <c r="C56" s="1110"/>
      <c r="D56" s="1110"/>
      <c r="E56" s="306"/>
      <c r="F56" s="306"/>
      <c r="G56" s="306"/>
      <c r="H56" s="307"/>
    </row>
    <row r="57" spans="2:8" s="366" customFormat="1" ht="15" customHeight="1">
      <c r="B57" s="368"/>
      <c r="C57" s="1090" t="s">
        <v>845</v>
      </c>
      <c r="D57" s="1091"/>
      <c r="E57" s="288">
        <f>SUM(E58:E64)</f>
        <v>0</v>
      </c>
      <c r="F57" s="288">
        <f>SUM(F58:F64)</f>
        <v>0</v>
      </c>
      <c r="G57" s="288">
        <f>SUM(G58:G64)</f>
        <v>0</v>
      </c>
      <c r="H57" s="289">
        <f>SUM(H58:H64)</f>
        <v>0</v>
      </c>
    </row>
    <row r="58" spans="2:8" s="305" customFormat="1" ht="13.5" customHeight="1">
      <c r="B58" s="369"/>
      <c r="C58" s="309"/>
      <c r="D58" s="297" t="s">
        <v>705</v>
      </c>
      <c r="E58" s="291">
        <f>'Financial Statement-Combined'!H122-'Financial Statement-Combined'!G122</f>
        <v>0</v>
      </c>
      <c r="F58" s="291">
        <f>'Financial Statement-Combined'!I122-'Financial Statement-Combined'!H122</f>
        <v>0</v>
      </c>
      <c r="G58" s="291">
        <f>'Financial Statement-Combined'!J122-'Financial Statement-Combined'!I122</f>
        <v>0</v>
      </c>
      <c r="H58" s="292">
        <f>'Financial Statement-Combined'!K122-'Financial Statement-Combined'!J122</f>
        <v>0</v>
      </c>
    </row>
    <row r="59" spans="2:8" s="370" customFormat="1" ht="13.5" customHeight="1">
      <c r="B59" s="368"/>
      <c r="C59" s="310"/>
      <c r="D59" s="297" t="s">
        <v>706</v>
      </c>
      <c r="E59" s="291">
        <f>'Financial Statement-Combined'!H123-'Financial Statement-Combined'!G123</f>
        <v>0</v>
      </c>
      <c r="F59" s="291">
        <f>'Financial Statement-Combined'!I123-'Financial Statement-Combined'!H123</f>
        <v>0</v>
      </c>
      <c r="G59" s="291">
        <f>'Financial Statement-Combined'!J123-'Financial Statement-Combined'!I123</f>
        <v>0</v>
      </c>
      <c r="H59" s="292">
        <f>'Financial Statement-Combined'!K123-'Financial Statement-Combined'!J123</f>
        <v>0</v>
      </c>
    </row>
    <row r="60" spans="2:8" s="370" customFormat="1" ht="13.5" customHeight="1">
      <c r="B60" s="368"/>
      <c r="C60" s="310"/>
      <c r="D60" s="297" t="s">
        <v>707</v>
      </c>
      <c r="E60" s="291">
        <f>'Financial Statement-Combined'!H124-'Financial Statement-Combined'!G124</f>
        <v>0</v>
      </c>
      <c r="F60" s="291">
        <f>'Financial Statement-Combined'!I124-'Financial Statement-Combined'!H124</f>
        <v>0</v>
      </c>
      <c r="G60" s="291">
        <f>'Financial Statement-Combined'!J124-'Financial Statement-Combined'!I124</f>
        <v>0</v>
      </c>
      <c r="H60" s="292">
        <f>'Financial Statement-Combined'!K124-'Financial Statement-Combined'!J124</f>
        <v>0</v>
      </c>
    </row>
    <row r="61" spans="2:8" s="370" customFormat="1" ht="13.5" customHeight="1">
      <c r="B61" s="368"/>
      <c r="C61" s="310"/>
      <c r="D61" s="297" t="s">
        <v>708</v>
      </c>
      <c r="E61" s="291">
        <f>'Financial Statement-Combined'!H125-'Financial Statement-Combined'!G125</f>
        <v>0</v>
      </c>
      <c r="F61" s="291">
        <f>'Financial Statement-Combined'!I125-'Financial Statement-Combined'!H125</f>
        <v>0</v>
      </c>
      <c r="G61" s="291">
        <f>'Financial Statement-Combined'!J125-'Financial Statement-Combined'!I125</f>
        <v>0</v>
      </c>
      <c r="H61" s="292">
        <f>'Financial Statement-Combined'!K125-'Financial Statement-Combined'!J125</f>
        <v>0</v>
      </c>
    </row>
    <row r="62" spans="2:8" s="370" customFormat="1" ht="13.5" customHeight="1">
      <c r="B62" s="368"/>
      <c r="C62" s="310"/>
      <c r="D62" s="297" t="s">
        <v>709</v>
      </c>
      <c r="E62" s="291">
        <f>'Financial Statement-Combined'!H126-'Financial Statement-Combined'!G126</f>
        <v>0</v>
      </c>
      <c r="F62" s="291">
        <f>'Financial Statement-Combined'!I126-'Financial Statement-Combined'!H126</f>
        <v>0</v>
      </c>
      <c r="G62" s="291">
        <f>'Financial Statement-Combined'!J126-'Financial Statement-Combined'!I126</f>
        <v>0</v>
      </c>
      <c r="H62" s="292">
        <f>'Financial Statement-Combined'!K126-'Financial Statement-Combined'!J126</f>
        <v>0</v>
      </c>
    </row>
    <row r="63" spans="2:8" s="370" customFormat="1" ht="13.5" customHeight="1">
      <c r="B63" s="368"/>
      <c r="C63" s="305"/>
      <c r="D63" s="297" t="s">
        <v>710</v>
      </c>
      <c r="E63" s="291">
        <f>'Financial Statement-Combined'!H127-'Financial Statement-Combined'!G127</f>
        <v>0</v>
      </c>
      <c r="F63" s="291">
        <f>'Financial Statement-Combined'!I127-'Financial Statement-Combined'!H127</f>
        <v>0</v>
      </c>
      <c r="G63" s="291">
        <f>'Financial Statement-Combined'!J127-'Financial Statement-Combined'!I127</f>
        <v>0</v>
      </c>
      <c r="H63" s="292">
        <f>'Financial Statement-Combined'!K127-'Financial Statement-Combined'!J127</f>
        <v>0</v>
      </c>
    </row>
    <row r="64" spans="2:8" s="370" customFormat="1" ht="13.5" customHeight="1">
      <c r="B64" s="368"/>
      <c r="C64" s="305"/>
      <c r="D64" s="297" t="s">
        <v>711</v>
      </c>
      <c r="E64" s="291">
        <f>'Financial Statement-Combined'!H128-'Financial Statement-Combined'!G128</f>
        <v>0</v>
      </c>
      <c r="F64" s="291">
        <f>'Financial Statement-Combined'!I128-'Financial Statement-Combined'!H128</f>
        <v>0</v>
      </c>
      <c r="G64" s="291">
        <f>'Financial Statement-Combined'!J128-'Financial Statement-Combined'!I128</f>
        <v>0</v>
      </c>
      <c r="H64" s="292">
        <f>'Financial Statement-Combined'!K128-'Financial Statement-Combined'!J128</f>
        <v>0</v>
      </c>
    </row>
    <row r="65" spans="2:8" s="366" customFormat="1" ht="15" customHeight="1">
      <c r="B65" s="368"/>
      <c r="C65" s="1090" t="s">
        <v>846</v>
      </c>
      <c r="D65" s="1091"/>
      <c r="E65" s="288">
        <f>SUM(E66:E72)</f>
        <v>0</v>
      </c>
      <c r="F65" s="288">
        <f>SUM(F66:F72)</f>
        <v>0</v>
      </c>
      <c r="G65" s="288">
        <f>SUM(G66:G72)</f>
        <v>0</v>
      </c>
      <c r="H65" s="289">
        <f>SUM(H66:H72)</f>
        <v>0</v>
      </c>
    </row>
    <row r="66" spans="2:8" s="305" customFormat="1" ht="13.5" customHeight="1">
      <c r="B66" s="368"/>
      <c r="C66" s="1092"/>
      <c r="D66" s="297" t="s">
        <v>721</v>
      </c>
      <c r="E66" s="291">
        <f>'Financial Statement-Combined'!H141-'Financial Statement-Combined'!G141</f>
        <v>0</v>
      </c>
      <c r="F66" s="291">
        <f>'Financial Statement-Combined'!I141-'Financial Statement-Combined'!H141</f>
        <v>0</v>
      </c>
      <c r="G66" s="291">
        <f>'Financial Statement-Combined'!J141-'Financial Statement-Combined'!I141</f>
        <v>0</v>
      </c>
      <c r="H66" s="292">
        <f>'Financial Statement-Combined'!K141-'Financial Statement-Combined'!J141</f>
        <v>0</v>
      </c>
    </row>
    <row r="67" spans="2:8" s="305" customFormat="1" ht="13.5" customHeight="1">
      <c r="B67" s="368"/>
      <c r="C67" s="1093"/>
      <c r="D67" s="297" t="s">
        <v>847</v>
      </c>
      <c r="E67" s="291">
        <f>'Financial Statement-Combined'!H142-'Financial Statement-Combined'!G142</f>
        <v>0</v>
      </c>
      <c r="F67" s="291">
        <f>'Financial Statement-Combined'!I142-'Financial Statement-Combined'!H142</f>
        <v>0</v>
      </c>
      <c r="G67" s="291">
        <f>'Financial Statement-Combined'!J142-'Financial Statement-Combined'!I142</f>
        <v>0</v>
      </c>
      <c r="H67" s="292">
        <f>'Financial Statement-Combined'!K142-'Financial Statement-Combined'!J142</f>
        <v>0</v>
      </c>
    </row>
    <row r="68" spans="2:8" s="305" customFormat="1" ht="13.5" customHeight="1">
      <c r="B68" s="368"/>
      <c r="C68" s="1093"/>
      <c r="D68" s="297" t="s">
        <v>707</v>
      </c>
      <c r="E68" s="291">
        <f>'Financial Statement-Combined'!H144-'Financial Statement-Combined'!G144</f>
        <v>0</v>
      </c>
      <c r="F68" s="291">
        <f>'Financial Statement-Combined'!I144-'Financial Statement-Combined'!H144</f>
        <v>0</v>
      </c>
      <c r="G68" s="291">
        <f>'Financial Statement-Combined'!J144-'Financial Statement-Combined'!I144</f>
        <v>0</v>
      </c>
      <c r="H68" s="292">
        <f>'Financial Statement-Combined'!K144-'Financial Statement-Combined'!J144</f>
        <v>0</v>
      </c>
    </row>
    <row r="69" spans="2:8" ht="27.75" customHeight="1">
      <c r="B69" s="368"/>
      <c r="C69" s="298"/>
      <c r="D69" s="297" t="s">
        <v>848</v>
      </c>
      <c r="E69" s="282">
        <f>'Financial Statement-Combined'!H143-'Financial Statement-Combined'!G143</f>
        <v>0</v>
      </c>
      <c r="F69" s="282">
        <f>'Financial Statement-Combined'!I143-'Financial Statement-Combined'!H143</f>
        <v>0</v>
      </c>
      <c r="G69" s="282">
        <f>'Financial Statement-Combined'!J143-'Financial Statement-Combined'!I143</f>
        <v>0</v>
      </c>
      <c r="H69" s="283">
        <f>'Financial Statement-Combined'!K143-'Financial Statement-Combined'!J143</f>
        <v>0</v>
      </c>
    </row>
    <row r="70" spans="2:8">
      <c r="B70" s="368"/>
      <c r="C70" s="279"/>
      <c r="D70" s="297" t="s">
        <v>849</v>
      </c>
      <c r="E70" s="282">
        <f>'Financial Statement-Combined'!H147-'Financial Statement-Combined'!G147</f>
        <v>0</v>
      </c>
      <c r="F70" s="282">
        <f>'Financial Statement-Combined'!I147-'Financial Statement-Combined'!H147</f>
        <v>0</v>
      </c>
      <c r="G70" s="282">
        <f>'Financial Statement-Combined'!J147-'Financial Statement-Combined'!I147</f>
        <v>0</v>
      </c>
      <c r="H70" s="283">
        <f>'Financial Statement-Combined'!K147-'Financial Statement-Combined'!J147</f>
        <v>0</v>
      </c>
    </row>
    <row r="71" spans="2:8">
      <c r="B71" s="368"/>
      <c r="C71" s="279"/>
      <c r="D71" s="297" t="s">
        <v>708</v>
      </c>
      <c r="E71" s="282">
        <f>'Financial Statement-Combined'!H145-'Financial Statement-Combined'!G145</f>
        <v>0</v>
      </c>
      <c r="F71" s="282">
        <f>'Financial Statement-Combined'!I145-'Financial Statement-Combined'!H145</f>
        <v>0</v>
      </c>
      <c r="G71" s="282">
        <f>'Financial Statement-Combined'!J145-'Financial Statement-Combined'!I145</f>
        <v>0</v>
      </c>
      <c r="H71" s="283">
        <f>'Financial Statement-Combined'!K145-'Financial Statement-Combined'!J145</f>
        <v>0</v>
      </c>
    </row>
    <row r="72" spans="2:8">
      <c r="B72" s="368"/>
      <c r="C72" s="279"/>
      <c r="D72" s="297" t="s">
        <v>709</v>
      </c>
      <c r="E72" s="282">
        <f>'Financial Statement-Combined'!H146-'Financial Statement-Combined'!G146</f>
        <v>0</v>
      </c>
      <c r="F72" s="282">
        <f>'Financial Statement-Combined'!I146-'Financial Statement-Combined'!H146</f>
        <v>0</v>
      </c>
      <c r="G72" s="282">
        <f>'Financial Statement-Combined'!J146-'Financial Statement-Combined'!I146</f>
        <v>0</v>
      </c>
      <c r="H72" s="283">
        <f>'Financial Statement-Combined'!K146-'Financial Statement-Combined'!J146</f>
        <v>0</v>
      </c>
    </row>
    <row r="73" spans="2:8" ht="15" customHeight="1">
      <c r="B73" s="368"/>
      <c r="C73" s="1090" t="s">
        <v>850</v>
      </c>
      <c r="D73" s="1091"/>
      <c r="E73" s="288">
        <f>SUM(E74:E75)</f>
        <v>0</v>
      </c>
      <c r="F73" s="288">
        <f>SUM(F74:F75)</f>
        <v>0</v>
      </c>
      <c r="G73" s="288">
        <f>SUM(G74:G75)</f>
        <v>0</v>
      </c>
      <c r="H73" s="289">
        <f>SUM(H74:H75)</f>
        <v>0</v>
      </c>
    </row>
    <row r="74" spans="2:8" s="305" customFormat="1" ht="13.5" customHeight="1">
      <c r="B74" s="368"/>
      <c r="C74" s="1092"/>
      <c r="D74" s="311" t="s">
        <v>688</v>
      </c>
      <c r="E74" s="291">
        <f>'Financial Statement-Combined'!H103-'Financial Statement-Combined'!G103</f>
        <v>0</v>
      </c>
      <c r="F74" s="291">
        <f>'Financial Statement-Combined'!I103-'Financial Statement-Combined'!H103</f>
        <v>0</v>
      </c>
      <c r="G74" s="291">
        <f>'Financial Statement-Combined'!J103-'Financial Statement-Combined'!I103</f>
        <v>0</v>
      </c>
      <c r="H74" s="292">
        <f>'Financial Statement-Combined'!K103-'Financial Statement-Combined'!J103</f>
        <v>0</v>
      </c>
    </row>
    <row r="75" spans="2:8" s="305" customFormat="1" ht="13.5" customHeight="1">
      <c r="B75" s="368"/>
      <c r="C75" s="1093"/>
      <c r="D75" s="311" t="s">
        <v>694</v>
      </c>
      <c r="E75" s="291">
        <f>'Financial Statement-Combined'!H109-'Financial Statement-Combined'!G109-'Financial Statement-Combined'!H88</f>
        <v>0</v>
      </c>
      <c r="F75" s="291">
        <f>'Financial Statement-Combined'!I109-'Financial Statement-Combined'!H109-'Financial Statement-Combined'!I88</f>
        <v>0</v>
      </c>
      <c r="G75" s="291">
        <f>'Financial Statement-Combined'!J109-'Financial Statement-Combined'!I109-'Financial Statement-Combined'!J88</f>
        <v>0</v>
      </c>
      <c r="H75" s="292">
        <f>'Financial Statement-Combined'!K109-'Financial Statement-Combined'!J109-'Financial Statement-Combined'!K88</f>
        <v>0</v>
      </c>
    </row>
    <row r="76" spans="2:8">
      <c r="B76" s="368"/>
      <c r="C76" s="1090" t="s">
        <v>851</v>
      </c>
      <c r="D76" s="1091"/>
      <c r="E76" s="288">
        <f>SUM(E77:E81)</f>
        <v>0</v>
      </c>
      <c r="F76" s="288">
        <f>SUM(F77:F81)</f>
        <v>0</v>
      </c>
      <c r="G76" s="288">
        <f>SUM(G77:G81)</f>
        <v>0</v>
      </c>
      <c r="H76" s="299">
        <f>SUM(H77:H81)</f>
        <v>0</v>
      </c>
    </row>
    <row r="77" spans="2:8">
      <c r="B77" s="368"/>
      <c r="C77" s="1094"/>
      <c r="D77" s="297" t="s">
        <v>659</v>
      </c>
      <c r="E77" s="291">
        <f>-'Financial Statement-Combined'!H64</f>
        <v>0</v>
      </c>
      <c r="F77" s="291">
        <f>-'Financial Statement-Combined'!I64</f>
        <v>0</v>
      </c>
      <c r="G77" s="291">
        <f>-'Financial Statement-Combined'!J64</f>
        <v>0</v>
      </c>
      <c r="H77" s="292">
        <f>-'Financial Statement-Combined'!K64</f>
        <v>0</v>
      </c>
    </row>
    <row r="78" spans="2:8">
      <c r="B78" s="368"/>
      <c r="C78" s="1095"/>
      <c r="D78" s="297" t="s">
        <v>660</v>
      </c>
      <c r="E78" s="291">
        <f>-'Financial Statement-Combined'!H65</f>
        <v>0</v>
      </c>
      <c r="F78" s="291">
        <f>-'Financial Statement-Combined'!I65</f>
        <v>0</v>
      </c>
      <c r="G78" s="291">
        <f>-'Financial Statement-Combined'!J65</f>
        <v>0</v>
      </c>
      <c r="H78" s="292">
        <f>-'Financial Statement-Combined'!K65</f>
        <v>0</v>
      </c>
    </row>
    <row r="79" spans="2:8">
      <c r="B79" s="368"/>
      <c r="C79" s="1095"/>
      <c r="D79" s="297" t="s">
        <v>661</v>
      </c>
      <c r="E79" s="291">
        <f>-'Financial Statement-Combined'!H66</f>
        <v>0</v>
      </c>
      <c r="F79" s="291">
        <f>-'Financial Statement-Combined'!I66</f>
        <v>0</v>
      </c>
      <c r="G79" s="291">
        <f>-'Financial Statement-Combined'!J66</f>
        <v>0</v>
      </c>
      <c r="H79" s="292">
        <f>-'Financial Statement-Combined'!K66</f>
        <v>0</v>
      </c>
    </row>
    <row r="80" spans="2:8">
      <c r="B80" s="368"/>
      <c r="C80" s="1095"/>
      <c r="D80" s="290" t="s">
        <v>123</v>
      </c>
      <c r="E80" s="291">
        <f>-'Financial Statement-Combined'!H67</f>
        <v>0</v>
      </c>
      <c r="F80" s="291">
        <f>-'Financial Statement-Combined'!I67</f>
        <v>0</v>
      </c>
      <c r="G80" s="291">
        <f>-'Financial Statement-Combined'!J67</f>
        <v>0</v>
      </c>
      <c r="H80" s="292">
        <f>-'Financial Statement-Combined'!K67</f>
        <v>0</v>
      </c>
    </row>
    <row r="81" spans="2:8" ht="13.5" thickBot="1">
      <c r="B81" s="368"/>
      <c r="C81" s="305"/>
      <c r="D81" s="290" t="s">
        <v>662</v>
      </c>
      <c r="E81" s="291">
        <f>-'Financial Statement-Combined'!H68</f>
        <v>0</v>
      </c>
      <c r="F81" s="291">
        <f>-'Financial Statement-Combined'!I68</f>
        <v>0</v>
      </c>
      <c r="G81" s="291">
        <f>-'Financial Statement-Combined'!J68</f>
        <v>0</v>
      </c>
      <c r="H81" s="300">
        <f>-'Financial Statement-Combined'!K68</f>
        <v>0</v>
      </c>
    </row>
    <row r="82" spans="2:8" s="366" customFormat="1" ht="16.5" customHeight="1">
      <c r="B82" s="1096" t="s">
        <v>852</v>
      </c>
      <c r="C82" s="1097"/>
      <c r="D82" s="1098"/>
      <c r="E82" s="293">
        <f>SUM(E57,E65,E73,E76)</f>
        <v>0</v>
      </c>
      <c r="F82" s="293">
        <f>SUM(F57,F65,F73,F76)</f>
        <v>0</v>
      </c>
      <c r="G82" s="293">
        <f>SUM(G57,G65,G73,G76)</f>
        <v>0</v>
      </c>
      <c r="H82" s="294">
        <f>SUM(H57,H65,H73,H76)</f>
        <v>0</v>
      </c>
    </row>
    <row r="83" spans="2:8" s="366" customFormat="1" ht="7.5" customHeight="1">
      <c r="B83" s="1099"/>
      <c r="C83" s="1100"/>
      <c r="D83" s="1100"/>
      <c r="E83" s="1100"/>
      <c r="F83" s="1100"/>
      <c r="G83" s="1100"/>
      <c r="H83" s="1101"/>
    </row>
    <row r="84" spans="2:8" ht="15" customHeight="1">
      <c r="B84" s="1102" t="s">
        <v>853</v>
      </c>
      <c r="C84" s="1103"/>
      <c r="D84" s="1103"/>
      <c r="E84" s="282">
        <f>E36+E54+E82</f>
        <v>0</v>
      </c>
      <c r="F84" s="282">
        <f>F36+F54+F82</f>
        <v>0</v>
      </c>
      <c r="G84" s="282">
        <f>G36+G54+G82</f>
        <v>0</v>
      </c>
      <c r="H84" s="283">
        <f>H36+H54+H82</f>
        <v>0</v>
      </c>
    </row>
    <row r="85" spans="2:8" ht="15" customHeight="1">
      <c r="B85" s="1102" t="s">
        <v>854</v>
      </c>
      <c r="C85" s="1103"/>
      <c r="D85" s="1103"/>
      <c r="E85" s="282">
        <f>'Financial Statement-Combined'!G209</f>
        <v>0</v>
      </c>
      <c r="F85" s="282">
        <f>'Financial Statement-Combined'!H209</f>
        <v>0</v>
      </c>
      <c r="G85" s="282">
        <f>'Financial Statement-Combined'!I209</f>
        <v>0</v>
      </c>
      <c r="H85" s="283">
        <f>'Financial Statement-Combined'!J209</f>
        <v>0</v>
      </c>
    </row>
    <row r="86" spans="2:8" ht="15" customHeight="1" thickBot="1">
      <c r="B86" s="1104" t="s">
        <v>855</v>
      </c>
      <c r="C86" s="1105"/>
      <c r="D86" s="1105"/>
      <c r="E86" s="301">
        <f>'Financial Statement-Combined'!H209</f>
        <v>0</v>
      </c>
      <c r="F86" s="301">
        <f>'Financial Statement-Combined'!I209</f>
        <v>0</v>
      </c>
      <c r="G86" s="301">
        <f>'Financial Statement-Combined'!J209</f>
        <v>0</v>
      </c>
      <c r="H86" s="302">
        <f>'Financial Statement-Combined'!K209</f>
        <v>0</v>
      </c>
    </row>
    <row r="87" spans="2:8" ht="15" customHeight="1">
      <c r="E87" s="284"/>
      <c r="F87" s="284"/>
      <c r="G87" s="284"/>
      <c r="H87" s="284"/>
    </row>
    <row r="88" spans="2:8" s="366" customFormat="1" ht="15" customHeight="1">
      <c r="B88" s="1089" t="s">
        <v>856</v>
      </c>
      <c r="C88" s="1089"/>
      <c r="D88" s="1089"/>
      <c r="E88" s="303">
        <f>E84+E85-E86</f>
        <v>0</v>
      </c>
      <c r="F88" s="303">
        <f>F84+F85-F86</f>
        <v>0</v>
      </c>
      <c r="G88" s="303">
        <f>G84+G85-G86</f>
        <v>0</v>
      </c>
      <c r="H88" s="303">
        <f>H84+H85-H86</f>
        <v>0</v>
      </c>
    </row>
  </sheetData>
  <sheetProtection algorithmName="SHA-512" hashValue="qLK7keYCQ+85DqRxnk/7lXsFNblPpWUTlXJMaHjRa8KGVs1x9TF79QpEoYBkouqe3VugE6ABSDSBwUeUPpVKuQ==" saltValue="+1B84JMCdpjF+ZRgpzNu/Q==" spinCount="100000" sheet="1" objects="1" scenarios="1"/>
  <mergeCells count="62">
    <mergeCell ref="B7:D7"/>
    <mergeCell ref="B2:H2"/>
    <mergeCell ref="B3:D3"/>
    <mergeCell ref="B4:H4"/>
    <mergeCell ref="B5:D5"/>
    <mergeCell ref="B6:D6"/>
    <mergeCell ref="B8:B12"/>
    <mergeCell ref="C8:D8"/>
    <mergeCell ref="C9:D9"/>
    <mergeCell ref="C10:D10"/>
    <mergeCell ref="C11:D11"/>
    <mergeCell ref="C12:D12"/>
    <mergeCell ref="C29:D29"/>
    <mergeCell ref="B13:D13"/>
    <mergeCell ref="B14:H14"/>
    <mergeCell ref="B15:B29"/>
    <mergeCell ref="C15:D15"/>
    <mergeCell ref="C16:D16"/>
    <mergeCell ref="C17:D17"/>
    <mergeCell ref="C18:C19"/>
    <mergeCell ref="C20:D20"/>
    <mergeCell ref="C21:C22"/>
    <mergeCell ref="C23:D23"/>
    <mergeCell ref="C24:D24"/>
    <mergeCell ref="C25:D25"/>
    <mergeCell ref="C26:D26"/>
    <mergeCell ref="C27:D27"/>
    <mergeCell ref="C28:D28"/>
    <mergeCell ref="B30:D30"/>
    <mergeCell ref="B31:H31"/>
    <mergeCell ref="B32:B35"/>
    <mergeCell ref="C32:D32"/>
    <mergeCell ref="C33:D33"/>
    <mergeCell ref="C34:D34"/>
    <mergeCell ref="C57:D57"/>
    <mergeCell ref="B36:D36"/>
    <mergeCell ref="B37:H37"/>
    <mergeCell ref="B38:D38"/>
    <mergeCell ref="B39:B53"/>
    <mergeCell ref="C39:D39"/>
    <mergeCell ref="C40:C43"/>
    <mergeCell ref="C44:D44"/>
    <mergeCell ref="C45:C47"/>
    <mergeCell ref="C48:D48"/>
    <mergeCell ref="C49:C51"/>
    <mergeCell ref="C52:D52"/>
    <mergeCell ref="C53:D53"/>
    <mergeCell ref="B54:D54"/>
    <mergeCell ref="B55:H55"/>
    <mergeCell ref="B56:D56"/>
    <mergeCell ref="B88:D88"/>
    <mergeCell ref="C65:D65"/>
    <mergeCell ref="C66:C68"/>
    <mergeCell ref="C73:D73"/>
    <mergeCell ref="C74:C75"/>
    <mergeCell ref="C76:D76"/>
    <mergeCell ref="C77:C80"/>
    <mergeCell ref="B82:D82"/>
    <mergeCell ref="B83:H83"/>
    <mergeCell ref="B84:D84"/>
    <mergeCell ref="B85:D85"/>
    <mergeCell ref="B86:D86"/>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1" id="{6A9EC4E9-4190-478A-BD0F-FA1E9BF5A268}">
            <xm:f>OR(('Financial Statement-Combined'!G$88+'Financial Statement-Combined'!G$159)=0,('Financial Statement-Combined'!H$88+'Financial Statement-Combined'!H$159)=0)</xm:f>
            <x14:dxf>
              <font>
                <color theme="0" tint="-4.9989318521683403E-2"/>
              </font>
              <fill>
                <patternFill>
                  <bgColor theme="0" tint="-4.9989318521683403E-2"/>
                </patternFill>
              </fill>
            </x14:dxf>
          </x14:cfRule>
          <xm:sqref>E84:H86 E88:H88 E15:H30 E32:H35 E39:H53 E6:H6 E8:H13 E57:H81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5048C8-462A-4D9F-A36A-DB061250C2B0}">
  <sheetPr codeName="Sheet24">
    <tabColor theme="3" tint="-0.499984740745262"/>
  </sheetPr>
  <dimension ref="A1:N264"/>
  <sheetViews>
    <sheetView topLeftCell="A81" workbookViewId="0">
      <selection activeCell="F3" sqref="F3"/>
    </sheetView>
  </sheetViews>
  <sheetFormatPr defaultRowHeight="14.25" outlineLevelRow="2"/>
  <cols>
    <col min="1" max="5" width="2.125" style="371" customWidth="1"/>
    <col min="6" max="6" width="40" style="372" customWidth="1"/>
    <col min="7" max="11" width="13.125" style="371" customWidth="1"/>
    <col min="12" max="12" width="1.625" style="371" customWidth="1"/>
    <col min="13" max="14" width="10.875" style="371" bestFit="1" customWidth="1"/>
    <col min="15" max="16384" width="9" style="371"/>
  </cols>
  <sheetData>
    <row r="1" spans="2:12" ht="15" thickBot="1"/>
    <row r="2" spans="2:12" ht="25.5" customHeight="1">
      <c r="B2" s="1049" t="s">
        <v>606</v>
      </c>
      <c r="C2" s="1050"/>
      <c r="D2" s="1050"/>
      <c r="E2" s="1050"/>
      <c r="F2" s="1050"/>
      <c r="G2" s="1050"/>
      <c r="H2" s="1050"/>
      <c r="I2" s="1050"/>
      <c r="J2" s="1050"/>
      <c r="K2" s="1050"/>
      <c r="L2" s="1051"/>
    </row>
    <row r="3" spans="2:12" ht="15" customHeight="1" thickBot="1">
      <c r="B3" s="373"/>
      <c r="C3" s="1052" t="s">
        <v>607</v>
      </c>
      <c r="D3" s="1052"/>
      <c r="E3" s="1052"/>
      <c r="F3" s="374"/>
      <c r="G3" s="375"/>
      <c r="J3" s="376" t="s">
        <v>608</v>
      </c>
      <c r="K3" s="377" t="s">
        <v>609</v>
      </c>
      <c r="L3" s="378"/>
    </row>
    <row r="4" spans="2:12" ht="20.25" thickBot="1">
      <c r="B4" s="379"/>
      <c r="C4" s="1053" t="s">
        <v>610</v>
      </c>
      <c r="D4" s="1054"/>
      <c r="E4" s="1054"/>
      <c r="F4" s="1054"/>
      <c r="G4" s="1054"/>
      <c r="H4" s="1054"/>
      <c r="I4" s="1054"/>
      <c r="J4" s="1054"/>
      <c r="K4" s="1055"/>
      <c r="L4" s="378"/>
    </row>
    <row r="5" spans="2:12" s="384" customFormat="1" ht="18.75" customHeight="1" thickBot="1">
      <c r="B5" s="380"/>
      <c r="C5" s="1056" t="s">
        <v>611</v>
      </c>
      <c r="D5" s="1057"/>
      <c r="E5" s="1057"/>
      <c r="F5" s="1057"/>
      <c r="G5" s="537" t="str">
        <f>IFERROR(EDATE(H5,-12),"-")</f>
        <v>-</v>
      </c>
      <c r="H5" s="537" t="str">
        <f>IFERROR(EDATE(I5,-12),"-")</f>
        <v>-</v>
      </c>
      <c r="I5" s="537" t="str">
        <f>IFERROR(EDATE(J5,-12),"-")</f>
        <v>-</v>
      </c>
      <c r="J5" s="381"/>
      <c r="K5" s="538">
        <f>IFERROR(EDATE(J5,12),"-")</f>
        <v>366</v>
      </c>
      <c r="L5" s="383"/>
    </row>
    <row r="6" spans="2:12" s="388" customFormat="1" ht="15.75" customHeight="1">
      <c r="B6" s="373"/>
      <c r="C6" s="1148" t="s">
        <v>612</v>
      </c>
      <c r="D6" s="1149"/>
      <c r="E6" s="1149"/>
      <c r="F6" s="1150"/>
      <c r="G6" s="385"/>
      <c r="H6" s="385"/>
      <c r="I6" s="385"/>
      <c r="J6" s="385"/>
      <c r="K6" s="386"/>
      <c r="L6" s="387"/>
    </row>
    <row r="7" spans="2:12" s="394" customFormat="1" ht="12.75">
      <c r="B7" s="389"/>
      <c r="C7" s="1151" t="s">
        <v>613</v>
      </c>
      <c r="D7" s="1152"/>
      <c r="E7" s="1152"/>
      <c r="F7" s="1153"/>
      <c r="G7" s="390"/>
      <c r="H7" s="391"/>
      <c r="I7" s="391"/>
      <c r="J7" s="391"/>
      <c r="K7" s="392"/>
      <c r="L7" s="393"/>
    </row>
    <row r="8" spans="2:12" s="394" customFormat="1" ht="13.5" thickBot="1">
      <c r="B8" s="389"/>
      <c r="C8" s="1154" t="s">
        <v>614</v>
      </c>
      <c r="D8" s="1155"/>
      <c r="E8" s="1155"/>
      <c r="F8" s="1156"/>
      <c r="G8" s="395"/>
      <c r="H8" s="396"/>
      <c r="I8" s="396"/>
      <c r="J8" s="396"/>
      <c r="K8" s="397"/>
      <c r="L8" s="393"/>
    </row>
    <row r="9" spans="2:12" ht="16.5" customHeight="1">
      <c r="B9" s="379"/>
      <c r="C9" s="986" t="s">
        <v>615</v>
      </c>
      <c r="D9" s="987"/>
      <c r="E9" s="987"/>
      <c r="F9" s="987"/>
      <c r="G9" s="398"/>
      <c r="H9" s="398"/>
      <c r="I9" s="398"/>
      <c r="J9" s="398"/>
      <c r="K9" s="399"/>
      <c r="L9" s="378"/>
    </row>
    <row r="10" spans="2:12" ht="16.5" customHeight="1">
      <c r="B10" s="379"/>
      <c r="C10" s="400"/>
      <c r="D10" s="955" t="s">
        <v>616</v>
      </c>
      <c r="E10" s="956"/>
      <c r="F10" s="957"/>
      <c r="G10" s="539">
        <f>SUM(G11,G15,G19)</f>
        <v>0</v>
      </c>
      <c r="H10" s="539">
        <f>SUM(H11,H15,H19)</f>
        <v>0</v>
      </c>
      <c r="I10" s="539">
        <f>SUM(I11,I15,I19)</f>
        <v>0</v>
      </c>
      <c r="J10" s="539">
        <f>SUM(J11,J15,J19)</f>
        <v>0</v>
      </c>
      <c r="K10" s="540">
        <f>SUM(K11,K15,K19)</f>
        <v>0</v>
      </c>
      <c r="L10" s="378"/>
    </row>
    <row r="11" spans="2:12" s="388" customFormat="1" ht="15" customHeight="1" outlineLevel="1">
      <c r="B11" s="403"/>
      <c r="C11" s="1045"/>
      <c r="D11" s="404"/>
      <c r="E11" s="1058" t="s">
        <v>617</v>
      </c>
      <c r="F11" s="1059"/>
      <c r="G11" s="541">
        <f>SUM(G12:G14)</f>
        <v>0</v>
      </c>
      <c r="H11" s="541">
        <f>SUM(H12:H14)</f>
        <v>0</v>
      </c>
      <c r="I11" s="541">
        <f>SUM(I12:I14)</f>
        <v>0</v>
      </c>
      <c r="J11" s="541">
        <f>SUM(J12:J14)</f>
        <v>0</v>
      </c>
      <c r="K11" s="542">
        <f>SUM(K12:K14)</f>
        <v>0</v>
      </c>
      <c r="L11" s="387"/>
    </row>
    <row r="12" spans="2:12" s="413" customFormat="1" ht="13.5" customHeight="1" outlineLevel="2">
      <c r="B12" s="407"/>
      <c r="C12" s="1045"/>
      <c r="D12" s="1042"/>
      <c r="E12" s="408"/>
      <c r="F12" s="409" t="s">
        <v>618</v>
      </c>
      <c r="G12" s="410"/>
      <c r="H12" s="410"/>
      <c r="I12" s="410"/>
      <c r="J12" s="410"/>
      <c r="K12" s="411"/>
      <c r="L12" s="412"/>
    </row>
    <row r="13" spans="2:12" s="413" customFormat="1" ht="13.5" customHeight="1" outlineLevel="2">
      <c r="B13" s="407"/>
      <c r="C13" s="1045"/>
      <c r="D13" s="1042"/>
      <c r="F13" s="414" t="s">
        <v>619</v>
      </c>
      <c r="G13" s="415"/>
      <c r="H13" s="415"/>
      <c r="I13" s="415"/>
      <c r="J13" s="415"/>
      <c r="K13" s="416"/>
      <c r="L13" s="412"/>
    </row>
    <row r="14" spans="2:12" s="413" customFormat="1" ht="13.5" customHeight="1" outlineLevel="2">
      <c r="B14" s="407"/>
      <c r="C14" s="1045"/>
      <c r="D14" s="1042"/>
      <c r="F14" s="414" t="s">
        <v>620</v>
      </c>
      <c r="G14" s="415"/>
      <c r="H14" s="415"/>
      <c r="I14" s="415"/>
      <c r="J14" s="415"/>
      <c r="K14" s="416"/>
      <c r="L14" s="412"/>
    </row>
    <row r="15" spans="2:12" s="388" customFormat="1" ht="15" customHeight="1" outlineLevel="1">
      <c r="B15" s="403"/>
      <c r="C15" s="1045"/>
      <c r="E15" s="955" t="s">
        <v>621</v>
      </c>
      <c r="F15" s="957"/>
      <c r="G15" s="543">
        <f>SUM(G16:G18)</f>
        <v>0</v>
      </c>
      <c r="H15" s="543">
        <f>SUM(H16:H18)</f>
        <v>0</v>
      </c>
      <c r="I15" s="543">
        <f>SUM(I16:I18)</f>
        <v>0</v>
      </c>
      <c r="J15" s="543">
        <f>SUM(J16:J18)</f>
        <v>0</v>
      </c>
      <c r="K15" s="544">
        <f>SUM(K16:K18)</f>
        <v>0</v>
      </c>
      <c r="L15" s="387"/>
    </row>
    <row r="16" spans="2:12" s="413" customFormat="1" ht="13.5" customHeight="1" outlineLevel="2">
      <c r="B16" s="407"/>
      <c r="C16" s="1045"/>
      <c r="D16" s="1042"/>
      <c r="E16" s="408"/>
      <c r="F16" s="409" t="s">
        <v>618</v>
      </c>
      <c r="G16" s="410"/>
      <c r="H16" s="410"/>
      <c r="I16" s="410"/>
      <c r="J16" s="410"/>
      <c r="K16" s="411"/>
      <c r="L16" s="412"/>
    </row>
    <row r="17" spans="2:12" s="413" customFormat="1" ht="13.5" customHeight="1" outlineLevel="2">
      <c r="B17" s="407"/>
      <c r="C17" s="1045"/>
      <c r="D17" s="1042"/>
      <c r="F17" s="414" t="s">
        <v>619</v>
      </c>
      <c r="G17" s="415"/>
      <c r="H17" s="415"/>
      <c r="I17" s="415"/>
      <c r="J17" s="415"/>
      <c r="K17" s="416"/>
      <c r="L17" s="412"/>
    </row>
    <row r="18" spans="2:12" s="413" customFormat="1" ht="13.5" customHeight="1" outlineLevel="2">
      <c r="B18" s="407"/>
      <c r="C18" s="1045"/>
      <c r="D18" s="1042"/>
      <c r="F18" s="414" t="s">
        <v>620</v>
      </c>
      <c r="G18" s="415"/>
      <c r="H18" s="415"/>
      <c r="I18" s="415"/>
      <c r="J18" s="415"/>
      <c r="K18" s="416"/>
      <c r="L18" s="412"/>
    </row>
    <row r="19" spans="2:12" s="413" customFormat="1" ht="13.5" customHeight="1" outlineLevel="1">
      <c r="B19" s="407"/>
      <c r="C19" s="1045"/>
      <c r="E19" s="955" t="s">
        <v>622</v>
      </c>
      <c r="F19" s="957"/>
      <c r="G19" s="415"/>
      <c r="H19" s="415"/>
      <c r="I19" s="415"/>
      <c r="J19" s="415"/>
      <c r="K19" s="416"/>
      <c r="L19" s="412"/>
    </row>
    <row r="20" spans="2:12" s="388" customFormat="1" ht="15" customHeight="1">
      <c r="B20" s="403"/>
      <c r="C20" s="1045"/>
      <c r="D20" s="955" t="s">
        <v>623</v>
      </c>
      <c r="E20" s="956"/>
      <c r="F20" s="957"/>
      <c r="G20" s="419"/>
      <c r="H20" s="419"/>
      <c r="I20" s="419"/>
      <c r="J20" s="419"/>
      <c r="K20" s="420"/>
      <c r="L20" s="387"/>
    </row>
    <row r="21" spans="2:12" s="388" customFormat="1" ht="15" customHeight="1" thickBot="1">
      <c r="B21" s="403"/>
      <c r="C21" s="1046"/>
      <c r="D21" s="1007" t="s">
        <v>624</v>
      </c>
      <c r="E21" s="1008"/>
      <c r="F21" s="1009"/>
      <c r="G21" s="421"/>
      <c r="H21" s="421"/>
      <c r="I21" s="421"/>
      <c r="J21" s="421"/>
      <c r="K21" s="422"/>
      <c r="L21" s="387"/>
    </row>
    <row r="22" spans="2:12" ht="16.5" customHeight="1" thickBot="1">
      <c r="B22" s="379"/>
      <c r="C22" s="965" t="s">
        <v>625</v>
      </c>
      <c r="D22" s="966"/>
      <c r="E22" s="966"/>
      <c r="F22" s="966"/>
      <c r="G22" s="545">
        <f>SUM(G10+G20)-G21</f>
        <v>0</v>
      </c>
      <c r="H22" s="545">
        <f>SUM(H10+H20)-H21</f>
        <v>0</v>
      </c>
      <c r="I22" s="545">
        <f>SUM(I10+I20)-I21</f>
        <v>0</v>
      </c>
      <c r="J22" s="545">
        <f>SUM(J10+J20)-J21</f>
        <v>0</v>
      </c>
      <c r="K22" s="546">
        <f>SUM(K10+K20)-K21</f>
        <v>0</v>
      </c>
      <c r="L22" s="378"/>
    </row>
    <row r="23" spans="2:12" ht="7.5" customHeight="1">
      <c r="B23" s="379"/>
      <c r="C23" s="967"/>
      <c r="D23" s="968"/>
      <c r="E23" s="968"/>
      <c r="F23" s="968"/>
      <c r="G23" s="968"/>
      <c r="H23" s="968"/>
      <c r="I23" s="968"/>
      <c r="J23" s="968"/>
      <c r="K23" s="969"/>
      <c r="L23" s="378"/>
    </row>
    <row r="24" spans="2:12" ht="16.5" customHeight="1">
      <c r="B24" s="379"/>
      <c r="C24" s="1043" t="s">
        <v>626</v>
      </c>
      <c r="D24" s="1044"/>
      <c r="E24" s="1044"/>
      <c r="F24" s="1044"/>
      <c r="G24" s="413"/>
      <c r="H24" s="413"/>
      <c r="I24" s="413"/>
      <c r="J24" s="413"/>
      <c r="K24" s="412"/>
      <c r="L24" s="412"/>
    </row>
    <row r="25" spans="2:12" ht="16.5" customHeight="1">
      <c r="B25" s="379"/>
      <c r="C25" s="425"/>
      <c r="D25" s="955" t="s">
        <v>627</v>
      </c>
      <c r="E25" s="956"/>
      <c r="F25" s="957"/>
      <c r="G25" s="543">
        <f>G26+G30+G33</f>
        <v>0</v>
      </c>
      <c r="H25" s="543">
        <f>H26+H30+H33</f>
        <v>0</v>
      </c>
      <c r="I25" s="543">
        <f>I26+I30+I33</f>
        <v>0</v>
      </c>
      <c r="J25" s="543">
        <f>J26+J30+J33</f>
        <v>0</v>
      </c>
      <c r="K25" s="544">
        <f>K26+K30+K33</f>
        <v>0</v>
      </c>
      <c r="L25" s="412"/>
    </row>
    <row r="26" spans="2:12" s="388" customFormat="1" ht="15" customHeight="1" outlineLevel="1">
      <c r="B26" s="403"/>
      <c r="C26" s="1045"/>
      <c r="D26" s="404"/>
      <c r="E26" s="1047" t="s">
        <v>628</v>
      </c>
      <c r="F26" s="1048"/>
      <c r="G26" s="541">
        <f>G28+G27-G29</f>
        <v>0</v>
      </c>
      <c r="H26" s="541">
        <f>H28+H27-H29</f>
        <v>0</v>
      </c>
      <c r="I26" s="541">
        <f>I28+I27-I29</f>
        <v>0</v>
      </c>
      <c r="J26" s="541">
        <f>J28+J27-J29</f>
        <v>0</v>
      </c>
      <c r="K26" s="542">
        <f>K28+K27-K29</f>
        <v>0</v>
      </c>
      <c r="L26" s="387"/>
    </row>
    <row r="27" spans="2:12" s="413" customFormat="1" ht="13.5" customHeight="1" outlineLevel="2">
      <c r="B27" s="407"/>
      <c r="C27" s="1045"/>
      <c r="D27" s="1042"/>
      <c r="E27" s="408"/>
      <c r="F27" s="409" t="s">
        <v>629</v>
      </c>
      <c r="G27" s="410"/>
      <c r="H27" s="410"/>
      <c r="I27" s="410"/>
      <c r="J27" s="410"/>
      <c r="K27" s="411"/>
      <c r="L27" s="412"/>
    </row>
    <row r="28" spans="2:12" s="413" customFormat="1" ht="16.5" customHeight="1" outlineLevel="2">
      <c r="B28" s="407"/>
      <c r="C28" s="1045"/>
      <c r="D28" s="1042"/>
      <c r="F28" s="414" t="s">
        <v>630</v>
      </c>
      <c r="G28" s="415"/>
      <c r="H28" s="415"/>
      <c r="I28" s="415"/>
      <c r="J28" s="415"/>
      <c r="K28" s="416"/>
      <c r="L28" s="412"/>
    </row>
    <row r="29" spans="2:12" s="413" customFormat="1" ht="16.5" customHeight="1" outlineLevel="2">
      <c r="B29" s="407"/>
      <c r="C29" s="1045"/>
      <c r="D29" s="1042"/>
      <c r="F29" s="414" t="s">
        <v>631</v>
      </c>
      <c r="G29" s="415"/>
      <c r="H29" s="415"/>
      <c r="I29" s="415"/>
      <c r="J29" s="415"/>
      <c r="K29" s="416"/>
      <c r="L29" s="412"/>
    </row>
    <row r="30" spans="2:12" s="388" customFormat="1" ht="16.5" customHeight="1" outlineLevel="1">
      <c r="B30" s="403"/>
      <c r="C30" s="1045"/>
      <c r="E30" s="1040" t="s">
        <v>632</v>
      </c>
      <c r="F30" s="1041"/>
      <c r="G30" s="543">
        <f>G31-G32</f>
        <v>0</v>
      </c>
      <c r="H30" s="543">
        <f>H31-H32</f>
        <v>0</v>
      </c>
      <c r="I30" s="543">
        <f>I31-I32</f>
        <v>0</v>
      </c>
      <c r="J30" s="543">
        <f>J31-J32</f>
        <v>0</v>
      </c>
      <c r="K30" s="544">
        <f>K31-K32</f>
        <v>0</v>
      </c>
      <c r="L30" s="387"/>
    </row>
    <row r="31" spans="2:12" s="413" customFormat="1" ht="13.5" customHeight="1" outlineLevel="2">
      <c r="B31" s="407"/>
      <c r="C31" s="1045"/>
      <c r="D31" s="1042"/>
      <c r="E31" s="408"/>
      <c r="F31" s="409" t="s">
        <v>629</v>
      </c>
      <c r="G31" s="410"/>
      <c r="H31" s="410"/>
      <c r="I31" s="410"/>
      <c r="J31" s="410"/>
      <c r="K31" s="411"/>
      <c r="L31" s="412"/>
    </row>
    <row r="32" spans="2:12" s="413" customFormat="1" ht="13.5" customHeight="1" outlineLevel="2">
      <c r="B32" s="407"/>
      <c r="C32" s="1045"/>
      <c r="D32" s="1042"/>
      <c r="F32" s="414" t="s">
        <v>631</v>
      </c>
      <c r="G32" s="415"/>
      <c r="H32" s="415"/>
      <c r="I32" s="415"/>
      <c r="J32" s="415"/>
      <c r="K32" s="416"/>
      <c r="L32" s="412"/>
    </row>
    <row r="33" spans="2:12" s="388" customFormat="1" ht="15" customHeight="1" outlineLevel="1">
      <c r="B33" s="403"/>
      <c r="C33" s="1045"/>
      <c r="E33" s="1040" t="s">
        <v>633</v>
      </c>
      <c r="F33" s="1041"/>
      <c r="G33" s="543">
        <f>G35+G34-G36</f>
        <v>0</v>
      </c>
      <c r="H33" s="543">
        <f>H35+H34-H36</f>
        <v>0</v>
      </c>
      <c r="I33" s="543">
        <f>I35+I34-I36</f>
        <v>0</v>
      </c>
      <c r="J33" s="543">
        <f>J35+J34-J36</f>
        <v>0</v>
      </c>
      <c r="K33" s="544">
        <f>K35+K34-K36</f>
        <v>0</v>
      </c>
      <c r="L33" s="387"/>
    </row>
    <row r="34" spans="2:12" s="413" customFormat="1" ht="13.5" customHeight="1" outlineLevel="1">
      <c r="B34" s="407"/>
      <c r="C34" s="1045"/>
      <c r="D34" s="1042"/>
      <c r="E34" s="408"/>
      <c r="F34" s="409" t="s">
        <v>629</v>
      </c>
      <c r="G34" s="410"/>
      <c r="H34" s="410"/>
      <c r="I34" s="410"/>
      <c r="J34" s="410"/>
      <c r="K34" s="411"/>
      <c r="L34" s="412"/>
    </row>
    <row r="35" spans="2:12" s="413" customFormat="1" ht="13.5" customHeight="1" outlineLevel="1">
      <c r="B35" s="407"/>
      <c r="C35" s="1045"/>
      <c r="D35" s="1042"/>
      <c r="F35" s="414" t="s">
        <v>630</v>
      </c>
      <c r="G35" s="415"/>
      <c r="H35" s="415"/>
      <c r="I35" s="415"/>
      <c r="J35" s="415"/>
      <c r="K35" s="416"/>
      <c r="L35" s="412"/>
    </row>
    <row r="36" spans="2:12" s="413" customFormat="1" ht="13.5" customHeight="1" outlineLevel="1">
      <c r="B36" s="407"/>
      <c r="C36" s="1045"/>
      <c r="D36" s="1042"/>
      <c r="F36" s="414" t="s">
        <v>631</v>
      </c>
      <c r="G36" s="415"/>
      <c r="H36" s="415"/>
      <c r="I36" s="415"/>
      <c r="J36" s="415"/>
      <c r="K36" s="416"/>
      <c r="L36" s="412"/>
    </row>
    <row r="37" spans="2:12" s="413" customFormat="1" ht="13.5" customHeight="1">
      <c r="B37" s="407"/>
      <c r="C37" s="1045"/>
      <c r="D37" s="955" t="s">
        <v>634</v>
      </c>
      <c r="E37" s="956"/>
      <c r="F37" s="957"/>
      <c r="G37" s="547">
        <f>SUM(G38:G41)</f>
        <v>0</v>
      </c>
      <c r="H37" s="547">
        <f>SUM(H38:H41)</f>
        <v>0</v>
      </c>
      <c r="I37" s="547">
        <f>SUM(I38:I41)</f>
        <v>0</v>
      </c>
      <c r="J37" s="547">
        <f>SUM(J38:J41)</f>
        <v>0</v>
      </c>
      <c r="K37" s="548">
        <f>SUM(K38:K41)</f>
        <v>0</v>
      </c>
      <c r="L37" s="412"/>
    </row>
    <row r="38" spans="2:12" s="413" customFormat="1" ht="15" customHeight="1" outlineLevel="1">
      <c r="B38" s="407"/>
      <c r="C38" s="1045"/>
      <c r="D38" s="408"/>
      <c r="E38" s="997" t="s">
        <v>635</v>
      </c>
      <c r="F38" s="998"/>
      <c r="G38" s="410"/>
      <c r="H38" s="410"/>
      <c r="I38" s="410"/>
      <c r="J38" s="410"/>
      <c r="K38" s="411"/>
      <c r="L38" s="412"/>
    </row>
    <row r="39" spans="2:12" s="413" customFormat="1" ht="15" customHeight="1" outlineLevel="1">
      <c r="B39" s="407"/>
      <c r="C39" s="1045"/>
      <c r="E39" s="991" t="s">
        <v>636</v>
      </c>
      <c r="F39" s="992"/>
      <c r="G39" s="415"/>
      <c r="H39" s="415"/>
      <c r="I39" s="415"/>
      <c r="J39" s="415"/>
      <c r="K39" s="416"/>
      <c r="L39" s="412"/>
    </row>
    <row r="40" spans="2:12" s="413" customFormat="1" ht="15" customHeight="1" outlineLevel="1">
      <c r="B40" s="407"/>
      <c r="C40" s="1045"/>
      <c r="E40" s="991" t="s">
        <v>637</v>
      </c>
      <c r="F40" s="992"/>
      <c r="G40" s="415"/>
      <c r="H40" s="415"/>
      <c r="I40" s="415"/>
      <c r="J40" s="415"/>
      <c r="K40" s="416"/>
      <c r="L40" s="412"/>
    </row>
    <row r="41" spans="2:12" s="413" customFormat="1" ht="15" customHeight="1" outlineLevel="1" thickBot="1">
      <c r="B41" s="407"/>
      <c r="C41" s="1046"/>
      <c r="D41" s="426"/>
      <c r="E41" s="1017" t="s">
        <v>638</v>
      </c>
      <c r="F41" s="1018"/>
      <c r="G41" s="415"/>
      <c r="H41" s="415"/>
      <c r="I41" s="415"/>
      <c r="J41" s="415"/>
      <c r="K41" s="416"/>
      <c r="L41" s="412"/>
    </row>
    <row r="42" spans="2:12" ht="16.5" customHeight="1" thickBot="1">
      <c r="B42" s="379"/>
      <c r="C42" s="965" t="s">
        <v>9</v>
      </c>
      <c r="D42" s="966"/>
      <c r="E42" s="966"/>
      <c r="F42" s="966" t="s">
        <v>639</v>
      </c>
      <c r="G42" s="545">
        <f>G22-SUM(G25,G37)</f>
        <v>0</v>
      </c>
      <c r="H42" s="545">
        <f>H22-SUM(H25,H37)</f>
        <v>0</v>
      </c>
      <c r="I42" s="545">
        <f>I22-SUM(I25,I37)</f>
        <v>0</v>
      </c>
      <c r="J42" s="545">
        <f>J22-SUM(J25,J37)</f>
        <v>0</v>
      </c>
      <c r="K42" s="546">
        <f>K22-SUM(K25,K37)</f>
        <v>0</v>
      </c>
      <c r="L42" s="378"/>
    </row>
    <row r="43" spans="2:12" ht="7.5" customHeight="1">
      <c r="B43" s="379"/>
      <c r="C43" s="967"/>
      <c r="D43" s="968"/>
      <c r="E43" s="968"/>
      <c r="F43" s="968"/>
      <c r="G43" s="968"/>
      <c r="H43" s="968"/>
      <c r="I43" s="968"/>
      <c r="J43" s="968"/>
      <c r="K43" s="969"/>
      <c r="L43" s="378"/>
    </row>
    <row r="44" spans="2:12" s="388" customFormat="1" ht="15" customHeight="1">
      <c r="B44" s="403"/>
      <c r="C44" s="403"/>
      <c r="D44" s="955" t="s">
        <v>640</v>
      </c>
      <c r="E44" s="956"/>
      <c r="F44" s="957"/>
      <c r="G44" s="539">
        <f>SUM(G45,G46,G47)</f>
        <v>0</v>
      </c>
      <c r="H44" s="539">
        <f>SUM(H45,H46,H47)</f>
        <v>0</v>
      </c>
      <c r="I44" s="539">
        <f>SUM(I45,I46,I47)</f>
        <v>0</v>
      </c>
      <c r="J44" s="539">
        <f>SUM(J45,J46,J47)</f>
        <v>0</v>
      </c>
      <c r="K44" s="540">
        <f>SUM(K45,K46,K47)</f>
        <v>0</v>
      </c>
      <c r="L44" s="387"/>
    </row>
    <row r="45" spans="2:12" s="413" customFormat="1" ht="15" customHeight="1" outlineLevel="1">
      <c r="B45" s="407"/>
      <c r="C45" s="1012"/>
      <c r="D45" s="408"/>
      <c r="E45" s="1015" t="s">
        <v>641</v>
      </c>
      <c r="F45" s="1016"/>
      <c r="G45" s="427"/>
      <c r="H45" s="410"/>
      <c r="I45" s="410"/>
      <c r="J45" s="410"/>
      <c r="K45" s="411"/>
      <c r="L45" s="412"/>
    </row>
    <row r="46" spans="2:12" s="413" customFormat="1" ht="15" customHeight="1" outlineLevel="1">
      <c r="B46" s="407"/>
      <c r="C46" s="1012"/>
      <c r="D46" s="428"/>
      <c r="E46" s="991" t="s">
        <v>642</v>
      </c>
      <c r="F46" s="992"/>
      <c r="G46" s="415"/>
      <c r="H46" s="415"/>
      <c r="I46" s="415"/>
      <c r="J46" s="415"/>
      <c r="K46" s="416"/>
      <c r="L46" s="412"/>
    </row>
    <row r="47" spans="2:12" s="413" customFormat="1" ht="15" customHeight="1" outlineLevel="1">
      <c r="B47" s="407"/>
      <c r="C47" s="1012"/>
      <c r="D47" s="428"/>
      <c r="E47" s="1005" t="s">
        <v>279</v>
      </c>
      <c r="F47" s="1006"/>
      <c r="G47" s="429"/>
      <c r="H47" s="429"/>
      <c r="I47" s="415"/>
      <c r="J47" s="415"/>
      <c r="K47" s="416"/>
      <c r="L47" s="412"/>
    </row>
    <row r="48" spans="2:12" s="388" customFormat="1" ht="15" customHeight="1">
      <c r="B48" s="403"/>
      <c r="C48" s="1012"/>
      <c r="D48" s="955" t="s">
        <v>643</v>
      </c>
      <c r="E48" s="956"/>
      <c r="F48" s="957"/>
      <c r="G48" s="543">
        <f>SUM(G49:G50)</f>
        <v>0</v>
      </c>
      <c r="H48" s="543">
        <f>SUM(H49:H50)</f>
        <v>0</v>
      </c>
      <c r="I48" s="543">
        <f>SUM(I49:I50)</f>
        <v>0</v>
      </c>
      <c r="J48" s="543">
        <f>SUM(J49:J50)</f>
        <v>0</v>
      </c>
      <c r="K48" s="544">
        <f>SUM(K49:K50)</f>
        <v>0</v>
      </c>
      <c r="L48" s="387"/>
    </row>
    <row r="49" spans="1:12" s="413" customFormat="1" ht="13.5" customHeight="1" outlineLevel="1">
      <c r="B49" s="407"/>
      <c r="C49" s="1012"/>
      <c r="D49" s="408"/>
      <c r="E49" s="997" t="s">
        <v>644</v>
      </c>
      <c r="F49" s="998"/>
      <c r="G49" s="410"/>
      <c r="H49" s="410"/>
      <c r="I49" s="410"/>
      <c r="J49" s="410"/>
      <c r="K49" s="411"/>
      <c r="L49" s="412"/>
    </row>
    <row r="50" spans="1:12" s="413" customFormat="1" ht="13.5" customHeight="1" outlineLevel="1">
      <c r="B50" s="407"/>
      <c r="C50" s="1012"/>
      <c r="E50" s="991" t="s">
        <v>645</v>
      </c>
      <c r="F50" s="992"/>
      <c r="G50" s="415"/>
      <c r="H50" s="415"/>
      <c r="I50" s="415"/>
      <c r="J50" s="415"/>
      <c r="K50" s="416"/>
      <c r="L50" s="412"/>
    </row>
    <row r="51" spans="1:12" s="388" customFormat="1" ht="15" customHeight="1">
      <c r="A51" s="413"/>
      <c r="B51" s="403"/>
      <c r="C51" s="1012"/>
      <c r="D51" s="955" t="s">
        <v>646</v>
      </c>
      <c r="E51" s="956"/>
      <c r="F51" s="957"/>
      <c r="G51" s="543">
        <f>SUM(G52:G53)</f>
        <v>0</v>
      </c>
      <c r="H51" s="543">
        <f>SUM(H52:H53)</f>
        <v>0</v>
      </c>
      <c r="I51" s="543">
        <f>SUM(I52:I53)</f>
        <v>0</v>
      </c>
      <c r="J51" s="543">
        <f>SUM(J52:J53)</f>
        <v>0</v>
      </c>
      <c r="K51" s="544">
        <f>SUM(K52:K53)</f>
        <v>0</v>
      </c>
      <c r="L51" s="387"/>
    </row>
    <row r="52" spans="1:12" s="413" customFormat="1" ht="13.5" customHeight="1" outlineLevel="1">
      <c r="B52" s="407"/>
      <c r="C52" s="1012"/>
      <c r="D52" s="408"/>
      <c r="E52" s="997" t="s">
        <v>647</v>
      </c>
      <c r="F52" s="998"/>
      <c r="G52" s="410"/>
      <c r="H52" s="410"/>
      <c r="I52" s="410"/>
      <c r="J52" s="410"/>
      <c r="K52" s="411"/>
      <c r="L52" s="412"/>
    </row>
    <row r="53" spans="1:12" s="413" customFormat="1" ht="13.5" customHeight="1" outlineLevel="1" thickBot="1">
      <c r="B53" s="407"/>
      <c r="C53" s="1024"/>
      <c r="D53" s="426"/>
      <c r="E53" s="1017" t="s">
        <v>279</v>
      </c>
      <c r="F53" s="1018"/>
      <c r="G53" s="430"/>
      <c r="H53" s="430"/>
      <c r="I53" s="430"/>
      <c r="J53" s="430"/>
      <c r="K53" s="431"/>
      <c r="L53" s="412"/>
    </row>
    <row r="54" spans="1:12" ht="16.5" customHeight="1" thickBot="1">
      <c r="A54" s="413"/>
      <c r="B54" s="379"/>
      <c r="C54" s="1010" t="s">
        <v>648</v>
      </c>
      <c r="D54" s="1011"/>
      <c r="E54" s="1011"/>
      <c r="F54" s="1011"/>
      <c r="G54" s="549">
        <f>G42-SUM(G44,G48,G51)</f>
        <v>0</v>
      </c>
      <c r="H54" s="549">
        <f>H42-SUM(H44,H48,H51)</f>
        <v>0</v>
      </c>
      <c r="I54" s="549">
        <f>I42-SUM(I44,I48,I51)</f>
        <v>0</v>
      </c>
      <c r="J54" s="549">
        <f>J42-SUM(J44,J48,J51)</f>
        <v>0</v>
      </c>
      <c r="K54" s="550">
        <f>K42-SUM(K44,K48,K51)</f>
        <v>0</v>
      </c>
      <c r="L54" s="378"/>
    </row>
    <row r="55" spans="1:12" ht="7.5" customHeight="1">
      <c r="B55" s="379"/>
      <c r="C55" s="967"/>
      <c r="D55" s="968"/>
      <c r="E55" s="968"/>
      <c r="F55" s="968"/>
      <c r="G55" s="968"/>
      <c r="H55" s="968"/>
      <c r="I55" s="968"/>
      <c r="J55" s="968"/>
      <c r="K55" s="969"/>
      <c r="L55" s="378"/>
    </row>
    <row r="56" spans="1:12" s="388" customFormat="1" ht="15" customHeight="1">
      <c r="A56" s="371"/>
      <c r="B56" s="403"/>
      <c r="C56" s="1012"/>
      <c r="D56" s="955" t="s">
        <v>649</v>
      </c>
      <c r="E56" s="956"/>
      <c r="F56" s="957"/>
      <c r="G56" s="419"/>
      <c r="H56" s="419"/>
      <c r="I56" s="419"/>
      <c r="J56" s="419"/>
      <c r="K56" s="420"/>
      <c r="L56" s="387"/>
    </row>
    <row r="57" spans="1:12" s="388" customFormat="1" ht="15" customHeight="1">
      <c r="B57" s="403"/>
      <c r="C57" s="1012"/>
      <c r="D57" s="955" t="s">
        <v>650</v>
      </c>
      <c r="E57" s="956"/>
      <c r="F57" s="957"/>
      <c r="G57" s="551">
        <f>SUM(G59:G59)</f>
        <v>0</v>
      </c>
      <c r="H57" s="551">
        <f>SUM(H58:H59)</f>
        <v>0</v>
      </c>
      <c r="I57" s="551">
        <f>SUM(I58:I59)</f>
        <v>0</v>
      </c>
      <c r="J57" s="551">
        <f>SUM(J58:J59)</f>
        <v>0</v>
      </c>
      <c r="K57" s="552">
        <f>SUM(K59:K59)</f>
        <v>0</v>
      </c>
      <c r="L57" s="387"/>
    </row>
    <row r="58" spans="1:12" s="413" customFormat="1" ht="15" customHeight="1" outlineLevel="1">
      <c r="B58" s="407"/>
      <c r="C58" s="1012"/>
      <c r="D58" s="408"/>
      <c r="E58" s="997" t="s">
        <v>651</v>
      </c>
      <c r="F58" s="998"/>
      <c r="G58" s="410"/>
      <c r="H58" s="410"/>
      <c r="I58" s="410"/>
      <c r="J58" s="410"/>
      <c r="K58" s="411"/>
      <c r="L58" s="412"/>
    </row>
    <row r="59" spans="1:12" s="413" customFormat="1" ht="15" customHeight="1" outlineLevel="1">
      <c r="B59" s="407"/>
      <c r="C59" s="1012"/>
      <c r="E59" s="991" t="s">
        <v>652</v>
      </c>
      <c r="F59" s="992"/>
      <c r="G59" s="415"/>
      <c r="H59" s="415"/>
      <c r="I59" s="415"/>
      <c r="J59" s="415"/>
      <c r="K59" s="416"/>
      <c r="L59" s="412"/>
    </row>
    <row r="60" spans="1:12" s="388" customFormat="1" ht="15" customHeight="1">
      <c r="B60" s="403"/>
      <c r="C60" s="1012"/>
      <c r="D60" s="955" t="s">
        <v>653</v>
      </c>
      <c r="E60" s="956"/>
      <c r="F60" s="957"/>
      <c r="G60" s="551">
        <f>SUM(G61:G62)</f>
        <v>0</v>
      </c>
      <c r="H60" s="551">
        <f>SUM(H61:H62)</f>
        <v>0</v>
      </c>
      <c r="I60" s="551">
        <f>SUM(I61:I62)</f>
        <v>0</v>
      </c>
      <c r="J60" s="551">
        <f>SUM(J61:J62)</f>
        <v>0</v>
      </c>
      <c r="K60" s="552">
        <f>SUM(K61:K62)</f>
        <v>0</v>
      </c>
      <c r="L60" s="387"/>
    </row>
    <row r="61" spans="1:12" s="413" customFormat="1" ht="15" customHeight="1" outlineLevel="1">
      <c r="B61" s="407"/>
      <c r="C61" s="1012"/>
      <c r="D61" s="434"/>
      <c r="E61" s="1015" t="s">
        <v>654</v>
      </c>
      <c r="F61" s="1016"/>
      <c r="G61" s="410"/>
      <c r="H61" s="410"/>
      <c r="I61" s="410"/>
      <c r="J61" s="410"/>
      <c r="K61" s="411"/>
      <c r="L61" s="412"/>
    </row>
    <row r="62" spans="1:12" s="413" customFormat="1" ht="15" customHeight="1" outlineLevel="1">
      <c r="B62" s="407"/>
      <c r="C62" s="1012"/>
      <c r="D62" s="428"/>
      <c r="E62" s="991" t="s">
        <v>655</v>
      </c>
      <c r="F62" s="992"/>
      <c r="G62" s="415"/>
      <c r="H62" s="415"/>
      <c r="I62" s="415"/>
      <c r="J62" s="415"/>
      <c r="K62" s="416"/>
      <c r="L62" s="412"/>
    </row>
    <row r="63" spans="1:12" s="388" customFormat="1" ht="15" customHeight="1" thickBot="1">
      <c r="B63" s="403"/>
      <c r="C63" s="1024"/>
      <c r="D63" s="1007" t="s">
        <v>656</v>
      </c>
      <c r="E63" s="1008"/>
      <c r="F63" s="1009"/>
      <c r="G63" s="421"/>
      <c r="H63" s="415"/>
      <c r="I63" s="415"/>
      <c r="J63" s="415"/>
      <c r="K63" s="422"/>
      <c r="L63" s="387"/>
    </row>
    <row r="64" spans="1:12" ht="16.5" customHeight="1" thickBot="1">
      <c r="A64" s="388"/>
      <c r="B64" s="379"/>
      <c r="C64" s="965" t="s">
        <v>657</v>
      </c>
      <c r="D64" s="966"/>
      <c r="E64" s="966"/>
      <c r="F64" s="966"/>
      <c r="G64" s="545">
        <f>G54-SUM(G56,G57,G60,G63)</f>
        <v>0</v>
      </c>
      <c r="H64" s="545">
        <f>H54-SUM(H56,H57,H60,H63)</f>
        <v>0</v>
      </c>
      <c r="I64" s="545">
        <f>I54-SUM(I56,I57,I60,I63)</f>
        <v>0</v>
      </c>
      <c r="J64" s="545">
        <f>J54-SUM(J56,J57,J60,J63)</f>
        <v>0</v>
      </c>
      <c r="K64" s="546">
        <f>K54-SUM(K56,K57,K60,K63)</f>
        <v>0</v>
      </c>
      <c r="L64" s="378"/>
    </row>
    <row r="65" spans="1:12" ht="7.5" customHeight="1">
      <c r="B65" s="379"/>
      <c r="C65" s="967"/>
      <c r="D65" s="968"/>
      <c r="E65" s="968"/>
      <c r="F65" s="968"/>
      <c r="G65" s="968"/>
      <c r="H65" s="968"/>
      <c r="I65" s="968"/>
      <c r="J65" s="968"/>
      <c r="K65" s="969"/>
      <c r="L65" s="378"/>
    </row>
    <row r="66" spans="1:12" s="388" customFormat="1" ht="15" customHeight="1">
      <c r="A66" s="371"/>
      <c r="B66" s="403"/>
      <c r="C66" s="1012"/>
      <c r="D66" s="955" t="s">
        <v>658</v>
      </c>
      <c r="E66" s="956"/>
      <c r="F66" s="957"/>
      <c r="G66" s="553">
        <f>SUM(G67:G71)</f>
        <v>0</v>
      </c>
      <c r="H66" s="553">
        <f t="shared" ref="H66:K66" si="0">SUM(H67:H71)</f>
        <v>0</v>
      </c>
      <c r="I66" s="553">
        <f t="shared" si="0"/>
        <v>0</v>
      </c>
      <c r="J66" s="553">
        <f t="shared" si="0"/>
        <v>0</v>
      </c>
      <c r="K66" s="554">
        <f t="shared" si="0"/>
        <v>0</v>
      </c>
      <c r="L66" s="387"/>
    </row>
    <row r="67" spans="1:12" s="413" customFormat="1" ht="13.5" customHeight="1" outlineLevel="1">
      <c r="A67" s="388"/>
      <c r="B67" s="407"/>
      <c r="C67" s="1012"/>
      <c r="D67" s="1038"/>
      <c r="E67" s="997" t="s">
        <v>659</v>
      </c>
      <c r="F67" s="998"/>
      <c r="G67" s="437"/>
      <c r="H67" s="410"/>
      <c r="I67" s="410"/>
      <c r="J67" s="410"/>
      <c r="K67" s="411"/>
      <c r="L67" s="412"/>
    </row>
    <row r="68" spans="1:12" s="413" customFormat="1" ht="13.5" customHeight="1" outlineLevel="1">
      <c r="B68" s="407"/>
      <c r="C68" s="1012"/>
      <c r="D68" s="1001"/>
      <c r="E68" s="991" t="s">
        <v>660</v>
      </c>
      <c r="F68" s="992"/>
      <c r="G68" s="438"/>
      <c r="H68" s="415"/>
      <c r="I68" s="415"/>
      <c r="J68" s="415"/>
      <c r="K68" s="416"/>
      <c r="L68" s="412"/>
    </row>
    <row r="69" spans="1:12" s="413" customFormat="1" ht="13.5" customHeight="1" outlineLevel="1">
      <c r="B69" s="407"/>
      <c r="C69" s="1012"/>
      <c r="D69" s="1001"/>
      <c r="E69" s="991" t="s">
        <v>661</v>
      </c>
      <c r="F69" s="992"/>
      <c r="G69" s="438"/>
      <c r="H69" s="415"/>
      <c r="I69" s="415"/>
      <c r="J69" s="415"/>
      <c r="K69" s="416"/>
      <c r="L69" s="412"/>
    </row>
    <row r="70" spans="1:12" s="413" customFormat="1" ht="13.5" customHeight="1" outlineLevel="1">
      <c r="B70" s="407"/>
      <c r="C70" s="1012"/>
      <c r="D70" s="1001"/>
      <c r="E70" s="991" t="s">
        <v>123</v>
      </c>
      <c r="F70" s="992"/>
      <c r="G70" s="438"/>
      <c r="H70" s="415"/>
      <c r="I70" s="415"/>
      <c r="J70" s="415"/>
      <c r="K70" s="416"/>
      <c r="L70" s="412"/>
    </row>
    <row r="71" spans="1:12" s="413" customFormat="1" ht="13.5" customHeight="1" outlineLevel="1">
      <c r="B71" s="407"/>
      <c r="C71" s="1012"/>
      <c r="E71" s="991" t="s">
        <v>662</v>
      </c>
      <c r="F71" s="992"/>
      <c r="G71" s="438"/>
      <c r="H71" s="415"/>
      <c r="I71" s="415"/>
      <c r="J71" s="415"/>
      <c r="K71" s="416"/>
      <c r="L71" s="412"/>
    </row>
    <row r="72" spans="1:12" s="388" customFormat="1" ht="15" customHeight="1">
      <c r="A72" s="413"/>
      <c r="B72" s="403"/>
      <c r="C72" s="1012"/>
      <c r="D72" s="955" t="s">
        <v>663</v>
      </c>
      <c r="E72" s="956"/>
      <c r="F72" s="957"/>
      <c r="G72" s="543">
        <f>SUM(G73:G79)</f>
        <v>0</v>
      </c>
      <c r="H72" s="543">
        <f>SUM(H73:H79)</f>
        <v>0</v>
      </c>
      <c r="I72" s="543">
        <f>SUM(I73:I79)</f>
        <v>0</v>
      </c>
      <c r="J72" s="543">
        <f>SUM(J73:J79)</f>
        <v>0</v>
      </c>
      <c r="K72" s="544">
        <f>SUM(K73:K79)</f>
        <v>0</v>
      </c>
      <c r="L72" s="387"/>
    </row>
    <row r="73" spans="1:12" s="413" customFormat="1" ht="13.5" customHeight="1" outlineLevel="1">
      <c r="A73" s="388"/>
      <c r="B73" s="407"/>
      <c r="C73" s="1012"/>
      <c r="D73" s="1038"/>
      <c r="E73" s="1015" t="s">
        <v>664</v>
      </c>
      <c r="F73" s="1016"/>
      <c r="G73" s="410"/>
      <c r="H73" s="410"/>
      <c r="I73" s="410"/>
      <c r="J73" s="410"/>
      <c r="K73" s="411"/>
      <c r="L73" s="412"/>
    </row>
    <row r="74" spans="1:12" s="413" customFormat="1" ht="13.5" customHeight="1" outlineLevel="1">
      <c r="B74" s="407"/>
      <c r="C74" s="1012"/>
      <c r="D74" s="1001"/>
      <c r="E74" s="1005" t="s">
        <v>665</v>
      </c>
      <c r="F74" s="1006"/>
      <c r="G74" s="415"/>
      <c r="H74" s="415"/>
      <c r="I74" s="415"/>
      <c r="J74" s="415"/>
      <c r="K74" s="416"/>
      <c r="L74" s="412"/>
    </row>
    <row r="75" spans="1:12" s="413" customFormat="1" ht="13.5" customHeight="1" outlineLevel="1">
      <c r="B75" s="407"/>
      <c r="C75" s="1012"/>
      <c r="D75" s="1001"/>
      <c r="E75" s="1005" t="s">
        <v>666</v>
      </c>
      <c r="F75" s="1006"/>
      <c r="G75" s="415"/>
      <c r="H75" s="415"/>
      <c r="I75" s="415"/>
      <c r="J75" s="415"/>
      <c r="K75" s="416"/>
      <c r="L75" s="412"/>
    </row>
    <row r="76" spans="1:12" s="413" customFormat="1" ht="13.5" customHeight="1" outlineLevel="1">
      <c r="B76" s="407"/>
      <c r="C76" s="1012"/>
      <c r="D76" s="1001"/>
      <c r="E76" s="1005" t="s">
        <v>667</v>
      </c>
      <c r="F76" s="1006"/>
      <c r="G76" s="415"/>
      <c r="H76" s="415"/>
      <c r="I76" s="415"/>
      <c r="J76" s="415"/>
      <c r="K76" s="416"/>
      <c r="L76" s="412"/>
    </row>
    <row r="77" spans="1:12" s="413" customFormat="1" ht="13.5" customHeight="1" outlineLevel="1">
      <c r="B77" s="407"/>
      <c r="C77" s="1012"/>
      <c r="D77" s="1001"/>
      <c r="E77" s="1005" t="s">
        <v>668</v>
      </c>
      <c r="F77" s="1006"/>
      <c r="G77" s="415"/>
      <c r="H77" s="415"/>
      <c r="I77" s="415"/>
      <c r="J77" s="415"/>
      <c r="K77" s="416"/>
      <c r="L77" s="412"/>
    </row>
    <row r="78" spans="1:12" s="413" customFormat="1" ht="13.5" customHeight="1" outlineLevel="1">
      <c r="B78" s="407"/>
      <c r="C78" s="1012"/>
      <c r="D78" s="1001"/>
      <c r="E78" s="1005" t="s">
        <v>669</v>
      </c>
      <c r="F78" s="1006"/>
      <c r="G78" s="415"/>
      <c r="H78" s="415"/>
      <c r="I78" s="415"/>
      <c r="J78" s="415"/>
      <c r="K78" s="416"/>
      <c r="L78" s="412"/>
    </row>
    <row r="79" spans="1:12" s="413" customFormat="1" ht="13.5" customHeight="1" outlineLevel="1" thickBot="1">
      <c r="B79" s="407"/>
      <c r="C79" s="1024"/>
      <c r="D79" s="1039"/>
      <c r="E79" s="999" t="s">
        <v>279</v>
      </c>
      <c r="F79" s="1000"/>
      <c r="G79" s="430"/>
      <c r="H79" s="430"/>
      <c r="I79" s="430"/>
      <c r="J79" s="430"/>
      <c r="K79" s="431"/>
      <c r="L79" s="412"/>
    </row>
    <row r="80" spans="1:12" ht="16.5" customHeight="1" thickBot="1">
      <c r="A80" s="413"/>
      <c r="B80" s="379"/>
      <c r="C80" s="1010" t="s">
        <v>670</v>
      </c>
      <c r="D80" s="1011"/>
      <c r="E80" s="1011"/>
      <c r="F80" s="1011"/>
      <c r="G80" s="549">
        <f>G64-G66+G72</f>
        <v>0</v>
      </c>
      <c r="H80" s="549">
        <f>H64-H66+H72</f>
        <v>0</v>
      </c>
      <c r="I80" s="549">
        <f>I64-I66+I72</f>
        <v>0</v>
      </c>
      <c r="J80" s="549">
        <f>J64-J66+J72</f>
        <v>0</v>
      </c>
      <c r="K80" s="550">
        <f>K64-K66+K72</f>
        <v>0</v>
      </c>
      <c r="L80" s="378"/>
    </row>
    <row r="81" spans="1:12" ht="7.5" customHeight="1">
      <c r="B81" s="379"/>
      <c r="C81" s="967"/>
      <c r="D81" s="968"/>
      <c r="E81" s="968"/>
      <c r="F81" s="968"/>
      <c r="G81" s="968"/>
      <c r="H81" s="968"/>
      <c r="I81" s="968"/>
      <c r="J81" s="968"/>
      <c r="K81" s="969"/>
      <c r="L81" s="378"/>
    </row>
    <row r="82" spans="1:12" s="388" customFormat="1" ht="15" customHeight="1" thickBot="1">
      <c r="A82" s="371"/>
      <c r="B82" s="403"/>
      <c r="C82" s="403"/>
      <c r="D82" s="1033" t="s">
        <v>671</v>
      </c>
      <c r="E82" s="1034"/>
      <c r="F82" s="1035"/>
      <c r="G82" s="439"/>
      <c r="H82" s="419"/>
      <c r="I82" s="419"/>
      <c r="J82" s="419"/>
      <c r="K82" s="420"/>
      <c r="L82" s="440"/>
    </row>
    <row r="83" spans="1:12" ht="16.5" customHeight="1" thickBot="1">
      <c r="A83" s="388"/>
      <c r="B83" s="379"/>
      <c r="C83" s="965" t="s">
        <v>115</v>
      </c>
      <c r="D83" s="966"/>
      <c r="E83" s="966"/>
      <c r="F83" s="966"/>
      <c r="G83" s="545">
        <f>G80+G82</f>
        <v>0</v>
      </c>
      <c r="H83" s="545">
        <f>H80+H82</f>
        <v>0</v>
      </c>
      <c r="I83" s="545">
        <f>I80+I82</f>
        <v>0</v>
      </c>
      <c r="J83" s="545">
        <f>J80+J82</f>
        <v>0</v>
      </c>
      <c r="K83" s="546">
        <f>K80+K82</f>
        <v>0</v>
      </c>
      <c r="L83" s="378"/>
    </row>
    <row r="84" spans="1:12" ht="7.5" customHeight="1">
      <c r="B84" s="379"/>
      <c r="C84" s="933"/>
      <c r="D84" s="934"/>
      <c r="E84" s="934"/>
      <c r="F84" s="934"/>
      <c r="G84" s="934"/>
      <c r="H84" s="934"/>
      <c r="I84" s="934"/>
      <c r="J84" s="934"/>
      <c r="K84" s="935"/>
      <c r="L84" s="378"/>
    </row>
    <row r="85" spans="1:12" s="388" customFormat="1" ht="15" customHeight="1">
      <c r="B85" s="403"/>
      <c r="C85" s="403"/>
      <c r="D85" s="1036" t="s">
        <v>672</v>
      </c>
      <c r="E85" s="1036"/>
      <c r="F85" s="1037"/>
      <c r="G85" s="539">
        <f>SUM(G86,G87)</f>
        <v>0</v>
      </c>
      <c r="H85" s="539">
        <f>SUM(H86,H87)</f>
        <v>0</v>
      </c>
      <c r="I85" s="539">
        <f>SUM(I86,I87)</f>
        <v>0</v>
      </c>
      <c r="J85" s="539">
        <f>SUM(J86,J87)</f>
        <v>0</v>
      </c>
      <c r="K85" s="540">
        <f>SUM(K86,K87)</f>
        <v>0</v>
      </c>
      <c r="L85" s="387"/>
    </row>
    <row r="86" spans="1:12" s="413" customFormat="1" ht="15" customHeight="1" outlineLevel="1">
      <c r="B86" s="407"/>
      <c r="C86" s="1012"/>
      <c r="D86" s="408"/>
      <c r="E86" s="997" t="s">
        <v>673</v>
      </c>
      <c r="F86" s="998"/>
      <c r="G86" s="410"/>
      <c r="H86" s="410"/>
      <c r="I86" s="410"/>
      <c r="J86" s="410"/>
      <c r="K86" s="411"/>
      <c r="L86" s="412"/>
    </row>
    <row r="87" spans="1:12" s="413" customFormat="1" ht="15" customHeight="1" outlineLevel="1">
      <c r="B87" s="407"/>
      <c r="C87" s="1012"/>
      <c r="E87" s="991" t="s">
        <v>674</v>
      </c>
      <c r="F87" s="992"/>
      <c r="G87" s="415"/>
      <c r="H87" s="415"/>
      <c r="I87" s="415"/>
      <c r="J87" s="415"/>
      <c r="K87" s="416"/>
      <c r="L87" s="412"/>
    </row>
    <row r="88" spans="1:12" s="388" customFormat="1" ht="15" customHeight="1">
      <c r="B88" s="403"/>
      <c r="C88" s="1012"/>
      <c r="D88" s="955" t="s">
        <v>675</v>
      </c>
      <c r="E88" s="956"/>
      <c r="F88" s="957"/>
      <c r="G88" s="555" t="str">
        <f>IFERROR(G86/G83,"-")</f>
        <v>-</v>
      </c>
      <c r="H88" s="555" t="str">
        <f>IFERROR(H86/H83,"-")</f>
        <v>-</v>
      </c>
      <c r="I88" s="555" t="str">
        <f>IFERROR(I86/I83,"-")</f>
        <v>-</v>
      </c>
      <c r="J88" s="555" t="str">
        <f>IFERROR(J86/J83,"-")</f>
        <v>-</v>
      </c>
      <c r="K88" s="556" t="str">
        <f>IFERROR(K86/K83,"-")</f>
        <v>-</v>
      </c>
      <c r="L88" s="387"/>
    </row>
    <row r="89" spans="1:12" s="448" customFormat="1" ht="12.75">
      <c r="A89" s="443"/>
      <c r="B89" s="444"/>
      <c r="C89" s="1028"/>
      <c r="D89" s="1029" t="s">
        <v>676</v>
      </c>
      <c r="E89" s="1029"/>
      <c r="F89" s="1030"/>
      <c r="G89" s="445"/>
      <c r="H89" s="445"/>
      <c r="I89" s="445"/>
      <c r="J89" s="445"/>
      <c r="K89" s="446"/>
      <c r="L89" s="447"/>
    </row>
    <row r="90" spans="1:12" s="449" customFormat="1" ht="12" thickBot="1">
      <c r="B90" s="450"/>
      <c r="C90" s="1028"/>
      <c r="D90" s="1031" t="s">
        <v>677</v>
      </c>
      <c r="E90" s="1031"/>
      <c r="F90" s="1032"/>
      <c r="G90" s="451"/>
      <c r="H90" s="557">
        <f>IF((H89-G89)/30&lt;0,"No Data",(H89-G89)/30)</f>
        <v>0</v>
      </c>
      <c r="I90" s="557">
        <f>IF((I89-H89)/30&lt;0,"No Data",(I89-H89)/30)</f>
        <v>0</v>
      </c>
      <c r="J90" s="557">
        <f>IF((J89-I89)/30&lt;0,"No Data",(J89-I89)/30)</f>
        <v>0</v>
      </c>
      <c r="K90" s="558">
        <f>IF((K89-J89)/30&lt;0,"No Data",(K89-J89)/30)</f>
        <v>0</v>
      </c>
      <c r="L90" s="454"/>
    </row>
    <row r="91" spans="1:12" ht="16.5" customHeight="1" thickBot="1">
      <c r="A91" s="449"/>
      <c r="B91" s="379"/>
      <c r="C91" s="958" t="s">
        <v>17</v>
      </c>
      <c r="D91" s="959"/>
      <c r="E91" s="959"/>
      <c r="F91" s="959"/>
      <c r="G91" s="559">
        <f>G83-SUM(G86:G87)</f>
        <v>0</v>
      </c>
      <c r="H91" s="559">
        <f>H83-SUM(H86:H87)</f>
        <v>0</v>
      </c>
      <c r="I91" s="559">
        <f>I83-SUM(I86:I87)</f>
        <v>0</v>
      </c>
      <c r="J91" s="559">
        <f>J83-SUM(J86:J87)</f>
        <v>0</v>
      </c>
      <c r="K91" s="560">
        <f>K83-SUM(K86:K87)</f>
        <v>0</v>
      </c>
      <c r="L91" s="378"/>
    </row>
    <row r="92" spans="1:12" ht="7.5" customHeight="1">
      <c r="B92" s="379"/>
      <c r="C92" s="967"/>
      <c r="D92" s="968"/>
      <c r="E92" s="968"/>
      <c r="F92" s="968"/>
      <c r="G92" s="968"/>
      <c r="H92" s="968"/>
      <c r="I92" s="968"/>
      <c r="J92" s="968"/>
      <c r="K92" s="969"/>
      <c r="L92" s="378"/>
    </row>
    <row r="93" spans="1:12" ht="14.25" customHeight="1" thickBot="1">
      <c r="B93" s="379"/>
      <c r="C93" s="379"/>
      <c r="D93" s="955" t="s">
        <v>678</v>
      </c>
      <c r="E93" s="956"/>
      <c r="F93" s="957"/>
      <c r="G93" s="417"/>
      <c r="H93" s="417"/>
      <c r="I93" s="417"/>
      <c r="J93" s="417"/>
      <c r="K93" s="418"/>
      <c r="L93" s="378"/>
    </row>
    <row r="94" spans="1:12" ht="16.5" customHeight="1" thickBot="1">
      <c r="A94" s="449"/>
      <c r="B94" s="379"/>
      <c r="C94" s="958" t="s">
        <v>679</v>
      </c>
      <c r="D94" s="959"/>
      <c r="E94" s="959"/>
      <c r="F94" s="959"/>
      <c r="G94" s="559">
        <f>G91+G93</f>
        <v>0</v>
      </c>
      <c r="H94" s="559">
        <f>H91+H93</f>
        <v>0</v>
      </c>
      <c r="I94" s="559">
        <f>I91+I93</f>
        <v>0</v>
      </c>
      <c r="J94" s="559">
        <f>J91+J93</f>
        <v>0</v>
      </c>
      <c r="K94" s="560">
        <f>K91+K93</f>
        <v>0</v>
      </c>
      <c r="L94" s="378"/>
    </row>
    <row r="95" spans="1:12" ht="15" customHeight="1">
      <c r="B95" s="379"/>
      <c r="C95" s="379"/>
      <c r="D95" s="955" t="s">
        <v>680</v>
      </c>
      <c r="E95" s="956"/>
      <c r="F95" s="957"/>
      <c r="G95" s="543">
        <f>G96+G97</f>
        <v>0</v>
      </c>
      <c r="H95" s="543">
        <f>H96+H97</f>
        <v>0</v>
      </c>
      <c r="I95" s="543">
        <f>I96+I97</f>
        <v>0</v>
      </c>
      <c r="J95" s="543">
        <f>J96+J97</f>
        <v>0</v>
      </c>
      <c r="K95" s="544">
        <f>K96+K97</f>
        <v>0</v>
      </c>
      <c r="L95" s="378"/>
    </row>
    <row r="96" spans="1:12" s="413" customFormat="1" ht="15" customHeight="1" outlineLevel="1">
      <c r="B96" s="407"/>
      <c r="C96" s="407"/>
      <c r="D96" s="408"/>
      <c r="E96" s="1015" t="s">
        <v>681</v>
      </c>
      <c r="F96" s="1016"/>
      <c r="G96" s="410"/>
      <c r="H96" s="410"/>
      <c r="I96" s="410"/>
      <c r="J96" s="410"/>
      <c r="K96" s="411"/>
      <c r="L96" s="412"/>
    </row>
    <row r="97" spans="1:12" s="413" customFormat="1" ht="15" customHeight="1" outlineLevel="1">
      <c r="B97" s="407"/>
      <c r="C97" s="407"/>
      <c r="E97" s="1005" t="s">
        <v>682</v>
      </c>
      <c r="F97" s="1006"/>
      <c r="G97" s="415"/>
      <c r="H97" s="415"/>
      <c r="I97" s="415"/>
      <c r="J97" s="415"/>
      <c r="K97" s="416"/>
      <c r="L97" s="412"/>
    </row>
    <row r="98" spans="1:12" s="388" customFormat="1" ht="15" customHeight="1">
      <c r="A98" s="371"/>
      <c r="B98" s="403"/>
      <c r="C98" s="1025" t="s">
        <v>683</v>
      </c>
      <c r="D98" s="1026"/>
      <c r="E98" s="1026"/>
      <c r="F98" s="1027"/>
      <c r="G98" s="561">
        <f>G91-G95</f>
        <v>0</v>
      </c>
      <c r="H98" s="561">
        <f>H91-H95</f>
        <v>0</v>
      </c>
      <c r="I98" s="561">
        <f>I91-I95</f>
        <v>0</v>
      </c>
      <c r="J98" s="561">
        <f>J91-J95</f>
        <v>0</v>
      </c>
      <c r="K98" s="562">
        <f>K91-K95</f>
        <v>0</v>
      </c>
      <c r="L98" s="387"/>
    </row>
    <row r="99" spans="1:12" s="388" customFormat="1" ht="15" customHeight="1">
      <c r="B99" s="403"/>
      <c r="C99" s="1025" t="s">
        <v>684</v>
      </c>
      <c r="D99" s="1026"/>
      <c r="E99" s="1026"/>
      <c r="F99" s="1027"/>
      <c r="G99" s="561">
        <f>G91+G56+G57+G62+G48</f>
        <v>0</v>
      </c>
      <c r="H99" s="561">
        <f>H91+H56+H57+H62+H48</f>
        <v>0</v>
      </c>
      <c r="I99" s="561">
        <f>I91+I56+I57+I62+I48</f>
        <v>0</v>
      </c>
      <c r="J99" s="561">
        <f>J91+J56+J57+J62+J48</f>
        <v>0</v>
      </c>
      <c r="K99" s="562">
        <f>K91+K56+K57+K62+K48</f>
        <v>0</v>
      </c>
      <c r="L99" s="387"/>
    </row>
    <row r="100" spans="1:12" ht="13.5" customHeight="1" thickBot="1">
      <c r="A100" s="388"/>
      <c r="B100" s="379"/>
      <c r="C100" s="459"/>
      <c r="D100" s="460"/>
      <c r="E100" s="460"/>
      <c r="F100" s="461"/>
      <c r="G100" s="462"/>
      <c r="H100" s="463"/>
      <c r="I100" s="463"/>
      <c r="J100" s="463"/>
      <c r="K100" s="464"/>
      <c r="L100" s="378"/>
    </row>
    <row r="101" spans="1:12" ht="20.25" thickBot="1">
      <c r="B101" s="379"/>
      <c r="C101" s="942" t="s">
        <v>685</v>
      </c>
      <c r="D101" s="943"/>
      <c r="E101" s="943"/>
      <c r="F101" s="943"/>
      <c r="G101" s="943"/>
      <c r="H101" s="943"/>
      <c r="I101" s="943"/>
      <c r="J101" s="943"/>
      <c r="K101" s="944"/>
      <c r="L101" s="378"/>
    </row>
    <row r="102" spans="1:12" ht="16.5" customHeight="1" thickBot="1">
      <c r="B102" s="379"/>
      <c r="C102" s="945" t="s">
        <v>611</v>
      </c>
      <c r="D102" s="946"/>
      <c r="E102" s="946"/>
      <c r="F102" s="947" t="s">
        <v>685</v>
      </c>
      <c r="G102" s="563" t="str">
        <f>G5</f>
        <v>-</v>
      </c>
      <c r="H102" s="563" t="str">
        <f>H5</f>
        <v>-</v>
      </c>
      <c r="I102" s="563" t="str">
        <f>I5</f>
        <v>-</v>
      </c>
      <c r="J102" s="563">
        <f>J5</f>
        <v>0</v>
      </c>
      <c r="K102" s="564">
        <f>K5</f>
        <v>366</v>
      </c>
      <c r="L102" s="378"/>
    </row>
    <row r="103" spans="1:12" ht="15" thickBot="1">
      <c r="B103" s="379"/>
      <c r="C103" s="933"/>
      <c r="D103" s="934"/>
      <c r="E103" s="934"/>
      <c r="F103" s="934"/>
      <c r="G103" s="934"/>
      <c r="H103" s="934"/>
      <c r="I103" s="934"/>
      <c r="J103" s="934"/>
      <c r="K103" s="935"/>
      <c r="L103" s="378"/>
    </row>
    <row r="104" spans="1:12" ht="18">
      <c r="B104" s="379"/>
      <c r="C104" s="1019" t="s">
        <v>686</v>
      </c>
      <c r="D104" s="1020"/>
      <c r="E104" s="1020"/>
      <c r="F104" s="1020"/>
      <c r="G104" s="1020"/>
      <c r="H104" s="1020"/>
      <c r="I104" s="1020"/>
      <c r="J104" s="1020"/>
      <c r="K104" s="1021"/>
      <c r="L104" s="378"/>
    </row>
    <row r="105" spans="1:12" ht="16.5" customHeight="1">
      <c r="B105" s="379"/>
      <c r="C105" s="970" t="s">
        <v>687</v>
      </c>
      <c r="D105" s="971"/>
      <c r="E105" s="971"/>
      <c r="F105" s="971"/>
      <c r="G105" s="467"/>
      <c r="H105" s="468"/>
      <c r="I105" s="468"/>
      <c r="J105" s="468"/>
      <c r="K105" s="469"/>
      <c r="L105" s="378"/>
    </row>
    <row r="106" spans="1:12" ht="16.5" customHeight="1">
      <c r="B106" s="379"/>
      <c r="C106" s="470"/>
      <c r="D106" s="1022" t="s">
        <v>688</v>
      </c>
      <c r="E106" s="1022"/>
      <c r="F106" s="1023"/>
      <c r="G106" s="543">
        <f>SUM(G107:G111)</f>
        <v>0</v>
      </c>
      <c r="H106" s="543">
        <f>SUM(H107:H111)</f>
        <v>0</v>
      </c>
      <c r="I106" s="543">
        <f>SUM(I107:I111)</f>
        <v>0</v>
      </c>
      <c r="J106" s="543">
        <f>SUM(J107:J111)</f>
        <v>0</v>
      </c>
      <c r="K106" s="544">
        <f>SUM(K107:K111)</f>
        <v>0</v>
      </c>
      <c r="L106" s="378"/>
    </row>
    <row r="107" spans="1:12" s="413" customFormat="1" ht="15" customHeight="1" outlineLevel="1">
      <c r="B107" s="407"/>
      <c r="C107" s="1012"/>
      <c r="D107" s="408"/>
      <c r="E107" s="997" t="s">
        <v>689</v>
      </c>
      <c r="F107" s="998"/>
      <c r="G107" s="410"/>
      <c r="H107" s="410"/>
      <c r="I107" s="471"/>
      <c r="J107" s="471"/>
      <c r="K107" s="411"/>
      <c r="L107" s="412"/>
    </row>
    <row r="108" spans="1:12" s="413" customFormat="1" ht="15" customHeight="1" outlineLevel="1">
      <c r="B108" s="407"/>
      <c r="C108" s="1012"/>
      <c r="E108" s="1005" t="s">
        <v>690</v>
      </c>
      <c r="F108" s="1006"/>
      <c r="G108" s="438"/>
      <c r="H108" s="438"/>
      <c r="I108" s="438"/>
      <c r="J108" s="438"/>
      <c r="K108" s="416"/>
      <c r="L108" s="412"/>
    </row>
    <row r="109" spans="1:12" s="413" customFormat="1" ht="15" customHeight="1" outlineLevel="1">
      <c r="B109" s="407"/>
      <c r="C109" s="1012"/>
      <c r="E109" s="1005" t="s">
        <v>691</v>
      </c>
      <c r="F109" s="1006"/>
      <c r="G109" s="438"/>
      <c r="H109" s="438"/>
      <c r="I109" s="438"/>
      <c r="J109" s="438"/>
      <c r="K109" s="416"/>
      <c r="L109" s="412"/>
    </row>
    <row r="110" spans="1:12" s="413" customFormat="1" ht="15" customHeight="1" outlineLevel="1">
      <c r="B110" s="407"/>
      <c r="C110" s="1012"/>
      <c r="E110" s="1005" t="s">
        <v>692</v>
      </c>
      <c r="F110" s="1006"/>
      <c r="G110" s="438"/>
      <c r="H110" s="438"/>
      <c r="I110" s="438"/>
      <c r="J110" s="438"/>
      <c r="K110" s="416"/>
      <c r="L110" s="412"/>
    </row>
    <row r="111" spans="1:12" s="413" customFormat="1" ht="15" customHeight="1" outlineLevel="1">
      <c r="B111" s="407"/>
      <c r="C111" s="1012"/>
      <c r="E111" s="1005" t="s">
        <v>693</v>
      </c>
      <c r="F111" s="1006"/>
      <c r="G111" s="438"/>
      <c r="H111" s="438"/>
      <c r="I111" s="438"/>
      <c r="J111" s="438"/>
      <c r="K111" s="416"/>
      <c r="L111" s="412"/>
    </row>
    <row r="112" spans="1:12" s="388" customFormat="1" ht="15" customHeight="1">
      <c r="B112" s="403"/>
      <c r="C112" s="1012"/>
      <c r="D112" s="955" t="s">
        <v>694</v>
      </c>
      <c r="E112" s="956"/>
      <c r="F112" s="957"/>
      <c r="G112" s="543">
        <f>SUM(G113:G117)</f>
        <v>0</v>
      </c>
      <c r="H112" s="543">
        <f>SUM(H113:H117)</f>
        <v>0</v>
      </c>
      <c r="I112" s="543">
        <f>SUM(I113:I117)</f>
        <v>0</v>
      </c>
      <c r="J112" s="543">
        <f>SUM(J113:J117)</f>
        <v>0</v>
      </c>
      <c r="K112" s="544">
        <f>SUM(K113:K117)</f>
        <v>0</v>
      </c>
      <c r="L112" s="387"/>
    </row>
    <row r="113" spans="1:12" s="413" customFormat="1" ht="15" customHeight="1" outlineLevel="1">
      <c r="B113" s="407"/>
      <c r="C113" s="1012"/>
      <c r="D113" s="408"/>
      <c r="E113" s="1015" t="s">
        <v>695</v>
      </c>
      <c r="F113" s="1016"/>
      <c r="G113" s="437"/>
      <c r="H113" s="437"/>
      <c r="I113" s="437"/>
      <c r="J113" s="437"/>
      <c r="K113" s="411"/>
      <c r="L113" s="412"/>
    </row>
    <row r="114" spans="1:12" s="413" customFormat="1" ht="15" customHeight="1" outlineLevel="1">
      <c r="B114" s="407"/>
      <c r="C114" s="1012"/>
      <c r="E114" s="1005" t="s">
        <v>696</v>
      </c>
      <c r="F114" s="1006"/>
      <c r="G114" s="438"/>
      <c r="H114" s="438"/>
      <c r="I114" s="438"/>
      <c r="J114" s="438"/>
      <c r="K114" s="416"/>
      <c r="L114" s="412"/>
    </row>
    <row r="115" spans="1:12" s="413" customFormat="1" ht="15" customHeight="1" outlineLevel="1">
      <c r="B115" s="407"/>
      <c r="C115" s="1012"/>
      <c r="E115" s="991" t="s">
        <v>27</v>
      </c>
      <c r="F115" s="992"/>
      <c r="G115" s="428"/>
      <c r="H115" s="438"/>
      <c r="I115" s="438"/>
      <c r="J115" s="438"/>
      <c r="K115" s="416"/>
      <c r="L115" s="412"/>
    </row>
    <row r="116" spans="1:12" s="413" customFormat="1" ht="15" customHeight="1" outlineLevel="1">
      <c r="B116" s="407"/>
      <c r="C116" s="1012"/>
      <c r="E116" s="991" t="s">
        <v>697</v>
      </c>
      <c r="F116" s="992"/>
      <c r="G116" s="438"/>
      <c r="H116" s="438"/>
      <c r="I116" s="438"/>
      <c r="J116" s="438"/>
      <c r="K116" s="416"/>
      <c r="L116" s="412"/>
    </row>
    <row r="117" spans="1:12" s="413" customFormat="1" ht="15" customHeight="1" outlineLevel="1" thickBot="1">
      <c r="B117" s="407"/>
      <c r="C117" s="1024"/>
      <c r="D117" s="426"/>
      <c r="E117" s="1017" t="s">
        <v>698</v>
      </c>
      <c r="F117" s="1018"/>
      <c r="G117" s="472"/>
      <c r="H117" s="430"/>
      <c r="I117" s="430"/>
      <c r="J117" s="430"/>
      <c r="K117" s="431"/>
      <c r="L117" s="412"/>
    </row>
    <row r="118" spans="1:12" ht="16.5" customHeight="1" thickBot="1">
      <c r="A118" s="388"/>
      <c r="B118" s="379"/>
      <c r="C118" s="965" t="s">
        <v>699</v>
      </c>
      <c r="D118" s="966"/>
      <c r="E118" s="966"/>
      <c r="F118" s="966"/>
      <c r="G118" s="545">
        <f>SUM(G106,G112)</f>
        <v>0</v>
      </c>
      <c r="H118" s="545">
        <f>SUM(H106,H112)</f>
        <v>0</v>
      </c>
      <c r="I118" s="545">
        <f>SUM(I106,I112)</f>
        <v>0</v>
      </c>
      <c r="J118" s="545">
        <f>SUM(J106,J112)</f>
        <v>0</v>
      </c>
      <c r="K118" s="546">
        <f>SUM(K106,K112)</f>
        <v>0</v>
      </c>
      <c r="L118" s="378"/>
    </row>
    <row r="119" spans="1:12" s="388" customFormat="1" ht="7.5" customHeight="1" thickBot="1">
      <c r="A119" s="371"/>
      <c r="B119" s="403"/>
      <c r="C119" s="1012"/>
      <c r="D119" s="1013"/>
      <c r="E119" s="1013"/>
      <c r="F119" s="1013"/>
      <c r="G119" s="1013"/>
      <c r="H119" s="1013"/>
      <c r="I119" s="1013"/>
      <c r="J119" s="1013"/>
      <c r="K119" s="1014"/>
      <c r="L119" s="387"/>
    </row>
    <row r="120" spans="1:12" ht="16.5" customHeight="1" thickBot="1">
      <c r="A120" s="473"/>
      <c r="B120" s="379"/>
      <c r="C120" s="965" t="s">
        <v>700</v>
      </c>
      <c r="D120" s="966"/>
      <c r="E120" s="966"/>
      <c r="F120" s="966" t="s">
        <v>701</v>
      </c>
      <c r="G120" s="545">
        <f>G118-G115+G128+G148-G159-G179-G200</f>
        <v>0</v>
      </c>
      <c r="H120" s="545">
        <f>H118-H115+H128+H148-H159-H179-H200</f>
        <v>0</v>
      </c>
      <c r="I120" s="545">
        <f>I118-I115+I128+I148-I159-I179-I200</f>
        <v>0</v>
      </c>
      <c r="J120" s="545">
        <f>J118-J115+J128+J148-J159-J179-J200</f>
        <v>0</v>
      </c>
      <c r="K120" s="546">
        <f>K118-K115+K128+K148-K159-K179-K200</f>
        <v>0</v>
      </c>
      <c r="L120" s="378"/>
    </row>
    <row r="121" spans="1:12" ht="7.5" customHeight="1">
      <c r="B121" s="379"/>
      <c r="C121" s="967"/>
      <c r="D121" s="968"/>
      <c r="E121" s="968"/>
      <c r="F121" s="968"/>
      <c r="G121" s="968"/>
      <c r="H121" s="968"/>
      <c r="I121" s="968"/>
      <c r="J121" s="968"/>
      <c r="K121" s="969"/>
      <c r="L121" s="378"/>
    </row>
    <row r="122" spans="1:12" ht="16.5" customHeight="1">
      <c r="B122" s="379"/>
      <c r="C122" s="970" t="s">
        <v>702</v>
      </c>
      <c r="D122" s="971"/>
      <c r="E122" s="971"/>
      <c r="F122" s="971"/>
      <c r="G122" s="467"/>
      <c r="H122" s="468"/>
      <c r="I122" s="468"/>
      <c r="J122" s="468"/>
      <c r="K122" s="469"/>
      <c r="L122" s="378"/>
    </row>
    <row r="123" spans="1:12" ht="16.5" customHeight="1">
      <c r="B123" s="379"/>
      <c r="C123" s="970" t="s">
        <v>703</v>
      </c>
      <c r="D123" s="971"/>
      <c r="E123" s="971"/>
      <c r="F123" s="971"/>
      <c r="G123" s="467"/>
      <c r="H123" s="468"/>
      <c r="I123" s="468"/>
      <c r="J123" s="468"/>
      <c r="K123" s="469"/>
      <c r="L123" s="378"/>
    </row>
    <row r="124" spans="1:12" s="388" customFormat="1" ht="15" customHeight="1">
      <c r="A124" s="371"/>
      <c r="B124" s="403"/>
      <c r="C124" s="474"/>
      <c r="D124" s="955" t="s">
        <v>704</v>
      </c>
      <c r="E124" s="956"/>
      <c r="F124" s="957"/>
      <c r="G124" s="543">
        <f>SUM(G125:G131)</f>
        <v>0</v>
      </c>
      <c r="H124" s="543">
        <f>SUM(H125:H131)</f>
        <v>0</v>
      </c>
      <c r="I124" s="543">
        <f>SUM(I125:I131)</f>
        <v>0</v>
      </c>
      <c r="J124" s="543">
        <f>SUM(J125:J131)</f>
        <v>0</v>
      </c>
      <c r="K124" s="544">
        <f>SUM(K125:K131)</f>
        <v>0</v>
      </c>
      <c r="L124" s="387"/>
    </row>
    <row r="125" spans="1:12" s="413" customFormat="1" ht="13.5" customHeight="1" outlineLevel="1">
      <c r="A125" s="388"/>
      <c r="B125" s="407"/>
      <c r="C125" s="474"/>
      <c r="D125" s="408"/>
      <c r="E125" s="997" t="s">
        <v>705</v>
      </c>
      <c r="F125" s="998"/>
      <c r="G125" s="437"/>
      <c r="H125" s="410"/>
      <c r="I125" s="410"/>
      <c r="J125" s="410"/>
      <c r="K125" s="411"/>
      <c r="L125" s="412"/>
    </row>
    <row r="126" spans="1:12" s="413" customFormat="1" ht="13.5" customHeight="1" outlineLevel="1">
      <c r="B126" s="407"/>
      <c r="C126" s="474"/>
      <c r="E126" s="991" t="s">
        <v>706</v>
      </c>
      <c r="F126" s="992"/>
      <c r="G126" s="415"/>
      <c r="H126" s="415"/>
      <c r="I126" s="415"/>
      <c r="J126" s="415"/>
      <c r="K126" s="416"/>
      <c r="L126" s="412"/>
    </row>
    <row r="127" spans="1:12" s="413" customFormat="1" ht="13.5" customHeight="1" outlineLevel="1">
      <c r="B127" s="407"/>
      <c r="C127" s="474"/>
      <c r="E127" s="991" t="s">
        <v>707</v>
      </c>
      <c r="F127" s="992"/>
      <c r="G127" s="415"/>
      <c r="H127" s="415"/>
      <c r="I127" s="415"/>
      <c r="J127" s="415"/>
      <c r="K127" s="416"/>
      <c r="L127" s="412"/>
    </row>
    <row r="128" spans="1:12" s="388" customFormat="1" ht="15" customHeight="1" outlineLevel="1">
      <c r="B128" s="475"/>
      <c r="C128" s="403"/>
      <c r="E128" s="991" t="s">
        <v>708</v>
      </c>
      <c r="F128" s="992"/>
      <c r="G128" s="415"/>
      <c r="H128" s="415"/>
      <c r="I128" s="415"/>
      <c r="J128" s="415"/>
      <c r="K128" s="416"/>
      <c r="L128" s="387"/>
    </row>
    <row r="129" spans="1:12" s="413" customFormat="1" ht="13.5" customHeight="1" outlineLevel="1">
      <c r="B129" s="407"/>
      <c r="C129" s="474"/>
      <c r="E129" s="991" t="s">
        <v>709</v>
      </c>
      <c r="F129" s="992"/>
      <c r="G129" s="415"/>
      <c r="H129" s="415"/>
      <c r="I129" s="415"/>
      <c r="J129" s="415"/>
      <c r="K129" s="416"/>
      <c r="L129" s="412"/>
    </row>
    <row r="130" spans="1:12" s="413" customFormat="1" ht="13.5" customHeight="1" outlineLevel="1">
      <c r="B130" s="407"/>
      <c r="C130" s="474"/>
      <c r="E130" s="991" t="s">
        <v>710</v>
      </c>
      <c r="F130" s="992"/>
      <c r="G130" s="415"/>
      <c r="H130" s="415"/>
      <c r="I130" s="415"/>
      <c r="J130" s="415"/>
      <c r="K130" s="416"/>
      <c r="L130" s="412"/>
    </row>
    <row r="131" spans="1:12" s="388" customFormat="1" ht="15" customHeight="1" outlineLevel="1">
      <c r="B131" s="403"/>
      <c r="C131" s="474"/>
      <c r="E131" s="991" t="s">
        <v>711</v>
      </c>
      <c r="F131" s="992"/>
      <c r="G131" s="415"/>
      <c r="H131" s="415"/>
      <c r="I131" s="415"/>
      <c r="J131" s="415"/>
      <c r="K131" s="416"/>
      <c r="L131" s="387"/>
    </row>
    <row r="132" spans="1:12" s="388" customFormat="1" ht="15" customHeight="1">
      <c r="A132" s="413"/>
      <c r="B132" s="403"/>
      <c r="C132" s="474"/>
      <c r="D132" s="955" t="s">
        <v>712</v>
      </c>
      <c r="E132" s="956"/>
      <c r="F132" s="957"/>
      <c r="G132" s="415"/>
      <c r="H132" s="419"/>
      <c r="I132" s="419"/>
      <c r="J132" s="419"/>
      <c r="K132" s="420"/>
      <c r="L132" s="387"/>
    </row>
    <row r="133" spans="1:12" s="388" customFormat="1" ht="15" customHeight="1">
      <c r="B133" s="403"/>
      <c r="C133" s="474"/>
      <c r="D133" s="955" t="s">
        <v>713</v>
      </c>
      <c r="E133" s="956"/>
      <c r="F133" s="957"/>
      <c r="G133" s="543">
        <f>SUM(G134:G135)</f>
        <v>0</v>
      </c>
      <c r="H133" s="543">
        <f>SUM(H134:H135)</f>
        <v>0</v>
      </c>
      <c r="I133" s="543">
        <f>SUM(I134:I135)</f>
        <v>0</v>
      </c>
      <c r="J133" s="543">
        <f>SUM(J134:J135)</f>
        <v>0</v>
      </c>
      <c r="K133" s="544">
        <f>SUM(K134:K135)</f>
        <v>0</v>
      </c>
      <c r="L133" s="387"/>
    </row>
    <row r="134" spans="1:12" s="388" customFormat="1" ht="15" customHeight="1" outlineLevel="1">
      <c r="B134" s="403"/>
      <c r="C134" s="474"/>
      <c r="D134" s="408"/>
      <c r="E134" s="997" t="s">
        <v>714</v>
      </c>
      <c r="F134" s="998"/>
      <c r="G134" s="437"/>
      <c r="H134" s="410"/>
      <c r="I134" s="410"/>
      <c r="J134" s="410"/>
      <c r="K134" s="411"/>
      <c r="L134" s="387"/>
    </row>
    <row r="135" spans="1:12" s="388" customFormat="1" ht="15" customHeight="1" outlineLevel="1">
      <c r="B135" s="403"/>
      <c r="C135" s="474"/>
      <c r="D135" s="476"/>
      <c r="E135" s="991" t="s">
        <v>279</v>
      </c>
      <c r="F135" s="992"/>
      <c r="G135" s="415"/>
      <c r="H135" s="419"/>
      <c r="I135" s="419"/>
      <c r="J135" s="419"/>
      <c r="K135" s="420"/>
      <c r="L135" s="387"/>
    </row>
    <row r="136" spans="1:12" s="388" customFormat="1" ht="15" customHeight="1">
      <c r="B136" s="403"/>
      <c r="C136" s="474"/>
      <c r="D136" s="955" t="s">
        <v>715</v>
      </c>
      <c r="E136" s="956"/>
      <c r="F136" s="957"/>
      <c r="G136" s="551">
        <f>SUM(G137:G138)</f>
        <v>0</v>
      </c>
      <c r="H136" s="551">
        <f t="shared" ref="H136:K136" si="1">SUM(H137:H138)</f>
        <v>0</v>
      </c>
      <c r="I136" s="551">
        <f t="shared" si="1"/>
        <v>0</v>
      </c>
      <c r="J136" s="551">
        <f t="shared" si="1"/>
        <v>0</v>
      </c>
      <c r="K136" s="552">
        <f t="shared" si="1"/>
        <v>0</v>
      </c>
      <c r="L136" s="387"/>
    </row>
    <row r="137" spans="1:12" s="388" customFormat="1" ht="15" customHeight="1" outlineLevel="1">
      <c r="B137" s="403"/>
      <c r="C137" s="474"/>
      <c r="D137" s="408"/>
      <c r="E137" s="997" t="s">
        <v>716</v>
      </c>
      <c r="F137" s="998"/>
      <c r="G137" s="437"/>
      <c r="H137" s="410"/>
      <c r="I137" s="410"/>
      <c r="J137" s="410"/>
      <c r="K137" s="411"/>
      <c r="L137" s="387"/>
    </row>
    <row r="138" spans="1:12" s="413" customFormat="1" ht="13.5" customHeight="1" outlineLevel="1">
      <c r="B138" s="407"/>
      <c r="C138" s="474"/>
      <c r="E138" s="991" t="s">
        <v>279</v>
      </c>
      <c r="F138" s="992"/>
      <c r="G138" s="415"/>
      <c r="H138" s="415"/>
      <c r="I138" s="415"/>
      <c r="J138" s="415"/>
      <c r="K138" s="416"/>
      <c r="L138" s="412"/>
    </row>
    <row r="139" spans="1:12" s="388" customFormat="1" ht="15" customHeight="1" thickBot="1">
      <c r="B139" s="403"/>
      <c r="C139" s="477"/>
      <c r="D139" s="1007" t="s">
        <v>717</v>
      </c>
      <c r="E139" s="1008"/>
      <c r="F139" s="1009"/>
      <c r="G139" s="478"/>
      <c r="H139" s="421"/>
      <c r="I139" s="421"/>
      <c r="J139" s="421"/>
      <c r="K139" s="422"/>
      <c r="L139" s="387"/>
    </row>
    <row r="140" spans="1:12" ht="16.5" customHeight="1" thickBot="1">
      <c r="A140" s="388"/>
      <c r="B140" s="379"/>
      <c r="C140" s="1010" t="s">
        <v>718</v>
      </c>
      <c r="D140" s="1011"/>
      <c r="E140" s="1011"/>
      <c r="F140" s="1011"/>
      <c r="G140" s="549">
        <f>G124+G132+G133+G136+G139</f>
        <v>0</v>
      </c>
      <c r="H140" s="549">
        <f>H124+H132+H133+H136+H139</f>
        <v>0</v>
      </c>
      <c r="I140" s="549">
        <f>I124+I132+I133+I136+I139</f>
        <v>0</v>
      </c>
      <c r="J140" s="549">
        <f>SUM(J132,J133,J136,J139,J124)</f>
        <v>0</v>
      </c>
      <c r="K140" s="550">
        <f>SUM(K132:K139,K124)</f>
        <v>0</v>
      </c>
      <c r="L140" s="378"/>
    </row>
    <row r="141" spans="1:12" ht="7.5" customHeight="1">
      <c r="B141" s="379"/>
      <c r="C141" s="967"/>
      <c r="D141" s="968"/>
      <c r="E141" s="968"/>
      <c r="F141" s="968"/>
      <c r="G141" s="968"/>
      <c r="H141" s="968"/>
      <c r="I141" s="968"/>
      <c r="J141" s="968"/>
      <c r="K141" s="969"/>
      <c r="L141" s="378"/>
    </row>
    <row r="142" spans="1:12" ht="16.5" customHeight="1">
      <c r="B142" s="379"/>
      <c r="C142" s="970" t="s">
        <v>719</v>
      </c>
      <c r="D142" s="971"/>
      <c r="E142" s="971"/>
      <c r="F142" s="971"/>
      <c r="G142" s="467"/>
      <c r="H142" s="468"/>
      <c r="I142" s="468"/>
      <c r="J142" s="468"/>
      <c r="K142" s="469"/>
      <c r="L142" s="378"/>
    </row>
    <row r="143" spans="1:12" s="388" customFormat="1" ht="15" customHeight="1">
      <c r="A143" s="371"/>
      <c r="B143" s="403"/>
      <c r="C143" s="970"/>
      <c r="D143" s="955" t="s">
        <v>720</v>
      </c>
      <c r="E143" s="956"/>
      <c r="F143" s="957"/>
      <c r="G143" s="543">
        <f>SUM(G144:G150)</f>
        <v>0</v>
      </c>
      <c r="H143" s="543">
        <f>SUM(H144:H150)</f>
        <v>0</v>
      </c>
      <c r="I143" s="543">
        <f>SUM(I144:I150)</f>
        <v>0</v>
      </c>
      <c r="J143" s="543">
        <f>SUM(J144:J150)</f>
        <v>0</v>
      </c>
      <c r="K143" s="544">
        <f>SUM(K144:K150)</f>
        <v>0</v>
      </c>
      <c r="L143" s="387"/>
    </row>
    <row r="144" spans="1:12" s="413" customFormat="1" ht="13.5" customHeight="1" outlineLevel="1">
      <c r="B144" s="407"/>
      <c r="C144" s="970"/>
      <c r="D144" s="408"/>
      <c r="E144" s="997" t="s">
        <v>721</v>
      </c>
      <c r="F144" s="998"/>
      <c r="G144" s="437"/>
      <c r="H144" s="410"/>
      <c r="I144" s="410"/>
      <c r="J144" s="410"/>
      <c r="K144" s="411"/>
      <c r="L144" s="412"/>
    </row>
    <row r="145" spans="1:12" s="413" customFormat="1" ht="15" customHeight="1" outlineLevel="1">
      <c r="B145" s="479"/>
      <c r="C145" s="970"/>
      <c r="E145" s="991" t="s">
        <v>722</v>
      </c>
      <c r="F145" s="992"/>
      <c r="G145" s="438"/>
      <c r="H145" s="438"/>
      <c r="I145" s="438"/>
      <c r="J145" s="438"/>
      <c r="K145" s="480"/>
      <c r="L145" s="412"/>
    </row>
    <row r="146" spans="1:12" s="413" customFormat="1" ht="15" customHeight="1" outlineLevel="1">
      <c r="B146" s="479"/>
      <c r="C146" s="970"/>
      <c r="E146" s="991" t="s">
        <v>723</v>
      </c>
      <c r="F146" s="992"/>
      <c r="G146" s="438"/>
      <c r="H146" s="438"/>
      <c r="I146" s="438"/>
      <c r="J146" s="438"/>
      <c r="K146" s="480"/>
      <c r="L146" s="412"/>
    </row>
    <row r="147" spans="1:12" s="413" customFormat="1" ht="15" customHeight="1" outlineLevel="1">
      <c r="B147" s="479"/>
      <c r="C147" s="970"/>
      <c r="E147" s="991" t="s">
        <v>707</v>
      </c>
      <c r="F147" s="992"/>
      <c r="G147" s="438"/>
      <c r="H147" s="438"/>
      <c r="I147" s="438"/>
      <c r="J147" s="438"/>
      <c r="K147" s="480"/>
      <c r="L147" s="412"/>
    </row>
    <row r="148" spans="1:12" s="413" customFormat="1" ht="13.5" customHeight="1" outlineLevel="1">
      <c r="B148" s="407"/>
      <c r="C148" s="970"/>
      <c r="E148" s="1005" t="s">
        <v>708</v>
      </c>
      <c r="F148" s="1006"/>
      <c r="G148" s="438"/>
      <c r="H148" s="415"/>
      <c r="I148" s="415"/>
      <c r="J148" s="415"/>
      <c r="K148" s="416"/>
      <c r="L148" s="412"/>
    </row>
    <row r="149" spans="1:12" s="413" customFormat="1" ht="13.5" customHeight="1" outlineLevel="1">
      <c r="B149" s="407"/>
      <c r="C149" s="970"/>
      <c r="E149" s="991" t="s">
        <v>709</v>
      </c>
      <c r="F149" s="992"/>
      <c r="G149" s="438"/>
      <c r="H149" s="415"/>
      <c r="I149" s="415"/>
      <c r="J149" s="415"/>
      <c r="K149" s="416"/>
      <c r="L149" s="412"/>
    </row>
    <row r="150" spans="1:12" s="413" customFormat="1" ht="13.5" customHeight="1" outlineLevel="1">
      <c r="B150" s="407"/>
      <c r="C150" s="970"/>
      <c r="E150" s="991" t="s">
        <v>279</v>
      </c>
      <c r="F150" s="992"/>
      <c r="G150" s="438"/>
      <c r="H150" s="438"/>
      <c r="I150" s="415"/>
      <c r="J150" s="415"/>
      <c r="K150" s="416"/>
      <c r="L150" s="412"/>
    </row>
    <row r="151" spans="1:12" s="388" customFormat="1" ht="15" customHeight="1">
      <c r="A151" s="413"/>
      <c r="B151" s="403"/>
      <c r="C151" s="970"/>
      <c r="D151" s="955" t="s">
        <v>724</v>
      </c>
      <c r="E151" s="956"/>
      <c r="F151" s="957"/>
      <c r="G151" s="543">
        <f>SUM(G152:G155)</f>
        <v>0</v>
      </c>
      <c r="H151" s="543">
        <f>SUM(H152:H155)</f>
        <v>0</v>
      </c>
      <c r="I151" s="543">
        <f>SUM(I152:I155)</f>
        <v>0</v>
      </c>
      <c r="J151" s="543">
        <f>SUM(J152:J155)</f>
        <v>0</v>
      </c>
      <c r="K151" s="544">
        <f>SUM(K152:K155)</f>
        <v>0</v>
      </c>
      <c r="L151" s="387"/>
    </row>
    <row r="152" spans="1:12" s="413" customFormat="1" ht="15" customHeight="1" outlineLevel="1">
      <c r="B152" s="407"/>
      <c r="C152" s="970"/>
      <c r="D152" s="434"/>
      <c r="E152" s="997" t="s">
        <v>725</v>
      </c>
      <c r="F152" s="998"/>
      <c r="G152" s="437"/>
      <c r="H152" s="410"/>
      <c r="I152" s="410"/>
      <c r="J152" s="410"/>
      <c r="K152" s="411"/>
      <c r="L152" s="412"/>
    </row>
    <row r="153" spans="1:12" s="413" customFormat="1" ht="15" customHeight="1" outlineLevel="1">
      <c r="B153" s="407"/>
      <c r="C153" s="970"/>
      <c r="E153" s="1001" t="s">
        <v>726</v>
      </c>
      <c r="F153" s="1002"/>
      <c r="G153" s="415"/>
      <c r="H153" s="415"/>
      <c r="I153" s="415"/>
      <c r="J153" s="415"/>
      <c r="K153" s="416"/>
      <c r="L153" s="412"/>
    </row>
    <row r="154" spans="1:12" s="413" customFormat="1" ht="15" customHeight="1" outlineLevel="1">
      <c r="B154" s="407"/>
      <c r="C154" s="970"/>
      <c r="E154" s="1003" t="s">
        <v>716</v>
      </c>
      <c r="F154" s="1004"/>
      <c r="G154" s="415"/>
      <c r="H154" s="415"/>
      <c r="I154" s="415"/>
      <c r="J154" s="415"/>
      <c r="K154" s="416"/>
      <c r="L154" s="412"/>
    </row>
    <row r="155" spans="1:12" s="413" customFormat="1" ht="15" customHeight="1" outlineLevel="1">
      <c r="B155" s="407"/>
      <c r="C155" s="970"/>
      <c r="E155" s="1003" t="s">
        <v>279</v>
      </c>
      <c r="F155" s="1004"/>
      <c r="G155" s="415"/>
      <c r="H155" s="415"/>
      <c r="I155" s="438"/>
      <c r="J155" s="438"/>
      <c r="K155" s="416"/>
      <c r="L155" s="412"/>
    </row>
    <row r="156" spans="1:12" s="388" customFormat="1" ht="15" customHeight="1">
      <c r="B156" s="403"/>
      <c r="C156" s="970"/>
      <c r="D156" s="955" t="s">
        <v>727</v>
      </c>
      <c r="E156" s="956"/>
      <c r="F156" s="957"/>
      <c r="G156" s="419"/>
      <c r="H156" s="419"/>
      <c r="I156" s="417"/>
      <c r="J156" s="417"/>
      <c r="K156" s="420"/>
      <c r="L156" s="387"/>
    </row>
    <row r="157" spans="1:12" s="388" customFormat="1" ht="15" customHeight="1">
      <c r="B157" s="403"/>
      <c r="C157" s="970"/>
      <c r="D157" s="955" t="s">
        <v>728</v>
      </c>
      <c r="E157" s="956"/>
      <c r="F157" s="957"/>
      <c r="G157" s="543">
        <f>SUM(G158:G160)</f>
        <v>0</v>
      </c>
      <c r="H157" s="543">
        <f>SUM(H158:H160)</f>
        <v>0</v>
      </c>
      <c r="I157" s="543">
        <f>SUM(I158:I160)</f>
        <v>0</v>
      </c>
      <c r="J157" s="543">
        <f>SUM(J158:J160)</f>
        <v>0</v>
      </c>
      <c r="K157" s="544">
        <f>SUM(K158:K160)</f>
        <v>0</v>
      </c>
      <c r="L157" s="387"/>
    </row>
    <row r="158" spans="1:12" s="413" customFormat="1" ht="15" customHeight="1" outlineLevel="1">
      <c r="B158" s="407"/>
      <c r="C158" s="970"/>
      <c r="D158" s="434"/>
      <c r="E158" s="997" t="s">
        <v>808</v>
      </c>
      <c r="F158" s="998"/>
      <c r="G158" s="437"/>
      <c r="H158" s="410"/>
      <c r="I158" s="410"/>
      <c r="J158" s="410"/>
      <c r="K158" s="411"/>
      <c r="L158" s="412"/>
    </row>
    <row r="159" spans="1:12" s="413" customFormat="1" ht="15" customHeight="1" outlineLevel="1">
      <c r="B159" s="407"/>
      <c r="C159" s="970"/>
      <c r="D159" s="428"/>
      <c r="E159" s="991" t="s">
        <v>729</v>
      </c>
      <c r="F159" s="992"/>
      <c r="G159" s="438"/>
      <c r="H159" s="415"/>
      <c r="I159" s="415"/>
      <c r="J159" s="415"/>
      <c r="K159" s="416"/>
      <c r="L159" s="412"/>
    </row>
    <row r="160" spans="1:12" s="413" customFormat="1" ht="15" customHeight="1" outlineLevel="1" thickBot="1">
      <c r="B160" s="407"/>
      <c r="C160" s="988"/>
      <c r="D160" s="481"/>
      <c r="E160" s="999" t="s">
        <v>279</v>
      </c>
      <c r="F160" s="1000"/>
      <c r="G160" s="472"/>
      <c r="H160" s="430"/>
      <c r="I160" s="430"/>
      <c r="J160" s="430"/>
      <c r="K160" s="431"/>
      <c r="L160" s="412"/>
    </row>
    <row r="161" spans="1:14" ht="16.5" customHeight="1" thickBot="1">
      <c r="A161" s="388"/>
      <c r="B161" s="379"/>
      <c r="C161" s="965" t="s">
        <v>730</v>
      </c>
      <c r="D161" s="966"/>
      <c r="E161" s="966"/>
      <c r="F161" s="966" t="s">
        <v>731</v>
      </c>
      <c r="G161" s="545">
        <f>G143+G151+G156+G157</f>
        <v>0</v>
      </c>
      <c r="H161" s="545">
        <f>H143+H151+H156+H157</f>
        <v>0</v>
      </c>
      <c r="I161" s="545">
        <f>I143+I151+I156+I157</f>
        <v>0</v>
      </c>
      <c r="J161" s="545">
        <f>SUM(J143,J151,J156,J157)</f>
        <v>0</v>
      </c>
      <c r="K161" s="546">
        <f>SUM(K143,K151,K156,K157)</f>
        <v>0</v>
      </c>
      <c r="L161" s="378"/>
    </row>
    <row r="162" spans="1:14" ht="16.5" customHeight="1" thickBot="1">
      <c r="A162" s="388"/>
      <c r="B162" s="379"/>
      <c r="C162" s="961" t="s">
        <v>731</v>
      </c>
      <c r="D162" s="962"/>
      <c r="E162" s="962"/>
      <c r="F162" s="962"/>
      <c r="G162" s="565">
        <f>G118+G140+G161</f>
        <v>0</v>
      </c>
      <c r="H162" s="565">
        <f>H118+H140+H161</f>
        <v>0</v>
      </c>
      <c r="I162" s="565">
        <f>I118+I140+I161</f>
        <v>0</v>
      </c>
      <c r="J162" s="565">
        <f>J118+J140+J161</f>
        <v>0</v>
      </c>
      <c r="K162" s="566">
        <f>K118+K140+K161</f>
        <v>0</v>
      </c>
      <c r="L162" s="378"/>
    </row>
    <row r="163" spans="1:14" ht="16.5" customHeight="1" thickBot="1">
      <c r="B163" s="379"/>
      <c r="C163" s="967"/>
      <c r="D163" s="968"/>
      <c r="E163" s="968"/>
      <c r="F163" s="968"/>
      <c r="G163" s="968"/>
      <c r="H163" s="968"/>
      <c r="I163" s="968"/>
      <c r="J163" s="968"/>
      <c r="K163" s="969"/>
      <c r="L163" s="378"/>
    </row>
    <row r="164" spans="1:14" ht="18.75" thickBot="1">
      <c r="B164" s="379"/>
      <c r="C164" s="983" t="s">
        <v>732</v>
      </c>
      <c r="D164" s="984"/>
      <c r="E164" s="984"/>
      <c r="F164" s="984" t="s">
        <v>732</v>
      </c>
      <c r="G164" s="984"/>
      <c r="H164" s="984"/>
      <c r="I164" s="984"/>
      <c r="J164" s="984"/>
      <c r="K164" s="985"/>
      <c r="L164" s="378"/>
      <c r="M164" s="415"/>
      <c r="N164" s="415"/>
    </row>
    <row r="165" spans="1:14" ht="16.5" customHeight="1">
      <c r="B165" s="379"/>
      <c r="C165" s="986" t="s">
        <v>733</v>
      </c>
      <c r="D165" s="987"/>
      <c r="E165" s="987"/>
      <c r="F165" s="987"/>
      <c r="G165" s="484"/>
      <c r="H165" s="485"/>
      <c r="I165" s="485"/>
      <c r="J165" s="485"/>
      <c r="K165" s="486"/>
      <c r="L165" s="378"/>
    </row>
    <row r="166" spans="1:14" s="388" customFormat="1" ht="15" customHeight="1">
      <c r="A166" s="371"/>
      <c r="B166" s="403"/>
      <c r="C166" s="970"/>
      <c r="D166" s="955" t="s">
        <v>734</v>
      </c>
      <c r="E166" s="956"/>
      <c r="F166" s="957"/>
      <c r="G166" s="543">
        <f>G167-G171+G172-G173+G174+G175</f>
        <v>0</v>
      </c>
      <c r="H166" s="543">
        <f>H167-H171+H172-H173+H174+H175</f>
        <v>0</v>
      </c>
      <c r="I166" s="543">
        <f>I167-I171+I172-I173+I174+I175</f>
        <v>0</v>
      </c>
      <c r="J166" s="543">
        <f>J167-J171+J172-J173+J174+J175</f>
        <v>0</v>
      </c>
      <c r="K166" s="544">
        <f>K167-K171+K172-K173+K174+K175</f>
        <v>0</v>
      </c>
      <c r="L166" s="387"/>
    </row>
    <row r="167" spans="1:14" s="388" customFormat="1" ht="12.75" outlineLevel="1">
      <c r="B167" s="403"/>
      <c r="C167" s="970"/>
      <c r="D167" s="404"/>
      <c r="E167" s="989" t="s">
        <v>735</v>
      </c>
      <c r="F167" s="990"/>
      <c r="G167" s="541">
        <f>SUM(G168:G170)</f>
        <v>0</v>
      </c>
      <c r="H167" s="541">
        <f>SUM(H168:H170)</f>
        <v>0</v>
      </c>
      <c r="I167" s="541">
        <f>SUM(I168:I170)</f>
        <v>0</v>
      </c>
      <c r="J167" s="541">
        <f>SUM(J168:J170)</f>
        <v>0</v>
      </c>
      <c r="K167" s="542">
        <f>SUM(K168:K170)</f>
        <v>0</v>
      </c>
      <c r="L167" s="387"/>
    </row>
    <row r="168" spans="1:14" s="413" customFormat="1" ht="13.5" customHeight="1" outlineLevel="1">
      <c r="B168" s="407"/>
      <c r="C168" s="970"/>
      <c r="E168" s="434"/>
      <c r="F168" s="409" t="s">
        <v>736</v>
      </c>
      <c r="G168" s="437"/>
      <c r="H168" s="410"/>
      <c r="I168" s="471"/>
      <c r="J168" s="471"/>
      <c r="K168" s="411"/>
      <c r="L168" s="412"/>
    </row>
    <row r="169" spans="1:14" s="413" customFormat="1" ht="13.5" customHeight="1" outlineLevel="1">
      <c r="B169" s="407"/>
      <c r="C169" s="970"/>
      <c r="E169" s="428"/>
      <c r="F169" s="414" t="s">
        <v>737</v>
      </c>
      <c r="G169" s="415"/>
      <c r="H169" s="415"/>
      <c r="I169" s="415"/>
      <c r="J169" s="415"/>
      <c r="K169" s="416"/>
      <c r="L169" s="412"/>
    </row>
    <row r="170" spans="1:14" s="413" customFormat="1" ht="13.5" customHeight="1" outlineLevel="1">
      <c r="B170" s="407"/>
      <c r="C170" s="970"/>
      <c r="E170" s="428"/>
      <c r="F170" s="414" t="s">
        <v>638</v>
      </c>
      <c r="G170" s="415"/>
      <c r="H170" s="415"/>
      <c r="I170" s="487"/>
      <c r="J170" s="487"/>
      <c r="K170" s="416"/>
      <c r="L170" s="412"/>
    </row>
    <row r="171" spans="1:14" s="413" customFormat="1" ht="15" customHeight="1" outlineLevel="1">
      <c r="B171" s="407"/>
      <c r="C171" s="970"/>
      <c r="E171" s="991" t="s">
        <v>738</v>
      </c>
      <c r="F171" s="992"/>
      <c r="G171" s="438"/>
      <c r="H171" s="415"/>
      <c r="I171" s="415"/>
      <c r="J171" s="415"/>
      <c r="K171" s="416"/>
      <c r="L171" s="412"/>
    </row>
    <row r="172" spans="1:14" s="413" customFormat="1" ht="13.5" customHeight="1" outlineLevel="1">
      <c r="B172" s="407"/>
      <c r="C172" s="970"/>
      <c r="E172" s="991" t="s">
        <v>739</v>
      </c>
      <c r="F172" s="992"/>
      <c r="G172" s="415"/>
      <c r="H172" s="415"/>
      <c r="I172" s="415"/>
      <c r="J172" s="415"/>
      <c r="K172" s="416"/>
      <c r="L172" s="412"/>
    </row>
    <row r="173" spans="1:14" s="413" customFormat="1" ht="13.5" customHeight="1" outlineLevel="1">
      <c r="B173" s="407"/>
      <c r="C173" s="970"/>
      <c r="E173" s="991" t="s">
        <v>738</v>
      </c>
      <c r="F173" s="992"/>
      <c r="G173" s="415"/>
      <c r="H173" s="415"/>
      <c r="I173" s="415"/>
      <c r="J173" s="415"/>
      <c r="K173" s="416"/>
      <c r="L173" s="412"/>
    </row>
    <row r="174" spans="1:14" s="413" customFormat="1" ht="13.5" customHeight="1" outlineLevel="1">
      <c r="B174" s="407"/>
      <c r="C174" s="970"/>
      <c r="E174" s="991" t="s">
        <v>740</v>
      </c>
      <c r="F174" s="992"/>
      <c r="G174" s="438"/>
      <c r="H174" s="415"/>
      <c r="I174" s="415"/>
      <c r="J174" s="415"/>
      <c r="K174" s="416"/>
      <c r="L174" s="412"/>
    </row>
    <row r="175" spans="1:14" s="413" customFormat="1" ht="13.5" customHeight="1" outlineLevel="1">
      <c r="B175" s="407"/>
      <c r="C175" s="970"/>
      <c r="E175" s="991" t="s">
        <v>741</v>
      </c>
      <c r="F175" s="992"/>
      <c r="G175" s="438"/>
      <c r="H175" s="415"/>
      <c r="I175" s="415"/>
      <c r="J175" s="415"/>
      <c r="K175" s="416"/>
      <c r="L175" s="412"/>
    </row>
    <row r="176" spans="1:14" s="388" customFormat="1" ht="15" customHeight="1">
      <c r="A176" s="413"/>
      <c r="B176" s="403"/>
      <c r="C176" s="970"/>
      <c r="D176" s="955" t="s">
        <v>742</v>
      </c>
      <c r="E176" s="956"/>
      <c r="F176" s="957"/>
      <c r="G176" s="543">
        <f>SUM(G177:G180)</f>
        <v>0</v>
      </c>
      <c r="H176" s="543">
        <f>SUM(H177:H180)</f>
        <v>0</v>
      </c>
      <c r="I176" s="543">
        <f>SUM(I177:I180)</f>
        <v>0</v>
      </c>
      <c r="J176" s="543">
        <f>SUM(J177:J180)</f>
        <v>0</v>
      </c>
      <c r="K176" s="544">
        <f>SUM(K177:K180)</f>
        <v>0</v>
      </c>
      <c r="L176" s="387"/>
    </row>
    <row r="177" spans="1:12" s="413" customFormat="1" ht="13.5" customHeight="1" outlineLevel="1">
      <c r="B177" s="407"/>
      <c r="C177" s="970"/>
      <c r="D177" s="408"/>
      <c r="E177" s="973" t="s">
        <v>743</v>
      </c>
      <c r="F177" s="974"/>
      <c r="G177" s="410"/>
      <c r="H177" s="410"/>
      <c r="I177" s="410"/>
      <c r="J177" s="410"/>
      <c r="K177" s="411"/>
      <c r="L177" s="412"/>
    </row>
    <row r="178" spans="1:12" s="413" customFormat="1" ht="13.5" customHeight="1" outlineLevel="1">
      <c r="B178" s="407"/>
      <c r="C178" s="970"/>
      <c r="E178" s="975" t="s">
        <v>744</v>
      </c>
      <c r="F178" s="976"/>
      <c r="G178" s="415"/>
      <c r="H178" s="415"/>
      <c r="I178" s="415"/>
      <c r="J178" s="415"/>
      <c r="K178" s="416"/>
      <c r="L178" s="412"/>
    </row>
    <row r="179" spans="1:12" s="413" customFormat="1" ht="13.5" customHeight="1" outlineLevel="1">
      <c r="B179" s="407"/>
      <c r="C179" s="970"/>
      <c r="E179" s="975" t="s">
        <v>745</v>
      </c>
      <c r="F179" s="976"/>
      <c r="G179" s="415"/>
      <c r="H179" s="415"/>
      <c r="I179" s="415"/>
      <c r="J179" s="415"/>
      <c r="K179" s="416"/>
      <c r="L179" s="412"/>
    </row>
    <row r="180" spans="1:12" s="413" customFormat="1" ht="13.5" customHeight="1" outlineLevel="1">
      <c r="B180" s="407"/>
      <c r="C180" s="970"/>
      <c r="E180" s="975" t="s">
        <v>746</v>
      </c>
      <c r="F180" s="976"/>
      <c r="G180" s="415"/>
      <c r="H180" s="415"/>
      <c r="I180" s="415"/>
      <c r="J180" s="415"/>
      <c r="K180" s="416"/>
      <c r="L180" s="412"/>
    </row>
    <row r="181" spans="1:12" s="388" customFormat="1" ht="15" customHeight="1">
      <c r="A181" s="413"/>
      <c r="B181" s="403"/>
      <c r="C181" s="970"/>
      <c r="D181" s="955" t="s">
        <v>747</v>
      </c>
      <c r="E181" s="956"/>
      <c r="F181" s="957"/>
      <c r="G181" s="543">
        <f>SUM(G182,G186)</f>
        <v>0</v>
      </c>
      <c r="H181" s="543">
        <f>SUM(H182,H186)</f>
        <v>0</v>
      </c>
      <c r="I181" s="543">
        <f>SUM(I182,I186)</f>
        <v>0</v>
      </c>
      <c r="J181" s="543">
        <f>SUM(J182,J186)</f>
        <v>0</v>
      </c>
      <c r="K181" s="544">
        <f>SUM(K182,K186)</f>
        <v>0</v>
      </c>
      <c r="L181" s="387"/>
    </row>
    <row r="182" spans="1:12" s="413" customFormat="1" ht="13.5" customHeight="1" outlineLevel="1">
      <c r="B182" s="407"/>
      <c r="C182" s="970"/>
      <c r="D182" s="408"/>
      <c r="E182" s="951" t="s">
        <v>716</v>
      </c>
      <c r="F182" s="952"/>
      <c r="G182" s="567">
        <f>SUM(G183:G185)</f>
        <v>0</v>
      </c>
      <c r="H182" s="567">
        <f>SUM(H183:H185)</f>
        <v>0</v>
      </c>
      <c r="I182" s="567">
        <f>SUM(I183:I185)</f>
        <v>0</v>
      </c>
      <c r="J182" s="567">
        <f>SUM(J183:J185)</f>
        <v>0</v>
      </c>
      <c r="K182" s="568">
        <f>SUM(K183:K185)</f>
        <v>0</v>
      </c>
      <c r="L182" s="412"/>
    </row>
    <row r="183" spans="1:12" s="413" customFormat="1" ht="13.5" customHeight="1" outlineLevel="1">
      <c r="B183" s="407"/>
      <c r="C183" s="970"/>
      <c r="E183" s="490"/>
      <c r="F183" s="491" t="s">
        <v>748</v>
      </c>
      <c r="G183" s="488"/>
      <c r="H183" s="488"/>
      <c r="I183" s="488"/>
      <c r="J183" s="488"/>
      <c r="K183" s="489"/>
      <c r="L183" s="412"/>
    </row>
    <row r="184" spans="1:12" s="413" customFormat="1" ht="13.5" customHeight="1" outlineLevel="1">
      <c r="B184" s="407"/>
      <c r="C184" s="970"/>
      <c r="E184" s="492"/>
      <c r="F184" s="493" t="s">
        <v>749</v>
      </c>
      <c r="G184" s="494"/>
      <c r="H184" s="494"/>
      <c r="I184" s="494"/>
      <c r="J184" s="494"/>
      <c r="K184" s="495"/>
      <c r="L184" s="412"/>
    </row>
    <row r="185" spans="1:12" s="413" customFormat="1" ht="13.5" customHeight="1" outlineLevel="1">
      <c r="B185" s="407"/>
      <c r="C185" s="970"/>
      <c r="E185" s="492"/>
      <c r="F185" s="493" t="s">
        <v>750</v>
      </c>
      <c r="G185" s="494"/>
      <c r="H185" s="494"/>
      <c r="I185" s="494"/>
      <c r="J185" s="494"/>
      <c r="K185" s="495"/>
      <c r="L185" s="412"/>
    </row>
    <row r="186" spans="1:12" s="413" customFormat="1" ht="13.5" customHeight="1" outlineLevel="1">
      <c r="B186" s="407"/>
      <c r="C186" s="970"/>
      <c r="E186" s="953" t="s">
        <v>279</v>
      </c>
      <c r="F186" s="954"/>
      <c r="G186" s="415"/>
      <c r="H186" s="415"/>
      <c r="I186" s="415"/>
      <c r="J186" s="415"/>
      <c r="K186" s="416"/>
      <c r="L186" s="412"/>
    </row>
    <row r="187" spans="1:12" s="388" customFormat="1" ht="15" customHeight="1">
      <c r="A187" s="413"/>
      <c r="B187" s="403"/>
      <c r="C187" s="970"/>
      <c r="D187" s="955" t="s">
        <v>45</v>
      </c>
      <c r="E187" s="956"/>
      <c r="F187" s="957"/>
      <c r="G187" s="496"/>
      <c r="H187" s="496"/>
      <c r="I187" s="496"/>
      <c r="J187" s="496"/>
      <c r="K187" s="497"/>
      <c r="L187" s="387"/>
    </row>
    <row r="188" spans="1:12" s="388" customFormat="1" ht="15" customHeight="1">
      <c r="A188" s="413"/>
      <c r="B188" s="403"/>
      <c r="C188" s="970"/>
      <c r="D188" s="955" t="s">
        <v>751</v>
      </c>
      <c r="E188" s="956"/>
      <c r="F188" s="957"/>
      <c r="G188" s="569">
        <f>SUM(G189:G191)</f>
        <v>0</v>
      </c>
      <c r="H188" s="569">
        <f>SUM(H189:H191)</f>
        <v>0</v>
      </c>
      <c r="I188" s="569">
        <f>SUM(I189:I191)</f>
        <v>0</v>
      </c>
      <c r="J188" s="569">
        <f>SUM(J189:J191)</f>
        <v>0</v>
      </c>
      <c r="K188" s="570">
        <f>SUM(K189:K191)</f>
        <v>0</v>
      </c>
      <c r="L188" s="387"/>
    </row>
    <row r="189" spans="1:12" s="413" customFormat="1" ht="15" customHeight="1" outlineLevel="1">
      <c r="B189" s="407"/>
      <c r="C189" s="970"/>
      <c r="D189" s="490"/>
      <c r="E189" s="993" t="s">
        <v>752</v>
      </c>
      <c r="F189" s="994"/>
      <c r="G189" s="498"/>
      <c r="H189" s="498"/>
      <c r="I189" s="498"/>
      <c r="J189" s="498"/>
      <c r="K189" s="499"/>
      <c r="L189" s="412"/>
    </row>
    <row r="190" spans="1:12" s="413" customFormat="1" ht="15" customHeight="1" outlineLevel="1">
      <c r="B190" s="407"/>
      <c r="C190" s="970"/>
      <c r="D190" s="492"/>
      <c r="E190" s="977" t="s">
        <v>753</v>
      </c>
      <c r="F190" s="978"/>
      <c r="G190" s="500"/>
      <c r="H190" s="500"/>
      <c r="I190" s="500"/>
      <c r="J190" s="500"/>
      <c r="K190" s="501"/>
      <c r="L190" s="412"/>
    </row>
    <row r="191" spans="1:12" s="413" customFormat="1" ht="15" customHeight="1" outlineLevel="1" thickBot="1">
      <c r="B191" s="407"/>
      <c r="C191" s="988"/>
      <c r="D191" s="502"/>
      <c r="E191" s="995" t="s">
        <v>279</v>
      </c>
      <c r="F191" s="996"/>
      <c r="G191" s="503"/>
      <c r="H191" s="504"/>
      <c r="I191" s="504"/>
      <c r="J191" s="504"/>
      <c r="K191" s="422"/>
      <c r="L191" s="412"/>
    </row>
    <row r="192" spans="1:12" ht="16.5" customHeight="1" thickBot="1">
      <c r="A192" s="388"/>
      <c r="B192" s="379"/>
      <c r="C192" s="965" t="s">
        <v>754</v>
      </c>
      <c r="D192" s="966"/>
      <c r="E192" s="966"/>
      <c r="F192" s="966" t="s">
        <v>755</v>
      </c>
      <c r="G192" s="545">
        <f>SUM(G166,G176,G181,G187,G188)</f>
        <v>0</v>
      </c>
      <c r="H192" s="545">
        <f>SUM(H166,H176,H181,H187,H188)</f>
        <v>0</v>
      </c>
      <c r="I192" s="545">
        <f>SUM(I166,I176,I181,I187,I188)</f>
        <v>0</v>
      </c>
      <c r="J192" s="545">
        <f>SUM(J166,J176,J181,J187,J188)</f>
        <v>0</v>
      </c>
      <c r="K192" s="546">
        <f>SUM(K166,K176,K181,K187,K188)</f>
        <v>0</v>
      </c>
      <c r="L192" s="378"/>
    </row>
    <row r="193" spans="1:12" ht="7.5" customHeight="1">
      <c r="B193" s="379"/>
      <c r="C193" s="967"/>
      <c r="D193" s="968"/>
      <c r="E193" s="968"/>
      <c r="F193" s="968"/>
      <c r="G193" s="968"/>
      <c r="H193" s="968"/>
      <c r="I193" s="968"/>
      <c r="J193" s="968"/>
      <c r="K193" s="969"/>
      <c r="L193" s="378"/>
    </row>
    <row r="194" spans="1:12" ht="16.5" customHeight="1">
      <c r="B194" s="379"/>
      <c r="C194" s="970" t="s">
        <v>44</v>
      </c>
      <c r="D194" s="971"/>
      <c r="E194" s="971"/>
      <c r="F194" s="971"/>
      <c r="G194" s="467"/>
      <c r="H194" s="468"/>
      <c r="I194" s="468"/>
      <c r="J194" s="468"/>
      <c r="K194" s="469"/>
      <c r="L194" s="378"/>
    </row>
    <row r="195" spans="1:12" s="388" customFormat="1" ht="15" customHeight="1">
      <c r="A195" s="371"/>
      <c r="B195" s="403"/>
      <c r="C195" s="933"/>
      <c r="D195" s="955" t="s">
        <v>756</v>
      </c>
      <c r="E195" s="956"/>
      <c r="F195" s="957"/>
      <c r="G195" s="543">
        <f>SUM(G196,G199,G200,G201)</f>
        <v>0</v>
      </c>
      <c r="H195" s="543">
        <f t="shared" ref="H195:K195" si="2">SUM(H196,H199,H200,H201)</f>
        <v>0</v>
      </c>
      <c r="I195" s="543">
        <f t="shared" si="2"/>
        <v>0</v>
      </c>
      <c r="J195" s="543">
        <f t="shared" si="2"/>
        <v>0</v>
      </c>
      <c r="K195" s="544">
        <f t="shared" si="2"/>
        <v>0</v>
      </c>
      <c r="L195" s="387"/>
    </row>
    <row r="196" spans="1:12" s="413" customFormat="1" ht="13.5" customHeight="1" outlineLevel="1">
      <c r="B196" s="407"/>
      <c r="C196" s="933"/>
      <c r="D196" s="408"/>
      <c r="E196" s="973" t="s">
        <v>743</v>
      </c>
      <c r="F196" s="974"/>
      <c r="G196" s="571">
        <f>SUM(G197:G198)</f>
        <v>0</v>
      </c>
      <c r="H196" s="571">
        <f>SUM(H197:H198)</f>
        <v>0</v>
      </c>
      <c r="I196" s="571">
        <f>SUM(I197:I198)</f>
        <v>0</v>
      </c>
      <c r="J196" s="571">
        <f>SUM(J197:J198)</f>
        <v>0</v>
      </c>
      <c r="K196" s="572">
        <f>SUM(K197:K198)</f>
        <v>0</v>
      </c>
      <c r="L196" s="412"/>
    </row>
    <row r="197" spans="1:12" s="413" customFormat="1" ht="13.5" customHeight="1" outlineLevel="2">
      <c r="B197" s="407"/>
      <c r="C197" s="933"/>
      <c r="E197" s="505"/>
      <c r="F197" s="506" t="s">
        <v>757</v>
      </c>
      <c r="G197" s="410"/>
      <c r="H197" s="410"/>
      <c r="I197" s="410"/>
      <c r="J197" s="410"/>
      <c r="K197" s="411"/>
      <c r="L197" s="412"/>
    </row>
    <row r="198" spans="1:12" s="413" customFormat="1" ht="13.5" customHeight="1" outlineLevel="2">
      <c r="B198" s="407"/>
      <c r="C198" s="933"/>
      <c r="E198" s="507"/>
      <c r="F198" s="508" t="s">
        <v>758</v>
      </c>
      <c r="G198" s="415"/>
      <c r="H198" s="415"/>
      <c r="I198" s="415"/>
      <c r="J198" s="415"/>
      <c r="K198" s="416"/>
      <c r="L198" s="412"/>
    </row>
    <row r="199" spans="1:12" s="413" customFormat="1" ht="13.5" customHeight="1" outlineLevel="1">
      <c r="B199" s="407"/>
      <c r="C199" s="933"/>
      <c r="E199" s="975" t="s">
        <v>744</v>
      </c>
      <c r="F199" s="976"/>
      <c r="G199" s="415"/>
      <c r="H199" s="415"/>
      <c r="I199" s="415"/>
      <c r="J199" s="415"/>
      <c r="K199" s="416"/>
      <c r="L199" s="412"/>
    </row>
    <row r="200" spans="1:12" s="413" customFormat="1" ht="13.5" customHeight="1" outlineLevel="1">
      <c r="B200" s="407"/>
      <c r="C200" s="933"/>
      <c r="E200" s="975" t="s">
        <v>745</v>
      </c>
      <c r="F200" s="976"/>
      <c r="G200" s="415"/>
      <c r="H200" s="415"/>
      <c r="I200" s="415"/>
      <c r="J200" s="415"/>
      <c r="K200" s="416"/>
      <c r="L200" s="412"/>
    </row>
    <row r="201" spans="1:12" s="413" customFormat="1" ht="13.5" customHeight="1" outlineLevel="1">
      <c r="B201" s="407"/>
      <c r="C201" s="933"/>
      <c r="E201" s="975" t="s">
        <v>746</v>
      </c>
      <c r="F201" s="976"/>
      <c r="G201" s="415"/>
      <c r="H201" s="415"/>
      <c r="I201" s="415"/>
      <c r="J201" s="415"/>
      <c r="K201" s="416"/>
      <c r="L201" s="412"/>
    </row>
    <row r="202" spans="1:12" s="388" customFormat="1" ht="15" customHeight="1">
      <c r="A202" s="413"/>
      <c r="B202" s="403"/>
      <c r="C202" s="933"/>
      <c r="D202" s="955" t="s">
        <v>759</v>
      </c>
      <c r="E202" s="956"/>
      <c r="F202" s="957"/>
      <c r="G202" s="569">
        <f>SUM(G203:G206)</f>
        <v>0</v>
      </c>
      <c r="H202" s="569">
        <f>SUM(H203:H206)</f>
        <v>0</v>
      </c>
      <c r="I202" s="569">
        <f>SUM(I203:I206)</f>
        <v>0</v>
      </c>
      <c r="J202" s="569">
        <f>SUM(J203:J206)</f>
        <v>0</v>
      </c>
      <c r="K202" s="570">
        <f>SUM(K203:K206)</f>
        <v>0</v>
      </c>
      <c r="L202" s="387"/>
    </row>
    <row r="203" spans="1:12" s="413" customFormat="1" ht="15" customHeight="1" outlineLevel="1">
      <c r="B203" s="407"/>
      <c r="C203" s="933"/>
      <c r="D203" s="490"/>
      <c r="E203" s="979" t="s">
        <v>760</v>
      </c>
      <c r="F203" s="980"/>
      <c r="G203" s="498"/>
      <c r="H203" s="498"/>
      <c r="I203" s="498"/>
      <c r="J203" s="498"/>
      <c r="K203" s="499"/>
      <c r="L203" s="412"/>
    </row>
    <row r="204" spans="1:12" s="413" customFormat="1" ht="15" customHeight="1" outlineLevel="1">
      <c r="B204" s="407"/>
      <c r="C204" s="933"/>
      <c r="D204" s="492"/>
      <c r="E204" s="981" t="s">
        <v>761</v>
      </c>
      <c r="F204" s="982"/>
      <c r="G204" s="500"/>
      <c r="H204" s="500"/>
      <c r="I204" s="500"/>
      <c r="J204" s="500"/>
      <c r="K204" s="501"/>
      <c r="L204" s="412"/>
    </row>
    <row r="205" spans="1:12" s="413" customFormat="1" ht="15" customHeight="1" outlineLevel="1">
      <c r="B205" s="407"/>
      <c r="C205" s="933"/>
      <c r="D205" s="492"/>
      <c r="E205" s="981" t="s">
        <v>762</v>
      </c>
      <c r="F205" s="982"/>
      <c r="G205" s="500"/>
      <c r="H205" s="500"/>
      <c r="I205" s="500"/>
      <c r="J205" s="500"/>
      <c r="K205" s="501"/>
      <c r="L205" s="412"/>
    </row>
    <row r="206" spans="1:12" s="413" customFormat="1" ht="15" customHeight="1" outlineLevel="1">
      <c r="B206" s="407"/>
      <c r="C206" s="933"/>
      <c r="D206" s="492"/>
      <c r="E206" s="981" t="s">
        <v>763</v>
      </c>
      <c r="F206" s="982"/>
      <c r="G206" s="500"/>
      <c r="H206" s="500"/>
      <c r="I206" s="500"/>
      <c r="J206" s="500"/>
      <c r="K206" s="501"/>
      <c r="L206" s="412"/>
    </row>
    <row r="207" spans="1:12" s="388" customFormat="1" ht="15" customHeight="1">
      <c r="B207" s="403"/>
      <c r="C207" s="933"/>
      <c r="D207" s="955" t="s">
        <v>764</v>
      </c>
      <c r="E207" s="956"/>
      <c r="F207" s="957"/>
      <c r="G207" s="543">
        <f>SUM(G208:G210)-G211</f>
        <v>0</v>
      </c>
      <c r="H207" s="543">
        <f t="shared" ref="H207:K207" si="3">SUM(H208:H210)-H211</f>
        <v>0</v>
      </c>
      <c r="I207" s="543">
        <f t="shared" si="3"/>
        <v>0</v>
      </c>
      <c r="J207" s="543">
        <f t="shared" si="3"/>
        <v>0</v>
      </c>
      <c r="K207" s="544">
        <f t="shared" si="3"/>
        <v>0</v>
      </c>
      <c r="L207" s="387"/>
    </row>
    <row r="208" spans="1:12" s="413" customFormat="1" ht="13.5" customHeight="1" outlineLevel="1">
      <c r="B208" s="407"/>
      <c r="C208" s="933"/>
      <c r="D208" s="408"/>
      <c r="E208" s="951" t="s">
        <v>765</v>
      </c>
      <c r="F208" s="952"/>
      <c r="G208" s="498"/>
      <c r="H208" s="498"/>
      <c r="I208" s="498"/>
      <c r="J208" s="498"/>
      <c r="K208" s="499"/>
      <c r="L208" s="412"/>
    </row>
    <row r="209" spans="1:12" s="413" customFormat="1" ht="13.5" customHeight="1" outlineLevel="1">
      <c r="B209" s="407"/>
      <c r="C209" s="933"/>
      <c r="E209" s="953" t="s">
        <v>766</v>
      </c>
      <c r="F209" s="954"/>
      <c r="G209" s="500"/>
      <c r="H209" s="500"/>
      <c r="I209" s="500"/>
      <c r="J209" s="500"/>
      <c r="K209" s="501"/>
      <c r="L209" s="412"/>
    </row>
    <row r="210" spans="1:12" s="413" customFormat="1" ht="13.5" hidden="1" customHeight="1" outlineLevel="1">
      <c r="B210" s="407"/>
      <c r="C210" s="933"/>
      <c r="E210" s="953" t="s">
        <v>716</v>
      </c>
      <c r="F210" s="954"/>
      <c r="G210" s="500"/>
      <c r="H210" s="500"/>
      <c r="I210" s="500"/>
      <c r="J210" s="500"/>
      <c r="K210" s="501"/>
      <c r="L210" s="412"/>
    </row>
    <row r="211" spans="1:12" s="413" customFormat="1" ht="13.5" hidden="1" customHeight="1" outlineLevel="1">
      <c r="B211" s="407"/>
      <c r="C211" s="933"/>
      <c r="E211" s="977" t="s">
        <v>767</v>
      </c>
      <c r="F211" s="978"/>
      <c r="G211" s="500"/>
      <c r="H211" s="500"/>
      <c r="I211" s="500"/>
      <c r="J211" s="500"/>
      <c r="K211" s="501"/>
      <c r="L211" s="412"/>
    </row>
    <row r="212" spans="1:12" s="388" customFormat="1" ht="15" customHeight="1">
      <c r="A212" s="413"/>
      <c r="B212" s="403"/>
      <c r="C212" s="933"/>
      <c r="D212" s="955" t="s">
        <v>768</v>
      </c>
      <c r="E212" s="956"/>
      <c r="F212" s="957"/>
      <c r="G212" s="496"/>
      <c r="H212" s="496"/>
      <c r="I212" s="496"/>
      <c r="J212" s="496"/>
      <c r="K212" s="497"/>
      <c r="L212" s="387"/>
    </row>
    <row r="213" spans="1:12" s="388" customFormat="1" ht="15" customHeight="1">
      <c r="B213" s="403"/>
      <c r="C213" s="933"/>
      <c r="D213" s="955" t="s">
        <v>769</v>
      </c>
      <c r="E213" s="956"/>
      <c r="F213" s="957"/>
      <c r="G213" s="543">
        <f>SUM(G214,G218)</f>
        <v>0</v>
      </c>
      <c r="H213" s="543">
        <f>SUM(H214,H218)</f>
        <v>0</v>
      </c>
      <c r="I213" s="543">
        <f>SUM(I214,I218)</f>
        <v>0</v>
      </c>
      <c r="J213" s="543">
        <f>SUM(J214,J218)</f>
        <v>0</v>
      </c>
      <c r="K213" s="544">
        <f>SUM(K214,K218)</f>
        <v>0</v>
      </c>
      <c r="L213" s="387"/>
    </row>
    <row r="214" spans="1:12" s="413" customFormat="1" ht="13.5" customHeight="1" outlineLevel="1">
      <c r="A214" s="388"/>
      <c r="B214" s="407"/>
      <c r="C214" s="933"/>
      <c r="D214" s="408"/>
      <c r="E214" s="951" t="s">
        <v>716</v>
      </c>
      <c r="F214" s="952"/>
      <c r="G214" s="573">
        <f>SUM(G215:G217)</f>
        <v>0</v>
      </c>
      <c r="H214" s="573">
        <f>SUM(H215:H217)</f>
        <v>0</v>
      </c>
      <c r="I214" s="573">
        <f>SUM(I215:I217)</f>
        <v>0</v>
      </c>
      <c r="J214" s="573">
        <f>SUM(J215:J217)</f>
        <v>0</v>
      </c>
      <c r="K214" s="574">
        <f>SUM(K215:K217)</f>
        <v>0</v>
      </c>
      <c r="L214" s="412"/>
    </row>
    <row r="215" spans="1:12" s="413" customFormat="1" ht="13.5" customHeight="1" outlineLevel="1">
      <c r="A215" s="388"/>
      <c r="B215" s="407"/>
      <c r="C215" s="933"/>
      <c r="E215" s="490"/>
      <c r="F215" s="491" t="s">
        <v>748</v>
      </c>
      <c r="G215" s="509"/>
      <c r="H215" s="509"/>
      <c r="I215" s="509"/>
      <c r="J215" s="509"/>
      <c r="K215" s="510"/>
      <c r="L215" s="412"/>
    </row>
    <row r="216" spans="1:12" s="413" customFormat="1" ht="13.5" customHeight="1" outlineLevel="1">
      <c r="A216" s="388"/>
      <c r="B216" s="407"/>
      <c r="C216" s="933"/>
      <c r="E216" s="492"/>
      <c r="F216" s="493" t="s">
        <v>749</v>
      </c>
      <c r="G216" s="511"/>
      <c r="H216" s="511"/>
      <c r="I216" s="511"/>
      <c r="J216" s="511"/>
      <c r="K216" s="512"/>
      <c r="L216" s="412"/>
    </row>
    <row r="217" spans="1:12" s="413" customFormat="1" ht="13.5" customHeight="1" outlineLevel="1">
      <c r="A217" s="388"/>
      <c r="B217" s="407"/>
      <c r="C217" s="933"/>
      <c r="E217" s="492"/>
      <c r="F217" s="493" t="s">
        <v>750</v>
      </c>
      <c r="G217" s="511"/>
      <c r="H217" s="511"/>
      <c r="I217" s="511"/>
      <c r="J217" s="511"/>
      <c r="K217" s="512"/>
      <c r="L217" s="412"/>
    </row>
    <row r="218" spans="1:12" s="413" customFormat="1" ht="13.5" customHeight="1" outlineLevel="1">
      <c r="B218" s="407"/>
      <c r="C218" s="933"/>
      <c r="E218" s="953" t="s">
        <v>279</v>
      </c>
      <c r="F218" s="954"/>
      <c r="G218" s="415"/>
      <c r="H218" s="415"/>
      <c r="I218" s="415"/>
      <c r="J218" s="415"/>
      <c r="K218" s="416"/>
      <c r="L218" s="412"/>
    </row>
    <row r="219" spans="1:12" s="388" customFormat="1" ht="15" customHeight="1" thickBot="1">
      <c r="A219" s="413"/>
      <c r="B219" s="403"/>
      <c r="C219" s="972"/>
      <c r="D219" s="955" t="s">
        <v>770</v>
      </c>
      <c r="E219" s="956"/>
      <c r="F219" s="957"/>
      <c r="G219" s="504"/>
      <c r="H219" s="504"/>
      <c r="I219" s="504"/>
      <c r="J219" s="504"/>
      <c r="K219" s="513"/>
      <c r="L219" s="387"/>
    </row>
    <row r="220" spans="1:12" ht="16.5" customHeight="1" thickBot="1">
      <c r="A220" s="388"/>
      <c r="B220" s="379"/>
      <c r="C220" s="958" t="s">
        <v>771</v>
      </c>
      <c r="D220" s="959"/>
      <c r="E220" s="959"/>
      <c r="F220" s="960" t="s">
        <v>755</v>
      </c>
      <c r="G220" s="545">
        <f>SUM(G195,G202,G207,G212:G213,G219)</f>
        <v>0</v>
      </c>
      <c r="H220" s="545">
        <f>SUM(H195,H202,H207,H212:H213,H219)</f>
        <v>0</v>
      </c>
      <c r="I220" s="545">
        <f>SUM(I195,I202,I207,I212:I213,I219)</f>
        <v>0</v>
      </c>
      <c r="J220" s="545">
        <f>SUM(J195,J202,J207,J212:J213,J219)</f>
        <v>0</v>
      </c>
      <c r="K220" s="546">
        <f>SUM(K195,K202,K207,K212:K213,K219)</f>
        <v>0</v>
      </c>
      <c r="L220" s="378"/>
    </row>
    <row r="221" spans="1:12" ht="16.5" customHeight="1" thickBot="1">
      <c r="A221" s="388"/>
      <c r="B221" s="379"/>
      <c r="C221" s="961" t="s">
        <v>772</v>
      </c>
      <c r="D221" s="962"/>
      <c r="E221" s="962"/>
      <c r="F221" s="962" t="s">
        <v>772</v>
      </c>
      <c r="G221" s="565">
        <f>SUM(G192,G220)</f>
        <v>0</v>
      </c>
      <c r="H221" s="565">
        <f>SUM(H192,H220)</f>
        <v>0</v>
      </c>
      <c r="I221" s="565">
        <f>SUM(I192,I220)</f>
        <v>0</v>
      </c>
      <c r="J221" s="565">
        <f>SUM(J192,J220)</f>
        <v>0</v>
      </c>
      <c r="K221" s="566">
        <f>SUM(K192,K220)</f>
        <v>0</v>
      </c>
      <c r="L221" s="378"/>
    </row>
    <row r="222" spans="1:12" ht="13.5" customHeight="1">
      <c r="B222" s="379"/>
      <c r="F222" s="514"/>
      <c r="G222" s="515"/>
      <c r="H222" s="516"/>
      <c r="I222" s="516"/>
      <c r="J222" s="516"/>
      <c r="K222" s="516"/>
      <c r="L222" s="378"/>
    </row>
    <row r="223" spans="1:12" s="413" customFormat="1" ht="15" customHeight="1">
      <c r="B223" s="407"/>
      <c r="C223" s="963" t="s">
        <v>773</v>
      </c>
      <c r="D223" s="964"/>
      <c r="E223" s="964"/>
      <c r="F223" s="964"/>
      <c r="G223" s="575">
        <f>G162-G221</f>
        <v>0</v>
      </c>
      <c r="H223" s="575">
        <f>H162-H221</f>
        <v>0</v>
      </c>
      <c r="I223" s="575">
        <f>I162-I221</f>
        <v>0</v>
      </c>
      <c r="J223" s="575">
        <f>J162-J221</f>
        <v>0</v>
      </c>
      <c r="K223" s="576">
        <f>K162-K221</f>
        <v>0</v>
      </c>
      <c r="L223" s="412"/>
    </row>
    <row r="224" spans="1:12" s="473" customFormat="1" ht="13.5" customHeight="1" thickBot="1">
      <c r="A224" s="388"/>
      <c r="B224" s="379"/>
      <c r="C224" s="371"/>
      <c r="D224" s="371"/>
      <c r="E224" s="371"/>
      <c r="F224" s="519"/>
      <c r="G224" s="520"/>
      <c r="H224" s="521"/>
      <c r="I224" s="521"/>
      <c r="J224" s="521"/>
      <c r="K224" s="521"/>
      <c r="L224" s="378"/>
    </row>
    <row r="225" spans="1:12" s="473" customFormat="1" ht="20.25" thickBot="1">
      <c r="A225" s="371"/>
      <c r="B225" s="379"/>
      <c r="C225" s="942" t="s">
        <v>774</v>
      </c>
      <c r="D225" s="943"/>
      <c r="E225" s="943"/>
      <c r="F225" s="943"/>
      <c r="G225" s="943"/>
      <c r="H225" s="943"/>
      <c r="I225" s="943"/>
      <c r="J225" s="943"/>
      <c r="K225" s="944"/>
      <c r="L225" s="378"/>
    </row>
    <row r="226" spans="1:12" s="473" customFormat="1" ht="16.5" customHeight="1" thickBot="1">
      <c r="A226" s="371"/>
      <c r="B226" s="379"/>
      <c r="C226" s="945" t="s">
        <v>611</v>
      </c>
      <c r="D226" s="946"/>
      <c r="E226" s="946"/>
      <c r="F226" s="947" t="s">
        <v>685</v>
      </c>
      <c r="G226" s="563" t="str">
        <f>G5</f>
        <v>-</v>
      </c>
      <c r="H226" s="563" t="str">
        <f>H5</f>
        <v>-</v>
      </c>
      <c r="I226" s="563" t="str">
        <f>I5</f>
        <v>-</v>
      </c>
      <c r="J226" s="563">
        <f>J5</f>
        <v>0</v>
      </c>
      <c r="K226" s="564">
        <f>K5</f>
        <v>366</v>
      </c>
      <c r="L226" s="378"/>
    </row>
    <row r="227" spans="1:12" s="524" customFormat="1" ht="16.5">
      <c r="A227" s="371"/>
      <c r="B227" s="522"/>
      <c r="C227" s="936" t="s">
        <v>775</v>
      </c>
      <c r="D227" s="937"/>
      <c r="E227" s="937"/>
      <c r="F227" s="937"/>
      <c r="G227" s="937"/>
      <c r="H227" s="937"/>
      <c r="I227" s="937"/>
      <c r="J227" s="937"/>
      <c r="K227" s="938"/>
      <c r="L227" s="523"/>
    </row>
    <row r="228" spans="1:12" s="473" customFormat="1" ht="15" customHeight="1">
      <c r="A228" s="525"/>
      <c r="B228" s="403"/>
      <c r="C228" s="948" t="s">
        <v>776</v>
      </c>
      <c r="D228" s="949"/>
      <c r="E228" s="949"/>
      <c r="F228" s="950"/>
      <c r="G228" s="526"/>
      <c r="H228" s="577" t="str">
        <f>IFERROR((H22-G22)/G22,"-")</f>
        <v>-</v>
      </c>
      <c r="I228" s="577" t="str">
        <f>IFERROR((I22-H22)/H22,"-")</f>
        <v>-</v>
      </c>
      <c r="J228" s="577" t="str">
        <f>IFERROR((J22-I22)/I22,"-")</f>
        <v>-</v>
      </c>
      <c r="K228" s="578" t="str">
        <f>IFERROR((K22-J22)/J22,"-")</f>
        <v>-</v>
      </c>
      <c r="L228" s="387"/>
    </row>
    <row r="229" spans="1:12" s="473" customFormat="1" ht="15" customHeight="1">
      <c r="A229" s="388"/>
      <c r="B229" s="403"/>
      <c r="C229" s="948" t="s">
        <v>777</v>
      </c>
      <c r="D229" s="949"/>
      <c r="E229" s="949"/>
      <c r="F229" s="950"/>
      <c r="G229" s="526"/>
      <c r="H229" s="577" t="str">
        <f>IFERROR(H54/G54-1,"-")</f>
        <v>-</v>
      </c>
      <c r="I229" s="577" t="str">
        <f>IFERROR(I54/H54-1,"-")</f>
        <v>-</v>
      </c>
      <c r="J229" s="577" t="str">
        <f>IFERROR(J54/I54-1,"-")</f>
        <v>-</v>
      </c>
      <c r="K229" s="578" t="str">
        <f>IFERROR(K54/J54-1,"-")</f>
        <v>-</v>
      </c>
      <c r="L229" s="387"/>
    </row>
    <row r="230" spans="1:12" s="473" customFormat="1" ht="15" customHeight="1">
      <c r="A230" s="388"/>
      <c r="B230" s="403"/>
      <c r="C230" s="948" t="s">
        <v>778</v>
      </c>
      <c r="D230" s="949"/>
      <c r="E230" s="949"/>
      <c r="F230" s="950"/>
      <c r="G230" s="526"/>
      <c r="H230" s="577" t="str">
        <f>IFERROR((H91-G91)/G91,"-")</f>
        <v>-</v>
      </c>
      <c r="I230" s="577" t="str">
        <f>IFERROR((I91-H91)/H91,"-")</f>
        <v>-</v>
      </c>
      <c r="J230" s="577" t="str">
        <f>IFERROR((J91-I91)/I91,"-")</f>
        <v>-</v>
      </c>
      <c r="K230" s="578" t="str">
        <f>IFERROR((K91-J91)/J91,"-")</f>
        <v>-</v>
      </c>
      <c r="L230" s="387"/>
    </row>
    <row r="231" spans="1:12" ht="7.5" customHeight="1" thickBot="1">
      <c r="A231" s="388"/>
      <c r="B231" s="379"/>
      <c r="C231" s="933"/>
      <c r="D231" s="934"/>
      <c r="E231" s="934"/>
      <c r="F231" s="934"/>
      <c r="G231" s="934"/>
      <c r="H231" s="934"/>
      <c r="I231" s="934"/>
      <c r="J231" s="934"/>
      <c r="K231" s="935"/>
      <c r="L231" s="378"/>
    </row>
    <row r="232" spans="1:12" s="524" customFormat="1" ht="16.5">
      <c r="A232" s="371"/>
      <c r="B232" s="522"/>
      <c r="C232" s="936" t="s">
        <v>779</v>
      </c>
      <c r="D232" s="937"/>
      <c r="E232" s="937"/>
      <c r="F232" s="937"/>
      <c r="G232" s="937"/>
      <c r="H232" s="937"/>
      <c r="I232" s="937"/>
      <c r="J232" s="937"/>
      <c r="K232" s="938"/>
      <c r="L232" s="523"/>
    </row>
    <row r="233" spans="1:12" s="473" customFormat="1" ht="15" customHeight="1">
      <c r="A233" s="525"/>
      <c r="B233" s="403"/>
      <c r="C233" s="927" t="s">
        <v>780</v>
      </c>
      <c r="D233" s="928"/>
      <c r="E233" s="928"/>
      <c r="F233" s="929"/>
      <c r="G233" s="577" t="str">
        <f>IFERROR(G54/G22,"-")</f>
        <v>-</v>
      </c>
      <c r="H233" s="577" t="str">
        <f>IFERROR(H54/H22,"-")</f>
        <v>-</v>
      </c>
      <c r="I233" s="577" t="str">
        <f>IFERROR(I54/I22,"-")</f>
        <v>-</v>
      </c>
      <c r="J233" s="577" t="str">
        <f>IFERROR(J54/J22,"-")</f>
        <v>-</v>
      </c>
      <c r="K233" s="578" t="str">
        <f>IFERROR(K54/K22,"-")</f>
        <v>-</v>
      </c>
      <c r="L233" s="387"/>
    </row>
    <row r="234" spans="1:12" s="473" customFormat="1" ht="15" customHeight="1">
      <c r="A234" s="388"/>
      <c r="B234" s="403"/>
      <c r="C234" s="939" t="s">
        <v>781</v>
      </c>
      <c r="D234" s="940"/>
      <c r="E234" s="940"/>
      <c r="F234" s="941"/>
      <c r="G234" s="577" t="str">
        <f>IFERROR((G91-G72)/G22,"-")</f>
        <v>-</v>
      </c>
      <c r="H234" s="577" t="str">
        <f>IFERROR((H91-H72)/H22,"-")</f>
        <v>-</v>
      </c>
      <c r="I234" s="577" t="str">
        <f>IFERROR((I91-I72)/I22,"-")</f>
        <v>-</v>
      </c>
      <c r="J234" s="577" t="str">
        <f>IFERROR((J91-J72)/J22,"-")</f>
        <v>-</v>
      </c>
      <c r="K234" s="578" t="str">
        <f>IFERROR((K91-K72)/K22,"-")</f>
        <v>-</v>
      </c>
      <c r="L234" s="387"/>
    </row>
    <row r="235" spans="1:12" s="473" customFormat="1" ht="15" customHeight="1">
      <c r="A235" s="388"/>
      <c r="B235" s="403"/>
      <c r="C235" s="927" t="s">
        <v>782</v>
      </c>
      <c r="D235" s="928"/>
      <c r="E235" s="928"/>
      <c r="F235" s="929"/>
      <c r="G235" s="577" t="str">
        <f>IFERROR((G99-G72)/G22,"-")</f>
        <v>-</v>
      </c>
      <c r="H235" s="577" t="str">
        <f>IFERROR((H99-H72)/H22,"-")</f>
        <v>-</v>
      </c>
      <c r="I235" s="577" t="str">
        <f>IFERROR((I99-I72)/I22,"-")</f>
        <v>-</v>
      </c>
      <c r="J235" s="577" t="str">
        <f>IFERROR((J99-J72)/J22,"-")</f>
        <v>-</v>
      </c>
      <c r="K235" s="578" t="str">
        <f>IFERROR((K99-K72)/K22,"-")</f>
        <v>-</v>
      </c>
      <c r="L235" s="387"/>
    </row>
    <row r="236" spans="1:12" s="473" customFormat="1" ht="15" customHeight="1">
      <c r="A236" s="388"/>
      <c r="B236" s="403"/>
      <c r="C236" s="927" t="s">
        <v>783</v>
      </c>
      <c r="D236" s="928"/>
      <c r="E236" s="928"/>
      <c r="F236" s="929"/>
      <c r="G236" s="577" t="str">
        <f>IFERROR(G64/(G221-G161),"-")</f>
        <v>-</v>
      </c>
      <c r="H236" s="577" t="str">
        <f>IFERROR(H64/(H221-H161),"-")</f>
        <v>-</v>
      </c>
      <c r="I236" s="577" t="str">
        <f>IFERROR(I64/(I221-I161),"-")</f>
        <v>-</v>
      </c>
      <c r="J236" s="577" t="str">
        <f>IFERROR(J64/(J221-J161),"-")</f>
        <v>-</v>
      </c>
      <c r="K236" s="578" t="str">
        <f>IFERROR(K64/(K221-K161),"-")</f>
        <v>-</v>
      </c>
      <c r="L236" s="387"/>
    </row>
    <row r="237" spans="1:12" s="473" customFormat="1" ht="15" customHeight="1">
      <c r="A237" s="388"/>
      <c r="B237" s="403"/>
      <c r="C237" s="927" t="s">
        <v>784</v>
      </c>
      <c r="D237" s="928"/>
      <c r="E237" s="928"/>
      <c r="F237" s="929"/>
      <c r="G237" s="577" t="str">
        <f>IFERROR(G91/G118,"-")</f>
        <v>-</v>
      </c>
      <c r="H237" s="577" t="str">
        <f>IFERROR(H91/H118,"-")</f>
        <v>-</v>
      </c>
      <c r="I237" s="577" t="str">
        <f>IFERROR(I91/I118,"-")</f>
        <v>-</v>
      </c>
      <c r="J237" s="577" t="str">
        <f>IFERROR(J91/J118,"-")</f>
        <v>-</v>
      </c>
      <c r="K237" s="578" t="str">
        <f>IFERROR(K91/K118,"-")</f>
        <v>-</v>
      </c>
      <c r="L237" s="387"/>
    </row>
    <row r="238" spans="1:12" s="473" customFormat="1" ht="15" customHeight="1">
      <c r="A238" s="388"/>
      <c r="B238" s="403"/>
      <c r="C238" s="927" t="s">
        <v>785</v>
      </c>
      <c r="D238" s="928"/>
      <c r="E238" s="928"/>
      <c r="F238" s="929"/>
      <c r="G238" s="577" t="str">
        <f>IFERROR(G91/G221,"-")</f>
        <v>-</v>
      </c>
      <c r="H238" s="577" t="str">
        <f>IFERROR(H91/H221,"-")</f>
        <v>-</v>
      </c>
      <c r="I238" s="577" t="str">
        <f>IFERROR(I91/I221,"-")</f>
        <v>-</v>
      </c>
      <c r="J238" s="577" t="str">
        <f>IFERROR(J91/J221,"-")</f>
        <v>-</v>
      </c>
      <c r="K238" s="578" t="str">
        <f>IFERROR(K91/K221,"-")</f>
        <v>-</v>
      </c>
      <c r="L238" s="387"/>
    </row>
    <row r="239" spans="1:12" ht="7.5" customHeight="1" thickBot="1">
      <c r="A239" s="388"/>
      <c r="B239" s="379"/>
      <c r="C239" s="933"/>
      <c r="D239" s="934"/>
      <c r="E239" s="934"/>
      <c r="F239" s="934"/>
      <c r="G239" s="934"/>
      <c r="H239" s="934"/>
      <c r="I239" s="934"/>
      <c r="J239" s="934"/>
      <c r="K239" s="935"/>
      <c r="L239" s="378"/>
    </row>
    <row r="240" spans="1:12" s="524" customFormat="1" ht="16.5">
      <c r="A240" s="371"/>
      <c r="B240" s="522"/>
      <c r="C240" s="936" t="s">
        <v>786</v>
      </c>
      <c r="D240" s="937"/>
      <c r="E240" s="937"/>
      <c r="F240" s="937"/>
      <c r="G240" s="937"/>
      <c r="H240" s="937"/>
      <c r="I240" s="937"/>
      <c r="J240" s="937"/>
      <c r="K240" s="938"/>
      <c r="L240" s="523"/>
    </row>
    <row r="241" spans="1:12" s="473" customFormat="1" ht="15" customHeight="1">
      <c r="A241" s="525"/>
      <c r="B241" s="403"/>
      <c r="C241" s="927" t="s">
        <v>787</v>
      </c>
      <c r="D241" s="928"/>
      <c r="E241" s="928"/>
      <c r="F241" s="929"/>
      <c r="G241" s="579" t="str">
        <f>IFERROR(G220/G161,"-")</f>
        <v>-</v>
      </c>
      <c r="H241" s="579" t="str">
        <f>IFERROR(H220/H161,"-")</f>
        <v>-</v>
      </c>
      <c r="I241" s="579" t="str">
        <f>IFERROR(I220/I161,"-")</f>
        <v>-</v>
      </c>
      <c r="J241" s="579" t="str">
        <f>IFERROR(J220/J161,"-")</f>
        <v>-</v>
      </c>
      <c r="K241" s="580" t="str">
        <f>IFERROR(K220/K161,"-")</f>
        <v>-</v>
      </c>
      <c r="L241" s="387"/>
    </row>
    <row r="242" spans="1:12" s="473" customFormat="1" ht="15" customHeight="1">
      <c r="A242" s="388"/>
      <c r="B242" s="403"/>
      <c r="C242" s="927" t="s">
        <v>788</v>
      </c>
      <c r="D242" s="928"/>
      <c r="E242" s="928"/>
      <c r="F242" s="929"/>
      <c r="G242" s="579">
        <f>G220-G161</f>
        <v>0</v>
      </c>
      <c r="H242" s="579">
        <f>H220-H161</f>
        <v>0</v>
      </c>
      <c r="I242" s="579">
        <f>I220-I161</f>
        <v>0</v>
      </c>
      <c r="J242" s="579">
        <f>J220-J161</f>
        <v>0</v>
      </c>
      <c r="K242" s="580">
        <f>K220-K161</f>
        <v>0</v>
      </c>
      <c r="L242" s="387"/>
    </row>
    <row r="243" spans="1:12" s="473" customFormat="1" ht="15" customHeight="1">
      <c r="A243" s="388"/>
      <c r="B243" s="403"/>
      <c r="C243" s="927" t="s">
        <v>789</v>
      </c>
      <c r="D243" s="928"/>
      <c r="E243" s="928"/>
      <c r="F243" s="929"/>
      <c r="G243" s="579" t="str">
        <f>IFERROR((G22/G242),"-")</f>
        <v>-</v>
      </c>
      <c r="H243" s="579" t="str">
        <f>IFERROR((H22/H242),"-")</f>
        <v>-</v>
      </c>
      <c r="I243" s="579" t="str">
        <f>IFERROR((I22/I242),"-")</f>
        <v>-</v>
      </c>
      <c r="J243" s="579" t="str">
        <f>IFERROR((J22/J242),"-")</f>
        <v>-</v>
      </c>
      <c r="K243" s="580" t="str">
        <f>IFERROR((K22/K242),"-")</f>
        <v>-</v>
      </c>
      <c r="L243" s="387"/>
    </row>
    <row r="244" spans="1:12" s="473" customFormat="1" ht="15" customHeight="1">
      <c r="A244" s="388"/>
      <c r="B244" s="403"/>
      <c r="C244" s="927" t="s">
        <v>790</v>
      </c>
      <c r="D244" s="928"/>
      <c r="E244" s="928"/>
      <c r="F244" s="929"/>
      <c r="G244" s="579" t="str">
        <f>IFERROR((G220-G219-G202)/G161,"-")</f>
        <v>-</v>
      </c>
      <c r="H244" s="579" t="str">
        <f>IFERROR((H220-H219-H202)/H161,"-")</f>
        <v>-</v>
      </c>
      <c r="I244" s="579" t="str">
        <f>IFERROR((I220-I219-I202)/I161,"-")</f>
        <v>-</v>
      </c>
      <c r="J244" s="579" t="str">
        <f>IFERROR((J220-J219-J202)/J161,"-")</f>
        <v>-</v>
      </c>
      <c r="K244" s="580" t="str">
        <f>IFERROR((K220-K219-K202)/K161,"-")</f>
        <v>-</v>
      </c>
      <c r="L244" s="387"/>
    </row>
    <row r="245" spans="1:12" ht="7.5" customHeight="1" thickBot="1">
      <c r="A245" s="388"/>
      <c r="B245" s="379"/>
      <c r="C245" s="933"/>
      <c r="D245" s="934"/>
      <c r="E245" s="934"/>
      <c r="F245" s="934"/>
      <c r="G245" s="934"/>
      <c r="H245" s="934"/>
      <c r="I245" s="934"/>
      <c r="J245" s="934"/>
      <c r="K245" s="935"/>
      <c r="L245" s="378"/>
    </row>
    <row r="246" spans="1:12" s="524" customFormat="1" ht="16.5">
      <c r="A246" s="371"/>
      <c r="B246" s="522"/>
      <c r="C246" s="936" t="s">
        <v>791</v>
      </c>
      <c r="D246" s="937"/>
      <c r="E246" s="937"/>
      <c r="F246" s="937"/>
      <c r="G246" s="937"/>
      <c r="H246" s="937"/>
      <c r="I246" s="937"/>
      <c r="J246" s="937"/>
      <c r="K246" s="938"/>
      <c r="L246" s="523"/>
    </row>
    <row r="247" spans="1:12" s="473" customFormat="1" ht="15" customHeight="1">
      <c r="A247" s="525"/>
      <c r="B247" s="403"/>
      <c r="C247" s="927" t="s">
        <v>792</v>
      </c>
      <c r="D247" s="928"/>
      <c r="E247" s="928"/>
      <c r="F247" s="929"/>
      <c r="G247" s="579" t="str">
        <f>IFERROR((G25/G202),"-")</f>
        <v>-</v>
      </c>
      <c r="H247" s="579" t="str">
        <f>IFERROR((H25/H202),"-")</f>
        <v>-</v>
      </c>
      <c r="I247" s="579" t="str">
        <f>IFERROR((I25/I202),"-")</f>
        <v>-</v>
      </c>
      <c r="J247" s="579" t="str">
        <f>IFERROR((J25/J202),"-")</f>
        <v>-</v>
      </c>
      <c r="K247" s="580" t="str">
        <f>IFERROR((K25/K202),"-")</f>
        <v>-</v>
      </c>
      <c r="L247" s="387"/>
    </row>
    <row r="248" spans="1:12" s="473" customFormat="1" ht="15" customHeight="1">
      <c r="A248" s="388"/>
      <c r="B248" s="403"/>
      <c r="C248" s="927" t="s">
        <v>793</v>
      </c>
      <c r="D248" s="928"/>
      <c r="E248" s="928"/>
      <c r="F248" s="929"/>
      <c r="G248" s="579" t="str">
        <f>IFERROR(365/G247,"-")</f>
        <v>-</v>
      </c>
      <c r="H248" s="579" t="str">
        <f>IFERROR(365/H247,"-")</f>
        <v>-</v>
      </c>
      <c r="I248" s="579" t="str">
        <f>IFERROR(365/I247,"-")</f>
        <v>-</v>
      </c>
      <c r="J248" s="579" t="str">
        <f>IFERROR(365/J247,"-")</f>
        <v>-</v>
      </c>
      <c r="K248" s="580" t="str">
        <f>IFERROR(365/K247,"-")</f>
        <v>-</v>
      </c>
      <c r="L248" s="387"/>
    </row>
    <row r="249" spans="1:12" s="473" customFormat="1" ht="15" customHeight="1">
      <c r="A249" s="388"/>
      <c r="B249" s="403"/>
      <c r="C249" s="927" t="s">
        <v>794</v>
      </c>
      <c r="D249" s="928"/>
      <c r="E249" s="928"/>
      <c r="F249" s="929"/>
      <c r="G249" s="579" t="str">
        <f>IFERROR(G22/G207,"-")</f>
        <v>-</v>
      </c>
      <c r="H249" s="579" t="str">
        <f>IFERROR(H22/H207,"-")</f>
        <v>-</v>
      </c>
      <c r="I249" s="579" t="str">
        <f>IFERROR(I22/I207,"-")</f>
        <v>-</v>
      </c>
      <c r="J249" s="579" t="str">
        <f>IFERROR(J22/J207,"-")</f>
        <v>-</v>
      </c>
      <c r="K249" s="580" t="str">
        <f>IFERROR(K22/K207,"-")</f>
        <v>-</v>
      </c>
      <c r="L249" s="387"/>
    </row>
    <row r="250" spans="1:12" s="473" customFormat="1" ht="15" customHeight="1">
      <c r="A250" s="388"/>
      <c r="B250" s="403"/>
      <c r="C250" s="927" t="s">
        <v>795</v>
      </c>
      <c r="D250" s="928"/>
      <c r="E250" s="928"/>
      <c r="F250" s="929"/>
      <c r="G250" s="579" t="str">
        <f>IFERROR(365/G249,"-")</f>
        <v>-</v>
      </c>
      <c r="H250" s="579" t="str">
        <f>IFERROR(365/H249,"-")</f>
        <v>-</v>
      </c>
      <c r="I250" s="579" t="str">
        <f>IFERROR(365/I249,"-")</f>
        <v>-</v>
      </c>
      <c r="J250" s="579" t="str">
        <f>IFERROR(365/J249,"-")</f>
        <v>-</v>
      </c>
      <c r="K250" s="580" t="str">
        <f>IFERROR(365/K249,"-")</f>
        <v>-</v>
      </c>
      <c r="L250" s="387"/>
    </row>
    <row r="251" spans="1:12" s="473" customFormat="1" ht="15" customHeight="1">
      <c r="A251" s="388"/>
      <c r="B251" s="403"/>
      <c r="C251" s="927" t="s">
        <v>796</v>
      </c>
      <c r="D251" s="928"/>
      <c r="E251" s="928"/>
      <c r="F251" s="929"/>
      <c r="G251" s="579" t="str">
        <f>IFERROR((G25+G37)/G151,"-")</f>
        <v>-</v>
      </c>
      <c r="H251" s="579" t="str">
        <f>IFERROR((H25+H37)/H151,"-")</f>
        <v>-</v>
      </c>
      <c r="I251" s="579" t="str">
        <f>IFERROR((I25+I37)/I151,"-")</f>
        <v>-</v>
      </c>
      <c r="J251" s="579" t="str">
        <f>IFERROR((J25+J37)/J151,"-")</f>
        <v>-</v>
      </c>
      <c r="K251" s="580" t="str">
        <f>IFERROR((K25+K37)/K151,"-")</f>
        <v>-</v>
      </c>
      <c r="L251" s="387"/>
    </row>
    <row r="252" spans="1:12" s="473" customFormat="1" ht="15" customHeight="1">
      <c r="A252" s="388"/>
      <c r="B252" s="403"/>
      <c r="C252" s="927" t="s">
        <v>797</v>
      </c>
      <c r="D252" s="928"/>
      <c r="E252" s="928"/>
      <c r="F252" s="929"/>
      <c r="G252" s="579" t="str">
        <f>IFERROR(365/G251,"-")</f>
        <v>-</v>
      </c>
      <c r="H252" s="579" t="str">
        <f>IFERROR(365/H251,"-")</f>
        <v>-</v>
      </c>
      <c r="I252" s="579" t="str">
        <f>IFERROR(365/I251,"-")</f>
        <v>-</v>
      </c>
      <c r="J252" s="579" t="str">
        <f>IFERROR(365/J251,"-")</f>
        <v>-</v>
      </c>
      <c r="K252" s="580" t="str">
        <f>IFERROR(365/K251,"-")</f>
        <v>-</v>
      </c>
      <c r="L252" s="387"/>
    </row>
    <row r="253" spans="1:12" s="473" customFormat="1" ht="15" customHeight="1">
      <c r="A253" s="388"/>
      <c r="B253" s="403"/>
      <c r="C253" s="927" t="s">
        <v>798</v>
      </c>
      <c r="D253" s="928"/>
      <c r="E253" s="928"/>
      <c r="F253" s="929"/>
      <c r="G253" s="579" t="str">
        <f>IFERROR(G248+G250-G252,"-")</f>
        <v>-</v>
      </c>
      <c r="H253" s="579" t="str">
        <f>IFERROR(H248+H250-H252,"-")</f>
        <v>-</v>
      </c>
      <c r="I253" s="579" t="str">
        <f>IFERROR(I248+I250-I252,"-")</f>
        <v>-</v>
      </c>
      <c r="J253" s="579" t="str">
        <f>IFERROR(J248+J250-J252,"-")</f>
        <v>-</v>
      </c>
      <c r="K253" s="580" t="str">
        <f>IFERROR(K248+K250-K252,"-")</f>
        <v>-</v>
      </c>
      <c r="L253" s="387"/>
    </row>
    <row r="254" spans="1:12" s="473" customFormat="1" ht="15" customHeight="1">
      <c r="A254" s="388"/>
      <c r="B254" s="403"/>
      <c r="C254" s="927" t="s">
        <v>799</v>
      </c>
      <c r="D254" s="928"/>
      <c r="E254" s="928"/>
      <c r="F254" s="929"/>
      <c r="G254" s="579" t="str">
        <f>IFERROR(G22/(G167-G171),"-")</f>
        <v>-</v>
      </c>
      <c r="H254" s="579" t="str">
        <f>IFERROR(H22/(H167-H171),"-")</f>
        <v>-</v>
      </c>
      <c r="I254" s="579" t="str">
        <f>IFERROR(I22/(I167-I171),"-")</f>
        <v>-</v>
      </c>
      <c r="J254" s="579" t="str">
        <f>IFERROR(J22/(J167-J171),"-")</f>
        <v>-</v>
      </c>
      <c r="K254" s="580" t="str">
        <f>IFERROR(K22/(K167-K171),"-")</f>
        <v>-</v>
      </c>
      <c r="L254" s="387"/>
    </row>
    <row r="255" spans="1:12" s="473" customFormat="1" ht="15" customHeight="1">
      <c r="A255" s="388"/>
      <c r="B255" s="403"/>
      <c r="C255" s="927" t="s">
        <v>800</v>
      </c>
      <c r="D255" s="928"/>
      <c r="E255" s="928"/>
      <c r="F255" s="929"/>
      <c r="G255" s="579" t="str">
        <f>IFERROR(G22/G221,"-")</f>
        <v>-</v>
      </c>
      <c r="H255" s="579" t="str">
        <f>IFERROR(H22/H221,"-")</f>
        <v>-</v>
      </c>
      <c r="I255" s="579" t="str">
        <f>IFERROR(I22/I221,"-")</f>
        <v>-</v>
      </c>
      <c r="J255" s="579" t="str">
        <f>IFERROR(J22/J221,"-")</f>
        <v>-</v>
      </c>
      <c r="K255" s="580" t="str">
        <f>IFERROR(K22/K221,"-")</f>
        <v>-</v>
      </c>
      <c r="L255" s="387"/>
    </row>
    <row r="256" spans="1:12" s="473" customFormat="1" ht="7.5" customHeight="1" thickBot="1">
      <c r="A256" s="388"/>
      <c r="B256" s="403"/>
      <c r="C256" s="933"/>
      <c r="D256" s="934"/>
      <c r="E256" s="934"/>
      <c r="F256" s="934"/>
      <c r="G256" s="934"/>
      <c r="H256" s="934"/>
      <c r="I256" s="934"/>
      <c r="J256" s="934"/>
      <c r="K256" s="935"/>
      <c r="L256" s="387"/>
    </row>
    <row r="257" spans="1:12" s="524" customFormat="1" ht="16.5">
      <c r="A257" s="388"/>
      <c r="B257" s="522"/>
      <c r="C257" s="936" t="s">
        <v>801</v>
      </c>
      <c r="D257" s="937"/>
      <c r="E257" s="937"/>
      <c r="F257" s="937"/>
      <c r="G257" s="937"/>
      <c r="H257" s="937"/>
      <c r="I257" s="937"/>
      <c r="J257" s="937"/>
      <c r="K257" s="938"/>
      <c r="L257" s="523"/>
    </row>
    <row r="258" spans="1:12" s="388" customFormat="1" ht="15" customHeight="1">
      <c r="A258" s="525"/>
      <c r="B258" s="403"/>
      <c r="C258" s="927" t="s">
        <v>802</v>
      </c>
      <c r="D258" s="928"/>
      <c r="E258" s="928"/>
      <c r="F258" s="929"/>
      <c r="G258" s="579" t="str">
        <f>IFERROR(G54/G66,"-")</f>
        <v>-</v>
      </c>
      <c r="H258" s="579" t="str">
        <f>IFERROR(H64/H66,"-")</f>
        <v>-</v>
      </c>
      <c r="I258" s="579" t="str">
        <f>IFERROR(I64/I66,"-")</f>
        <v>-</v>
      </c>
      <c r="J258" s="579" t="str">
        <f>IFERROR(J54/J66,"-")</f>
        <v>-</v>
      </c>
      <c r="K258" s="580" t="str">
        <f>IFERROR(K54/K66,"-")</f>
        <v>-</v>
      </c>
      <c r="L258" s="387"/>
    </row>
    <row r="259" spans="1:12" s="388" customFormat="1" ht="27.75" customHeight="1">
      <c r="B259" s="403"/>
      <c r="C259" s="927" t="s">
        <v>803</v>
      </c>
      <c r="D259" s="928"/>
      <c r="E259" s="928"/>
      <c r="F259" s="929"/>
      <c r="G259" s="581" t="str">
        <f>IF(G143+G151=0,"No Short Term Obligation", G54/(G143+G151))</f>
        <v>No Short Term Obligation</v>
      </c>
      <c r="H259" s="581" t="str">
        <f>IF(H143+H151=0,"No Short Term Obligation", H54/(H143+H151))</f>
        <v>No Short Term Obligation</v>
      </c>
      <c r="I259" s="581" t="str">
        <f>IF(I143+I151=0,"No Short Term Obligation", I54/(I143+I151))</f>
        <v>No Short Term Obligation</v>
      </c>
      <c r="J259" s="581" t="str">
        <f>IF(J143+J151=0,"No Short Term Obligation", J54/(J143+J151))</f>
        <v>No Short Term Obligation</v>
      </c>
      <c r="K259" s="582" t="str">
        <f>IF(K143+K151=0,"No Short Term Obligation", K54/(K143+K151))</f>
        <v>No Short Term Obligation</v>
      </c>
      <c r="L259" s="387"/>
    </row>
    <row r="260" spans="1:12" s="388" customFormat="1" ht="15" customHeight="1">
      <c r="B260" s="403"/>
      <c r="C260" s="927" t="s">
        <v>804</v>
      </c>
      <c r="D260" s="928"/>
      <c r="E260" s="928"/>
      <c r="F260" s="929"/>
      <c r="G260" s="579" t="str">
        <f>IFERROR((G140+G161+#REF!)/G118,"-")</f>
        <v>-</v>
      </c>
      <c r="H260" s="579" t="str">
        <f>IFERROR((H140+H161+#REF!)/H118,"-")</f>
        <v>-</v>
      </c>
      <c r="I260" s="579" t="str">
        <f>IFERROR((I140+I161+#REF!)/I118,"-")</f>
        <v>-</v>
      </c>
      <c r="J260" s="579" t="str">
        <f>IFERROR((J140+J161+#REF!)/J118,"-")</f>
        <v>-</v>
      </c>
      <c r="K260" s="580" t="str">
        <f>IFERROR((K140+K161+#REF!)/K118,"-")</f>
        <v>-</v>
      </c>
      <c r="L260" s="387"/>
    </row>
    <row r="261" spans="1:12" s="388" customFormat="1" ht="40.5" customHeight="1">
      <c r="B261" s="403"/>
      <c r="C261" s="927" t="s">
        <v>805</v>
      </c>
      <c r="D261" s="928"/>
      <c r="E261" s="928"/>
      <c r="F261" s="929"/>
      <c r="G261" s="579" t="str">
        <f>IFERROR((G124+SUM(G143,G151))/(G91+G56),"-")</f>
        <v>-</v>
      </c>
      <c r="H261" s="579" t="str">
        <f>IFERROR((H124+SUM(H143,H151))/(H91+H56),"-")</f>
        <v>-</v>
      </c>
      <c r="I261" s="579" t="str">
        <f>IFERROR((I124+SUM(I143,I151))/(I91+I56),"-")</f>
        <v>-</v>
      </c>
      <c r="J261" s="579" t="str">
        <f>IFERROR((J124+SUM(J143,J151))/(J91+J56),"-")</f>
        <v>-</v>
      </c>
      <c r="K261" s="580" t="str">
        <f>IFERROR((K124+SUM(K143,K151))/(K91+K56),"-")</f>
        <v>-</v>
      </c>
      <c r="L261" s="387"/>
    </row>
    <row r="262" spans="1:12" s="388" customFormat="1" ht="15" customHeight="1">
      <c r="B262" s="403"/>
      <c r="C262" s="927" t="s">
        <v>806</v>
      </c>
      <c r="D262" s="928"/>
      <c r="E262" s="928"/>
      <c r="F262" s="929"/>
      <c r="G262" s="579" t="str">
        <f>IFERROR((SUM(G143,G151,G124))/G118,"-")</f>
        <v>-</v>
      </c>
      <c r="H262" s="579" t="str">
        <f>IFERROR((SUM(H143,H151,H124))/H118,"-")</f>
        <v>-</v>
      </c>
      <c r="I262" s="579" t="str">
        <f>IFERROR((SUM(I143,I151,I124))/I118,"-")</f>
        <v>-</v>
      </c>
      <c r="J262" s="579" t="str">
        <f>IFERROR((SUM(J143,J151,J124))/J118,"-")</f>
        <v>-</v>
      </c>
      <c r="K262" s="580" t="str">
        <f>IFERROR((SUM(K143,K151,K124))/K118,"-")</f>
        <v>-</v>
      </c>
      <c r="L262" s="387"/>
    </row>
    <row r="263" spans="1:12" s="388" customFormat="1" ht="15" customHeight="1" thickBot="1">
      <c r="B263" s="403"/>
      <c r="C263" s="930" t="s">
        <v>807</v>
      </c>
      <c r="D263" s="931"/>
      <c r="E263" s="931"/>
      <c r="F263" s="932"/>
      <c r="G263" s="583" t="str">
        <f>IF((G124+G143+G151)=0,"No Debt", ((G221-(G172+G173)-G190)-(G161-(G143+G151)))/(G124+G143+G151))</f>
        <v>No Debt</v>
      </c>
      <c r="H263" s="583" t="str">
        <f>IF((H124+H143+H151)=0,"No Debt", ((H221-(H172+H173)-H190)-(H161-(H143+H151)))/(H124+H143+H151))</f>
        <v>No Debt</v>
      </c>
      <c r="I263" s="583" t="str">
        <f>IF((I124+I143+I151)=0,"No Debt", ((I221-(I172+I173)-I190)-(I161-(I143+I151)))/(I124+I143+I151))</f>
        <v>No Debt</v>
      </c>
      <c r="J263" s="583" t="str">
        <f>IF((J124+J143+J151)=0,"No Debt", ((J221-(J172+J173)-J190)-(J161-(J143+J151)))/(J124+J143+J151))</f>
        <v>No Debt</v>
      </c>
      <c r="K263" s="584" t="str">
        <f>IF((K124+K143+K151)=0,"No Debt", ((K221-(K172+K173)-K190)-(K161-(K143+K151)))/(K124+K143+K151))</f>
        <v>No Debt</v>
      </c>
      <c r="L263" s="387"/>
    </row>
    <row r="264" spans="1:12" ht="12.75" customHeight="1" thickBot="1">
      <c r="A264" s="388"/>
      <c r="B264" s="459"/>
      <c r="C264" s="460"/>
      <c r="D264" s="460"/>
      <c r="E264" s="460"/>
      <c r="F264" s="535"/>
      <c r="G264" s="460"/>
      <c r="H264" s="460"/>
      <c r="I264" s="460"/>
      <c r="J264" s="460"/>
      <c r="K264" s="460"/>
      <c r="L264" s="536"/>
    </row>
  </sheetData>
  <sheetProtection algorithmName="SHA-512" hashValue="0oNeQPVpjrVlNOgXRQyQh1YDT20CxE3GGWNRqvRapkgrho2LQrwth6SD1KxaFrezCL914/Sf60QN3AEX0Psgzg==" saltValue="lCDaCcAW9Qfvr/u0KyH2iQ==" spinCount="100000" sheet="1" scenarios="1" formatCells="0" formatColumns="0" formatRows="0" insertHyperlinks="0"/>
  <mergeCells count="252">
    <mergeCell ref="C261:F261"/>
    <mergeCell ref="C262:F262"/>
    <mergeCell ref="C263:F263"/>
    <mergeCell ref="C255:F255"/>
    <mergeCell ref="C256:K256"/>
    <mergeCell ref="C257:K257"/>
    <mergeCell ref="C258:F258"/>
    <mergeCell ref="C259:F259"/>
    <mergeCell ref="C260:F260"/>
    <mergeCell ref="C249:F249"/>
    <mergeCell ref="C250:F250"/>
    <mergeCell ref="C251:F251"/>
    <mergeCell ref="C252:F252"/>
    <mergeCell ref="C253:F253"/>
    <mergeCell ref="C254:F254"/>
    <mergeCell ref="C243:F243"/>
    <mergeCell ref="C244:F244"/>
    <mergeCell ref="C245:K245"/>
    <mergeCell ref="C246:K246"/>
    <mergeCell ref="C247:F247"/>
    <mergeCell ref="C248:F248"/>
    <mergeCell ref="C237:F237"/>
    <mergeCell ref="C238:F238"/>
    <mergeCell ref="C239:K239"/>
    <mergeCell ref="C240:K240"/>
    <mergeCell ref="C241:F241"/>
    <mergeCell ref="C242:F242"/>
    <mergeCell ref="C231:K231"/>
    <mergeCell ref="C232:K232"/>
    <mergeCell ref="C233:F233"/>
    <mergeCell ref="C234:F234"/>
    <mergeCell ref="C235:F235"/>
    <mergeCell ref="C236:F236"/>
    <mergeCell ref="C225:K225"/>
    <mergeCell ref="C226:F226"/>
    <mergeCell ref="C227:K227"/>
    <mergeCell ref="C228:F228"/>
    <mergeCell ref="C229:F229"/>
    <mergeCell ref="C230:F230"/>
    <mergeCell ref="E214:F214"/>
    <mergeCell ref="E218:F218"/>
    <mergeCell ref="D219:F219"/>
    <mergeCell ref="C220:F220"/>
    <mergeCell ref="C221:F221"/>
    <mergeCell ref="C223:F223"/>
    <mergeCell ref="C192:F192"/>
    <mergeCell ref="C193:K193"/>
    <mergeCell ref="C194:F194"/>
    <mergeCell ref="C195:C219"/>
    <mergeCell ref="D195:F195"/>
    <mergeCell ref="E196:F196"/>
    <mergeCell ref="E199:F199"/>
    <mergeCell ref="E200:F200"/>
    <mergeCell ref="E201:F201"/>
    <mergeCell ref="E208:F208"/>
    <mergeCell ref="E209:F209"/>
    <mergeCell ref="E210:F210"/>
    <mergeCell ref="E211:F211"/>
    <mergeCell ref="D212:F212"/>
    <mergeCell ref="D213:F213"/>
    <mergeCell ref="D202:F202"/>
    <mergeCell ref="E203:F203"/>
    <mergeCell ref="E204:F204"/>
    <mergeCell ref="E205:F205"/>
    <mergeCell ref="E206:F206"/>
    <mergeCell ref="D207:F207"/>
    <mergeCell ref="C164:K164"/>
    <mergeCell ref="C165:F165"/>
    <mergeCell ref="C166:C191"/>
    <mergeCell ref="D166:F166"/>
    <mergeCell ref="E167:F167"/>
    <mergeCell ref="E171:F171"/>
    <mergeCell ref="E172:F172"/>
    <mergeCell ref="E173:F173"/>
    <mergeCell ref="E174:F174"/>
    <mergeCell ref="E175:F175"/>
    <mergeCell ref="E182:F182"/>
    <mergeCell ref="E186:F186"/>
    <mergeCell ref="D187:F187"/>
    <mergeCell ref="D188:F188"/>
    <mergeCell ref="E189:F189"/>
    <mergeCell ref="E190:F190"/>
    <mergeCell ref="D176:F176"/>
    <mergeCell ref="E177:F177"/>
    <mergeCell ref="E178:F178"/>
    <mergeCell ref="E179:F179"/>
    <mergeCell ref="E180:F180"/>
    <mergeCell ref="D181:F181"/>
    <mergeCell ref="E191:F191"/>
    <mergeCell ref="E158:F158"/>
    <mergeCell ref="E159:F159"/>
    <mergeCell ref="E160:F160"/>
    <mergeCell ref="C161:F161"/>
    <mergeCell ref="C162:F162"/>
    <mergeCell ref="C163:K163"/>
    <mergeCell ref="E152:F152"/>
    <mergeCell ref="E153:F153"/>
    <mergeCell ref="E154:F154"/>
    <mergeCell ref="E155:F155"/>
    <mergeCell ref="D156:F156"/>
    <mergeCell ref="D157:F157"/>
    <mergeCell ref="C143:C160"/>
    <mergeCell ref="D143:F143"/>
    <mergeCell ref="E144:F144"/>
    <mergeCell ref="E145:F145"/>
    <mergeCell ref="E146:F146"/>
    <mergeCell ref="E147:F147"/>
    <mergeCell ref="E148:F148"/>
    <mergeCell ref="E149:F149"/>
    <mergeCell ref="E150:F150"/>
    <mergeCell ref="D151:F151"/>
    <mergeCell ref="E137:F137"/>
    <mergeCell ref="E138:F138"/>
    <mergeCell ref="D139:F139"/>
    <mergeCell ref="C140:F140"/>
    <mergeCell ref="C141:K141"/>
    <mergeCell ref="C142:F142"/>
    <mergeCell ref="E131:F131"/>
    <mergeCell ref="D132:F132"/>
    <mergeCell ref="D133:F133"/>
    <mergeCell ref="E134:F134"/>
    <mergeCell ref="E135:F135"/>
    <mergeCell ref="D136:F136"/>
    <mergeCell ref="E125:F125"/>
    <mergeCell ref="E126:F126"/>
    <mergeCell ref="E127:F127"/>
    <mergeCell ref="E128:F128"/>
    <mergeCell ref="E129:F129"/>
    <mergeCell ref="E130:F130"/>
    <mergeCell ref="C119:K119"/>
    <mergeCell ref="C120:F120"/>
    <mergeCell ref="C121:K121"/>
    <mergeCell ref="C122:F122"/>
    <mergeCell ref="C123:F123"/>
    <mergeCell ref="D124:F124"/>
    <mergeCell ref="E113:F113"/>
    <mergeCell ref="E114:F114"/>
    <mergeCell ref="E115:F115"/>
    <mergeCell ref="E116:F116"/>
    <mergeCell ref="E117:F117"/>
    <mergeCell ref="C118:F118"/>
    <mergeCell ref="C104:K104"/>
    <mergeCell ref="C105:F105"/>
    <mergeCell ref="D106:F106"/>
    <mergeCell ref="C107:C117"/>
    <mergeCell ref="E107:F107"/>
    <mergeCell ref="E108:F108"/>
    <mergeCell ref="E109:F109"/>
    <mergeCell ref="E110:F110"/>
    <mergeCell ref="E111:F111"/>
    <mergeCell ref="D112:F112"/>
    <mergeCell ref="E97:F97"/>
    <mergeCell ref="C98:F98"/>
    <mergeCell ref="C99:F99"/>
    <mergeCell ref="C101:K101"/>
    <mergeCell ref="C102:F102"/>
    <mergeCell ref="C103:K103"/>
    <mergeCell ref="C91:F91"/>
    <mergeCell ref="C92:K92"/>
    <mergeCell ref="D93:F93"/>
    <mergeCell ref="C94:F94"/>
    <mergeCell ref="D95:F95"/>
    <mergeCell ref="E96:F96"/>
    <mergeCell ref="C86:C88"/>
    <mergeCell ref="E86:F86"/>
    <mergeCell ref="E87:F87"/>
    <mergeCell ref="D88:F88"/>
    <mergeCell ref="C89:C90"/>
    <mergeCell ref="D89:F89"/>
    <mergeCell ref="D90:F90"/>
    <mergeCell ref="C80:F80"/>
    <mergeCell ref="C81:K81"/>
    <mergeCell ref="D82:F82"/>
    <mergeCell ref="C83:F83"/>
    <mergeCell ref="C84:K84"/>
    <mergeCell ref="D85:F85"/>
    <mergeCell ref="C64:F64"/>
    <mergeCell ref="C65:K65"/>
    <mergeCell ref="C66:C79"/>
    <mergeCell ref="D66:F66"/>
    <mergeCell ref="D67:D70"/>
    <mergeCell ref="E67:F67"/>
    <mergeCell ref="E68:F68"/>
    <mergeCell ref="E69:F69"/>
    <mergeCell ref="E70:F70"/>
    <mergeCell ref="E71:F71"/>
    <mergeCell ref="D72:F72"/>
    <mergeCell ref="D73:D79"/>
    <mergeCell ref="E73:F73"/>
    <mergeCell ref="E74:F74"/>
    <mergeCell ref="E75:F75"/>
    <mergeCell ref="E76:F76"/>
    <mergeCell ref="E77:F77"/>
    <mergeCell ref="E78:F78"/>
    <mergeCell ref="E79:F79"/>
    <mergeCell ref="C56:C63"/>
    <mergeCell ref="D56:F56"/>
    <mergeCell ref="D57:F57"/>
    <mergeCell ref="E58:F58"/>
    <mergeCell ref="E59:F59"/>
    <mergeCell ref="D60:F60"/>
    <mergeCell ref="E61:F61"/>
    <mergeCell ref="E62:F62"/>
    <mergeCell ref="D63:F63"/>
    <mergeCell ref="E50:F50"/>
    <mergeCell ref="D51:F51"/>
    <mergeCell ref="E52:F52"/>
    <mergeCell ref="E53:F53"/>
    <mergeCell ref="C54:F54"/>
    <mergeCell ref="C55:K55"/>
    <mergeCell ref="E41:F41"/>
    <mergeCell ref="C42:F42"/>
    <mergeCell ref="C43:K43"/>
    <mergeCell ref="D44:F44"/>
    <mergeCell ref="C45:C53"/>
    <mergeCell ref="E45:F45"/>
    <mergeCell ref="E46:F46"/>
    <mergeCell ref="E47:F47"/>
    <mergeCell ref="D48:F48"/>
    <mergeCell ref="E49:F49"/>
    <mergeCell ref="D37:F37"/>
    <mergeCell ref="E38:F38"/>
    <mergeCell ref="E39:F39"/>
    <mergeCell ref="E40:F40"/>
    <mergeCell ref="D21:F21"/>
    <mergeCell ref="C22:F22"/>
    <mergeCell ref="C23:K23"/>
    <mergeCell ref="C24:F24"/>
    <mergeCell ref="D25:F25"/>
    <mergeCell ref="C26:C41"/>
    <mergeCell ref="E26:F26"/>
    <mergeCell ref="D27:D29"/>
    <mergeCell ref="E30:F30"/>
    <mergeCell ref="D31:D32"/>
    <mergeCell ref="C11:C21"/>
    <mergeCell ref="E11:F11"/>
    <mergeCell ref="D12:D14"/>
    <mergeCell ref="E15:F15"/>
    <mergeCell ref="D16:D18"/>
    <mergeCell ref="E19:F19"/>
    <mergeCell ref="D20:F20"/>
    <mergeCell ref="E33:F33"/>
    <mergeCell ref="D34:D36"/>
    <mergeCell ref="B2:L2"/>
    <mergeCell ref="C3:E3"/>
    <mergeCell ref="C4:K4"/>
    <mergeCell ref="C5:F5"/>
    <mergeCell ref="C6:F6"/>
    <mergeCell ref="C7:F7"/>
    <mergeCell ref="C8:F8"/>
    <mergeCell ref="C9:F9"/>
    <mergeCell ref="D10:F10"/>
  </mergeCells>
  <conditionalFormatting sqref="G10:K21 G25:K41 G44:K53 G56:K63 G66:K79 G82:K82 G85:K90 G93:K93 G95:K99 G106:K117 G124:K139 G143:K160 G166:K191 G195:K219 G223:K223 G228:K230 G233:K238 G241:K244 G247:K255 G258:K263">
    <cfRule type="expression" dxfId="372" priority="14">
      <formula>G$6=""</formula>
    </cfRule>
  </conditionalFormatting>
  <dataValidations count="3">
    <dataValidation type="list" allowBlank="1" showInputMessage="1" showErrorMessage="1" sqref="G6:K6" xr:uid="{DE8E8800-2F06-49C1-BE87-3DD744B46057}">
      <formula1>"Audited,Unaudited,Provisional,Projection"</formula1>
    </dataValidation>
    <dataValidation type="list" allowBlank="1" showInputMessage="1" showErrorMessage="1" sqref="J3:K3" xr:uid="{DD0BE22A-E9E2-4051-8370-AED4FE24B232}">
      <formula1>"Actuals, Thousands, Lakhs, Millions, Crores"</formula1>
    </dataValidation>
    <dataValidation type="list" allowBlank="1" showInputMessage="1" showErrorMessage="1" sqref="G8:K8" xr:uid="{BC3FB4C6-5B37-427D-B534-92AFBF62DC02}">
      <formula1>"Auditor's opinion,Material Qualification,Unqualified,No opinion / Unknown"</formula1>
    </dataValidation>
  </dataValidation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AA32F-AEC7-429D-945C-578E775D5229}">
  <sheetPr codeName="Sheet25">
    <tabColor theme="3" tint="-0.499984740745262"/>
  </sheetPr>
  <dimension ref="A1:N264"/>
  <sheetViews>
    <sheetView workbookViewId="0">
      <selection activeCell="G5" sqref="G5:K5 G10:K11 G15:K15 G22:K22 G25:K26 G30:K30 G33:K33 G37:K37 G42:K42 G44:K44 G48:K48 G51:K51 G54:K54 G57:K57 G60:K60 G64:K64 G66:K66 G72:J72 G80:K80 G83:K83 G85:K85 G88:K88 H90:K90 G91:K91 G94:K95 G98:K99 G102:K102 G106:K106 G112:K112 G118:K118 G120:K120 G124:K124 G133:K133 G136:K136 G140:K140 G143:K143 G151:K151 G157:K157 G161:K162 G166:K167 G176:K176 G181:K182 G188:K188 G192:K192 G195:K196 G202:K202 G207:K207 G213:K214 G220:K221 G223:K223 G226:K226 H228:K230 G233:K238 G241:K244 G247:K255 G258:K263"/>
    </sheetView>
  </sheetViews>
  <sheetFormatPr defaultRowHeight="14.25" outlineLevelRow="2"/>
  <cols>
    <col min="1" max="5" width="2.125" style="371" customWidth="1"/>
    <col min="6" max="6" width="40" style="372" customWidth="1"/>
    <col min="7" max="11" width="13.125" style="371" customWidth="1"/>
    <col min="12" max="12" width="1.625" style="371" customWidth="1"/>
    <col min="13" max="14" width="10.875" style="371" bestFit="1" customWidth="1"/>
    <col min="15" max="16384" width="9" style="371"/>
  </cols>
  <sheetData>
    <row r="1" spans="2:12" ht="15" thickBot="1"/>
    <row r="2" spans="2:12" ht="25.5" customHeight="1">
      <c r="B2" s="1049" t="s">
        <v>606</v>
      </c>
      <c r="C2" s="1050"/>
      <c r="D2" s="1050"/>
      <c r="E2" s="1050"/>
      <c r="F2" s="1050"/>
      <c r="G2" s="1050"/>
      <c r="H2" s="1050"/>
      <c r="I2" s="1050"/>
      <c r="J2" s="1050"/>
      <c r="K2" s="1050"/>
      <c r="L2" s="1051"/>
    </row>
    <row r="3" spans="2:12" ht="15" customHeight="1" thickBot="1">
      <c r="B3" s="373"/>
      <c r="C3" s="1052" t="s">
        <v>607</v>
      </c>
      <c r="D3" s="1052"/>
      <c r="E3" s="1052"/>
      <c r="F3" s="374"/>
      <c r="G3" s="375"/>
      <c r="J3" s="376" t="s">
        <v>608</v>
      </c>
      <c r="K3" s="377" t="s">
        <v>609</v>
      </c>
      <c r="L3" s="378"/>
    </row>
    <row r="4" spans="2:12" ht="20.25" thickBot="1">
      <c r="B4" s="379"/>
      <c r="C4" s="1053" t="s">
        <v>610</v>
      </c>
      <c r="D4" s="1054"/>
      <c r="E4" s="1054"/>
      <c r="F4" s="1054"/>
      <c r="G4" s="1054"/>
      <c r="H4" s="1054"/>
      <c r="I4" s="1054"/>
      <c r="J4" s="1054"/>
      <c r="K4" s="1055"/>
      <c r="L4" s="378"/>
    </row>
    <row r="5" spans="2:12" s="384" customFormat="1" ht="18.75" customHeight="1" thickBot="1">
      <c r="B5" s="380"/>
      <c r="C5" s="1056" t="s">
        <v>611</v>
      </c>
      <c r="D5" s="1057"/>
      <c r="E5" s="1057"/>
      <c r="F5" s="1057"/>
      <c r="G5" s="381" t="str">
        <f>'Financial Statement1'!G5</f>
        <v>-</v>
      </c>
      <c r="H5" s="381" t="str">
        <f>'Financial Statement1'!H5</f>
        <v>-</v>
      </c>
      <c r="I5" s="381" t="str">
        <f>'Financial Statement1'!I5</f>
        <v>-</v>
      </c>
      <c r="J5" s="381">
        <f>'Financial Statement1'!J5</f>
        <v>0</v>
      </c>
      <c r="K5" s="382">
        <f>'Financial Statement1'!K5</f>
        <v>366</v>
      </c>
      <c r="L5" s="383"/>
    </row>
    <row r="6" spans="2:12" s="388" customFormat="1" ht="15.75" customHeight="1">
      <c r="B6" s="373"/>
      <c r="C6" s="1148" t="s">
        <v>612</v>
      </c>
      <c r="D6" s="1149"/>
      <c r="E6" s="1149"/>
      <c r="F6" s="1150"/>
      <c r="G6" s="385"/>
      <c r="H6" s="385"/>
      <c r="I6" s="385"/>
      <c r="J6" s="385"/>
      <c r="K6" s="386"/>
      <c r="L6" s="387"/>
    </row>
    <row r="7" spans="2:12" s="394" customFormat="1" ht="12.75">
      <c r="B7" s="389"/>
      <c r="C7" s="1151" t="s">
        <v>613</v>
      </c>
      <c r="D7" s="1152"/>
      <c r="E7" s="1152"/>
      <c r="F7" s="1153"/>
      <c r="G7" s="390"/>
      <c r="H7" s="391"/>
      <c r="I7" s="391"/>
      <c r="J7" s="391"/>
      <c r="K7" s="392"/>
      <c r="L7" s="393"/>
    </row>
    <row r="8" spans="2:12" s="394" customFormat="1" ht="13.5" thickBot="1">
      <c r="B8" s="389"/>
      <c r="C8" s="1154" t="s">
        <v>614</v>
      </c>
      <c r="D8" s="1155"/>
      <c r="E8" s="1155"/>
      <c r="F8" s="1156"/>
      <c r="G8" s="395"/>
      <c r="H8" s="396"/>
      <c r="I8" s="396"/>
      <c r="J8" s="396"/>
      <c r="K8" s="397"/>
      <c r="L8" s="393"/>
    </row>
    <row r="9" spans="2:12" ht="16.5" customHeight="1">
      <c r="B9" s="379"/>
      <c r="C9" s="986" t="s">
        <v>615</v>
      </c>
      <c r="D9" s="987"/>
      <c r="E9" s="987"/>
      <c r="F9" s="987"/>
      <c r="G9" s="398"/>
      <c r="H9" s="398"/>
      <c r="I9" s="398"/>
      <c r="J9" s="398"/>
      <c r="K9" s="399"/>
      <c r="L9" s="378"/>
    </row>
    <row r="10" spans="2:12" ht="16.5" customHeight="1">
      <c r="B10" s="379"/>
      <c r="C10" s="400"/>
      <c r="D10" s="955" t="s">
        <v>616</v>
      </c>
      <c r="E10" s="956"/>
      <c r="F10" s="957"/>
      <c r="G10" s="401">
        <f>SUM(G11,G15,G19)</f>
        <v>0</v>
      </c>
      <c r="H10" s="401">
        <f>SUM(H11,H15,H19)</f>
        <v>0</v>
      </c>
      <c r="I10" s="401">
        <f>SUM(I11,I15,I19)</f>
        <v>0</v>
      </c>
      <c r="J10" s="401">
        <f>SUM(J11,J15,J19)</f>
        <v>0</v>
      </c>
      <c r="K10" s="402">
        <f>SUM(K11,K15,K19)</f>
        <v>0</v>
      </c>
      <c r="L10" s="378"/>
    </row>
    <row r="11" spans="2:12" s="388" customFormat="1" ht="15" customHeight="1" outlineLevel="1">
      <c r="B11" s="403"/>
      <c r="C11" s="1045"/>
      <c r="D11" s="404"/>
      <c r="E11" s="1058" t="s">
        <v>617</v>
      </c>
      <c r="F11" s="1059"/>
      <c r="G11" s="405">
        <f>SUM(G12:G14)</f>
        <v>0</v>
      </c>
      <c r="H11" s="405">
        <f>SUM(H12:H14)</f>
        <v>0</v>
      </c>
      <c r="I11" s="405">
        <f>SUM(I12:I14)</f>
        <v>0</v>
      </c>
      <c r="J11" s="405">
        <f>SUM(J12:J14)</f>
        <v>0</v>
      </c>
      <c r="K11" s="406">
        <f>SUM(K12:K14)</f>
        <v>0</v>
      </c>
      <c r="L11" s="387"/>
    </row>
    <row r="12" spans="2:12" s="413" customFormat="1" ht="13.5" customHeight="1" outlineLevel="2">
      <c r="B12" s="407"/>
      <c r="C12" s="1045"/>
      <c r="D12" s="1042"/>
      <c r="E12" s="408"/>
      <c r="F12" s="409" t="s">
        <v>618</v>
      </c>
      <c r="G12" s="410"/>
      <c r="H12" s="410"/>
      <c r="I12" s="410"/>
      <c r="J12" s="410"/>
      <c r="K12" s="411"/>
      <c r="L12" s="412"/>
    </row>
    <row r="13" spans="2:12" s="413" customFormat="1" ht="13.5" customHeight="1" outlineLevel="2">
      <c r="B13" s="407"/>
      <c r="C13" s="1045"/>
      <c r="D13" s="1042"/>
      <c r="F13" s="414" t="s">
        <v>619</v>
      </c>
      <c r="G13" s="415"/>
      <c r="H13" s="415"/>
      <c r="I13" s="415"/>
      <c r="J13" s="415"/>
      <c r="K13" s="416"/>
      <c r="L13" s="412"/>
    </row>
    <row r="14" spans="2:12" s="413" customFormat="1" ht="13.5" customHeight="1" outlineLevel="2">
      <c r="B14" s="407"/>
      <c r="C14" s="1045"/>
      <c r="D14" s="1042"/>
      <c r="F14" s="414" t="s">
        <v>620</v>
      </c>
      <c r="G14" s="415"/>
      <c r="H14" s="415"/>
      <c r="I14" s="415"/>
      <c r="J14" s="415"/>
      <c r="K14" s="416"/>
      <c r="L14" s="412"/>
    </row>
    <row r="15" spans="2:12" s="388" customFormat="1" ht="15" customHeight="1" outlineLevel="1">
      <c r="B15" s="403"/>
      <c r="C15" s="1045"/>
      <c r="E15" s="955" t="s">
        <v>621</v>
      </c>
      <c r="F15" s="957"/>
      <c r="G15" s="417">
        <f>SUM(G16:G18)</f>
        <v>0</v>
      </c>
      <c r="H15" s="417">
        <f>SUM(H16:H18)</f>
        <v>0</v>
      </c>
      <c r="I15" s="417">
        <f>SUM(I16:I18)</f>
        <v>0</v>
      </c>
      <c r="J15" s="417">
        <f>SUM(J16:J18)</f>
        <v>0</v>
      </c>
      <c r="K15" s="418">
        <f>SUM(K16:K18)</f>
        <v>0</v>
      </c>
      <c r="L15" s="387"/>
    </row>
    <row r="16" spans="2:12" s="413" customFormat="1" ht="13.5" customHeight="1" outlineLevel="2">
      <c r="B16" s="407"/>
      <c r="C16" s="1045"/>
      <c r="D16" s="1042"/>
      <c r="E16" s="408"/>
      <c r="F16" s="409" t="s">
        <v>618</v>
      </c>
      <c r="G16" s="410"/>
      <c r="H16" s="410"/>
      <c r="I16" s="410"/>
      <c r="J16" s="410"/>
      <c r="K16" s="411"/>
      <c r="L16" s="412"/>
    </row>
    <row r="17" spans="2:12" s="413" customFormat="1" ht="13.5" customHeight="1" outlineLevel="2">
      <c r="B17" s="407"/>
      <c r="C17" s="1045"/>
      <c r="D17" s="1042"/>
      <c r="F17" s="414" t="s">
        <v>619</v>
      </c>
      <c r="G17" s="415"/>
      <c r="H17" s="415"/>
      <c r="I17" s="415"/>
      <c r="J17" s="415"/>
      <c r="K17" s="416"/>
      <c r="L17" s="412"/>
    </row>
    <row r="18" spans="2:12" s="413" customFormat="1" ht="13.5" customHeight="1" outlineLevel="2">
      <c r="B18" s="407"/>
      <c r="C18" s="1045"/>
      <c r="D18" s="1042"/>
      <c r="F18" s="414" t="s">
        <v>620</v>
      </c>
      <c r="G18" s="415"/>
      <c r="H18" s="415"/>
      <c r="I18" s="415"/>
      <c r="J18" s="415"/>
      <c r="K18" s="416"/>
      <c r="L18" s="412"/>
    </row>
    <row r="19" spans="2:12" s="413" customFormat="1" ht="13.5" customHeight="1" outlineLevel="1">
      <c r="B19" s="407"/>
      <c r="C19" s="1045"/>
      <c r="E19" s="955" t="s">
        <v>622</v>
      </c>
      <c r="F19" s="957"/>
      <c r="G19" s="415"/>
      <c r="H19" s="415"/>
      <c r="I19" s="415"/>
      <c r="J19" s="415"/>
      <c r="K19" s="416"/>
      <c r="L19" s="412"/>
    </row>
    <row r="20" spans="2:12" s="388" customFormat="1" ht="15" customHeight="1">
      <c r="B20" s="403"/>
      <c r="C20" s="1045"/>
      <c r="D20" s="955" t="s">
        <v>623</v>
      </c>
      <c r="E20" s="956"/>
      <c r="F20" s="957"/>
      <c r="G20" s="419"/>
      <c r="H20" s="419"/>
      <c r="I20" s="419"/>
      <c r="J20" s="419"/>
      <c r="K20" s="420"/>
      <c r="L20" s="387"/>
    </row>
    <row r="21" spans="2:12" s="388" customFormat="1" ht="15" customHeight="1" thickBot="1">
      <c r="B21" s="403"/>
      <c r="C21" s="1046"/>
      <c r="D21" s="1007" t="s">
        <v>624</v>
      </c>
      <c r="E21" s="1008"/>
      <c r="F21" s="1009"/>
      <c r="G21" s="421"/>
      <c r="H21" s="421"/>
      <c r="I21" s="421"/>
      <c r="J21" s="421"/>
      <c r="K21" s="422"/>
      <c r="L21" s="387"/>
    </row>
    <row r="22" spans="2:12" ht="16.5" customHeight="1" thickBot="1">
      <c r="B22" s="379"/>
      <c r="C22" s="965" t="s">
        <v>625</v>
      </c>
      <c r="D22" s="966"/>
      <c r="E22" s="966"/>
      <c r="F22" s="966"/>
      <c r="G22" s="423">
        <f>SUM(G10+G20)-G21</f>
        <v>0</v>
      </c>
      <c r="H22" s="423">
        <f>SUM(H10+H20)-H21</f>
        <v>0</v>
      </c>
      <c r="I22" s="423">
        <f>SUM(I10+I20)-I21</f>
        <v>0</v>
      </c>
      <c r="J22" s="423">
        <f>SUM(J10+J20)-J21</f>
        <v>0</v>
      </c>
      <c r="K22" s="424">
        <f>SUM(K10+K20)-K21</f>
        <v>0</v>
      </c>
      <c r="L22" s="378"/>
    </row>
    <row r="23" spans="2:12" ht="7.5" customHeight="1">
      <c r="B23" s="379"/>
      <c r="C23" s="967"/>
      <c r="D23" s="968"/>
      <c r="E23" s="968"/>
      <c r="F23" s="968"/>
      <c r="G23" s="968"/>
      <c r="H23" s="968"/>
      <c r="I23" s="968"/>
      <c r="J23" s="968"/>
      <c r="K23" s="969"/>
      <c r="L23" s="378"/>
    </row>
    <row r="24" spans="2:12" ht="16.5" customHeight="1">
      <c r="B24" s="379"/>
      <c r="C24" s="1043" t="s">
        <v>626</v>
      </c>
      <c r="D24" s="1044"/>
      <c r="E24" s="1044"/>
      <c r="F24" s="1044"/>
      <c r="G24" s="413"/>
      <c r="H24" s="413"/>
      <c r="I24" s="413"/>
      <c r="J24" s="413"/>
      <c r="K24" s="412"/>
      <c r="L24" s="412"/>
    </row>
    <row r="25" spans="2:12" ht="16.5" customHeight="1">
      <c r="B25" s="379"/>
      <c r="C25" s="425"/>
      <c r="D25" s="955" t="s">
        <v>627</v>
      </c>
      <c r="E25" s="956"/>
      <c r="F25" s="957"/>
      <c r="G25" s="417">
        <f>G26+G30+G33</f>
        <v>0</v>
      </c>
      <c r="H25" s="417">
        <f>H26+H30+H33</f>
        <v>0</v>
      </c>
      <c r="I25" s="417">
        <f>I26+I30+I33</f>
        <v>0</v>
      </c>
      <c r="J25" s="417">
        <f>J26+J30+J33</f>
        <v>0</v>
      </c>
      <c r="K25" s="418">
        <f>K26+K30+K33</f>
        <v>0</v>
      </c>
      <c r="L25" s="412"/>
    </row>
    <row r="26" spans="2:12" s="388" customFormat="1" ht="15" customHeight="1" outlineLevel="1">
      <c r="B26" s="403"/>
      <c r="C26" s="1045"/>
      <c r="D26" s="404"/>
      <c r="E26" s="1047" t="s">
        <v>628</v>
      </c>
      <c r="F26" s="1048"/>
      <c r="G26" s="405">
        <f>G28+G27-G29</f>
        <v>0</v>
      </c>
      <c r="H26" s="405">
        <f>H28+H27-H29</f>
        <v>0</v>
      </c>
      <c r="I26" s="405">
        <f>I28+I27-I29</f>
        <v>0</v>
      </c>
      <c r="J26" s="405">
        <f>J28+J27-J29</f>
        <v>0</v>
      </c>
      <c r="K26" s="406">
        <f>K28+K27-K29</f>
        <v>0</v>
      </c>
      <c r="L26" s="387"/>
    </row>
    <row r="27" spans="2:12" s="413" customFormat="1" ht="13.5" customHeight="1" outlineLevel="2">
      <c r="B27" s="407"/>
      <c r="C27" s="1045"/>
      <c r="D27" s="1042"/>
      <c r="E27" s="408"/>
      <c r="F27" s="409" t="s">
        <v>629</v>
      </c>
      <c r="G27" s="410"/>
      <c r="H27" s="410"/>
      <c r="I27" s="410"/>
      <c r="J27" s="410"/>
      <c r="K27" s="411"/>
      <c r="L27" s="412"/>
    </row>
    <row r="28" spans="2:12" s="413" customFormat="1" ht="16.5" customHeight="1" outlineLevel="2">
      <c r="B28" s="407"/>
      <c r="C28" s="1045"/>
      <c r="D28" s="1042"/>
      <c r="F28" s="414" t="s">
        <v>630</v>
      </c>
      <c r="G28" s="415"/>
      <c r="H28" s="415"/>
      <c r="I28" s="415"/>
      <c r="J28" s="415"/>
      <c r="K28" s="416"/>
      <c r="L28" s="412"/>
    </row>
    <row r="29" spans="2:12" s="413" customFormat="1" ht="16.5" customHeight="1" outlineLevel="2">
      <c r="B29" s="407"/>
      <c r="C29" s="1045"/>
      <c r="D29" s="1042"/>
      <c r="F29" s="414" t="s">
        <v>631</v>
      </c>
      <c r="G29" s="415"/>
      <c r="H29" s="415"/>
      <c r="I29" s="415"/>
      <c r="J29" s="415"/>
      <c r="K29" s="416"/>
      <c r="L29" s="412"/>
    </row>
    <row r="30" spans="2:12" s="388" customFormat="1" ht="16.5" customHeight="1" outlineLevel="1">
      <c r="B30" s="403"/>
      <c r="C30" s="1045"/>
      <c r="E30" s="1040" t="s">
        <v>632</v>
      </c>
      <c r="F30" s="1041"/>
      <c r="G30" s="417">
        <f>G31-G32</f>
        <v>0</v>
      </c>
      <c r="H30" s="417">
        <f>H31-H32</f>
        <v>0</v>
      </c>
      <c r="I30" s="417">
        <f>I31-I32</f>
        <v>0</v>
      </c>
      <c r="J30" s="417">
        <f>J31-J32</f>
        <v>0</v>
      </c>
      <c r="K30" s="418">
        <f>K31-K32</f>
        <v>0</v>
      </c>
      <c r="L30" s="387"/>
    </row>
    <row r="31" spans="2:12" s="413" customFormat="1" ht="13.5" customHeight="1" outlineLevel="2">
      <c r="B31" s="407"/>
      <c r="C31" s="1045"/>
      <c r="D31" s="1042"/>
      <c r="E31" s="408"/>
      <c r="F31" s="409" t="s">
        <v>629</v>
      </c>
      <c r="G31" s="410"/>
      <c r="H31" s="410"/>
      <c r="I31" s="410"/>
      <c r="J31" s="410"/>
      <c r="K31" s="411"/>
      <c r="L31" s="412"/>
    </row>
    <row r="32" spans="2:12" s="413" customFormat="1" ht="13.5" customHeight="1" outlineLevel="2">
      <c r="B32" s="407"/>
      <c r="C32" s="1045"/>
      <c r="D32" s="1042"/>
      <c r="F32" s="414" t="s">
        <v>631</v>
      </c>
      <c r="G32" s="415"/>
      <c r="H32" s="415"/>
      <c r="I32" s="415"/>
      <c r="J32" s="415"/>
      <c r="K32" s="416"/>
      <c r="L32" s="412"/>
    </row>
    <row r="33" spans="2:12" s="388" customFormat="1" ht="15" customHeight="1" outlineLevel="1">
      <c r="B33" s="403"/>
      <c r="C33" s="1045"/>
      <c r="E33" s="1040" t="s">
        <v>633</v>
      </c>
      <c r="F33" s="1041"/>
      <c r="G33" s="417">
        <f>G35+G34-G36</f>
        <v>0</v>
      </c>
      <c r="H33" s="417">
        <f>H35+H34-H36</f>
        <v>0</v>
      </c>
      <c r="I33" s="417">
        <f>I35+I34-I36</f>
        <v>0</v>
      </c>
      <c r="J33" s="417">
        <f>J35+J34-J36</f>
        <v>0</v>
      </c>
      <c r="K33" s="418">
        <f>K35+K34-K36</f>
        <v>0</v>
      </c>
      <c r="L33" s="387"/>
    </row>
    <row r="34" spans="2:12" s="413" customFormat="1" ht="13.5" customHeight="1" outlineLevel="1">
      <c r="B34" s="407"/>
      <c r="C34" s="1045"/>
      <c r="D34" s="1042"/>
      <c r="E34" s="408"/>
      <c r="F34" s="409" t="s">
        <v>629</v>
      </c>
      <c r="G34" s="410"/>
      <c r="H34" s="410"/>
      <c r="I34" s="410"/>
      <c r="J34" s="410"/>
      <c r="K34" s="411"/>
      <c r="L34" s="412"/>
    </row>
    <row r="35" spans="2:12" s="413" customFormat="1" ht="13.5" customHeight="1" outlineLevel="1">
      <c r="B35" s="407"/>
      <c r="C35" s="1045"/>
      <c r="D35" s="1042"/>
      <c r="F35" s="414" t="s">
        <v>630</v>
      </c>
      <c r="G35" s="415"/>
      <c r="H35" s="415"/>
      <c r="I35" s="415"/>
      <c r="J35" s="415"/>
      <c r="K35" s="416"/>
      <c r="L35" s="412"/>
    </row>
    <row r="36" spans="2:12" s="413" customFormat="1" ht="13.5" customHeight="1" outlineLevel="1">
      <c r="B36" s="407"/>
      <c r="C36" s="1045"/>
      <c r="D36" s="1042"/>
      <c r="F36" s="414" t="s">
        <v>631</v>
      </c>
      <c r="G36" s="415"/>
      <c r="H36" s="415"/>
      <c r="I36" s="415"/>
      <c r="J36" s="415"/>
      <c r="K36" s="416"/>
      <c r="L36" s="412"/>
    </row>
    <row r="37" spans="2:12" s="413" customFormat="1" ht="13.5" customHeight="1">
      <c r="B37" s="407"/>
      <c r="C37" s="1045"/>
      <c r="D37" s="955" t="s">
        <v>634</v>
      </c>
      <c r="E37" s="956"/>
      <c r="F37" s="957"/>
      <c r="G37" s="415">
        <f>SUM(G38:G41)</f>
        <v>0</v>
      </c>
      <c r="H37" s="415">
        <f>SUM(H38:H41)</f>
        <v>0</v>
      </c>
      <c r="I37" s="415">
        <f>SUM(I38:I41)</f>
        <v>0</v>
      </c>
      <c r="J37" s="415">
        <f>SUM(J38:J41)</f>
        <v>0</v>
      </c>
      <c r="K37" s="416">
        <f>SUM(K38:K41)</f>
        <v>0</v>
      </c>
      <c r="L37" s="412"/>
    </row>
    <row r="38" spans="2:12" s="413" customFormat="1" ht="15" customHeight="1" outlineLevel="1">
      <c r="B38" s="407"/>
      <c r="C38" s="1045"/>
      <c r="D38" s="408"/>
      <c r="E38" s="997" t="s">
        <v>635</v>
      </c>
      <c r="F38" s="998"/>
      <c r="G38" s="410"/>
      <c r="H38" s="410"/>
      <c r="I38" s="410"/>
      <c r="J38" s="410"/>
      <c r="K38" s="411"/>
      <c r="L38" s="412"/>
    </row>
    <row r="39" spans="2:12" s="413" customFormat="1" ht="15" customHeight="1" outlineLevel="1">
      <c r="B39" s="407"/>
      <c r="C39" s="1045"/>
      <c r="E39" s="991" t="s">
        <v>636</v>
      </c>
      <c r="F39" s="992"/>
      <c r="G39" s="415"/>
      <c r="H39" s="415"/>
      <c r="I39" s="415"/>
      <c r="J39" s="415"/>
      <c r="K39" s="416"/>
      <c r="L39" s="412"/>
    </row>
    <row r="40" spans="2:12" s="413" customFormat="1" ht="15" customHeight="1" outlineLevel="1">
      <c r="B40" s="407"/>
      <c r="C40" s="1045"/>
      <c r="E40" s="991" t="s">
        <v>637</v>
      </c>
      <c r="F40" s="992"/>
      <c r="G40" s="415"/>
      <c r="H40" s="415"/>
      <c r="I40" s="415"/>
      <c r="J40" s="415"/>
      <c r="K40" s="416"/>
      <c r="L40" s="412"/>
    </row>
    <row r="41" spans="2:12" s="413" customFormat="1" ht="15" customHeight="1" outlineLevel="1" thickBot="1">
      <c r="B41" s="407"/>
      <c r="C41" s="1046"/>
      <c r="D41" s="426"/>
      <c r="E41" s="1017" t="s">
        <v>638</v>
      </c>
      <c r="F41" s="1018"/>
      <c r="G41" s="415"/>
      <c r="H41" s="415"/>
      <c r="I41" s="415"/>
      <c r="J41" s="415"/>
      <c r="K41" s="416"/>
      <c r="L41" s="412"/>
    </row>
    <row r="42" spans="2:12" ht="16.5" customHeight="1" thickBot="1">
      <c r="B42" s="379"/>
      <c r="C42" s="965" t="s">
        <v>9</v>
      </c>
      <c r="D42" s="966"/>
      <c r="E42" s="966"/>
      <c r="F42" s="966" t="s">
        <v>639</v>
      </c>
      <c r="G42" s="423">
        <f>G22-SUM(G25,G37)</f>
        <v>0</v>
      </c>
      <c r="H42" s="423">
        <f>H22-SUM(H25,H37)</f>
        <v>0</v>
      </c>
      <c r="I42" s="423">
        <f>I22-SUM(I25,I37)</f>
        <v>0</v>
      </c>
      <c r="J42" s="423">
        <f>J22-SUM(J25,J37)</f>
        <v>0</v>
      </c>
      <c r="K42" s="424">
        <f>K22-SUM(K25,K37)</f>
        <v>0</v>
      </c>
      <c r="L42" s="378"/>
    </row>
    <row r="43" spans="2:12" ht="7.5" customHeight="1">
      <c r="B43" s="379"/>
      <c r="C43" s="967"/>
      <c r="D43" s="968"/>
      <c r="E43" s="968"/>
      <c r="F43" s="968"/>
      <c r="G43" s="968"/>
      <c r="H43" s="968"/>
      <c r="I43" s="968"/>
      <c r="J43" s="968"/>
      <c r="K43" s="969"/>
      <c r="L43" s="378"/>
    </row>
    <row r="44" spans="2:12" s="388" customFormat="1" ht="15" customHeight="1">
      <c r="B44" s="403"/>
      <c r="C44" s="403"/>
      <c r="D44" s="955" t="s">
        <v>640</v>
      </c>
      <c r="E44" s="956"/>
      <c r="F44" s="957"/>
      <c r="G44" s="401">
        <f>SUM(G45,G46,G47)</f>
        <v>0</v>
      </c>
      <c r="H44" s="401">
        <f>SUM(H45,H46,H47)</f>
        <v>0</v>
      </c>
      <c r="I44" s="401">
        <f>SUM(I45,I46,I47)</f>
        <v>0</v>
      </c>
      <c r="J44" s="401">
        <f>SUM(J45,J46,J47)</f>
        <v>0</v>
      </c>
      <c r="K44" s="402">
        <f>SUM(K45,K46,K47)</f>
        <v>0</v>
      </c>
      <c r="L44" s="387"/>
    </row>
    <row r="45" spans="2:12" s="413" customFormat="1" ht="15" customHeight="1" outlineLevel="1">
      <c r="B45" s="407"/>
      <c r="C45" s="1012"/>
      <c r="D45" s="408"/>
      <c r="E45" s="1015" t="s">
        <v>641</v>
      </c>
      <c r="F45" s="1016"/>
      <c r="G45" s="427"/>
      <c r="H45" s="410"/>
      <c r="I45" s="410"/>
      <c r="J45" s="410"/>
      <c r="K45" s="411"/>
      <c r="L45" s="412"/>
    </row>
    <row r="46" spans="2:12" s="413" customFormat="1" ht="15" customHeight="1" outlineLevel="1">
      <c r="B46" s="407"/>
      <c r="C46" s="1012"/>
      <c r="D46" s="428"/>
      <c r="E46" s="991" t="s">
        <v>642</v>
      </c>
      <c r="F46" s="992"/>
      <c r="G46" s="415"/>
      <c r="H46" s="415"/>
      <c r="I46" s="415"/>
      <c r="J46" s="415"/>
      <c r="K46" s="416"/>
      <c r="L46" s="412"/>
    </row>
    <row r="47" spans="2:12" s="413" customFormat="1" ht="15" customHeight="1" outlineLevel="1">
      <c r="B47" s="407"/>
      <c r="C47" s="1012"/>
      <c r="D47" s="428"/>
      <c r="E47" s="1005" t="s">
        <v>279</v>
      </c>
      <c r="F47" s="1006"/>
      <c r="G47" s="429"/>
      <c r="H47" s="429"/>
      <c r="I47" s="415"/>
      <c r="J47" s="415"/>
      <c r="K47" s="416"/>
      <c r="L47" s="412"/>
    </row>
    <row r="48" spans="2:12" s="388" customFormat="1" ht="15" customHeight="1">
      <c r="B48" s="403"/>
      <c r="C48" s="1012"/>
      <c r="D48" s="955" t="s">
        <v>643</v>
      </c>
      <c r="E48" s="956"/>
      <c r="F48" s="957"/>
      <c r="G48" s="417">
        <f>SUM(G49:G50)</f>
        <v>0</v>
      </c>
      <c r="H48" s="417">
        <f>SUM(H49:H50)</f>
        <v>0</v>
      </c>
      <c r="I48" s="417">
        <f>SUM(I49:I50)</f>
        <v>0</v>
      </c>
      <c r="J48" s="417">
        <f>SUM(J49:J50)</f>
        <v>0</v>
      </c>
      <c r="K48" s="418">
        <f>SUM(K49:K50)</f>
        <v>0</v>
      </c>
      <c r="L48" s="387"/>
    </row>
    <row r="49" spans="1:12" s="413" customFormat="1" ht="13.5" customHeight="1" outlineLevel="1">
      <c r="B49" s="407"/>
      <c r="C49" s="1012"/>
      <c r="D49" s="408"/>
      <c r="E49" s="997" t="s">
        <v>644</v>
      </c>
      <c r="F49" s="998"/>
      <c r="G49" s="410"/>
      <c r="H49" s="410"/>
      <c r="I49" s="410"/>
      <c r="J49" s="410"/>
      <c r="K49" s="411"/>
      <c r="L49" s="412"/>
    </row>
    <row r="50" spans="1:12" s="413" customFormat="1" ht="13.5" customHeight="1" outlineLevel="1">
      <c r="B50" s="407"/>
      <c r="C50" s="1012"/>
      <c r="E50" s="991" t="s">
        <v>645</v>
      </c>
      <c r="F50" s="992"/>
      <c r="G50" s="415"/>
      <c r="H50" s="415"/>
      <c r="I50" s="415"/>
      <c r="J50" s="415"/>
      <c r="K50" s="416"/>
      <c r="L50" s="412"/>
    </row>
    <row r="51" spans="1:12" s="388" customFormat="1" ht="15" customHeight="1">
      <c r="A51" s="413"/>
      <c r="B51" s="403"/>
      <c r="C51" s="1012"/>
      <c r="D51" s="955" t="s">
        <v>646</v>
      </c>
      <c r="E51" s="956"/>
      <c r="F51" s="957"/>
      <c r="G51" s="417">
        <f>SUM(G52:G53)</f>
        <v>0</v>
      </c>
      <c r="H51" s="417">
        <f>SUM(H52:H53)</f>
        <v>0</v>
      </c>
      <c r="I51" s="417">
        <f>SUM(I52:I53)</f>
        <v>0</v>
      </c>
      <c r="J51" s="417">
        <f>SUM(J52:J53)</f>
        <v>0</v>
      </c>
      <c r="K51" s="418">
        <f>SUM(K52:K53)</f>
        <v>0</v>
      </c>
      <c r="L51" s="387"/>
    </row>
    <row r="52" spans="1:12" s="413" customFormat="1" ht="13.5" customHeight="1" outlineLevel="1">
      <c r="B52" s="407"/>
      <c r="C52" s="1012"/>
      <c r="D52" s="408"/>
      <c r="E52" s="997" t="s">
        <v>647</v>
      </c>
      <c r="F52" s="998"/>
      <c r="G52" s="410"/>
      <c r="H52" s="410"/>
      <c r="I52" s="410"/>
      <c r="J52" s="410"/>
      <c r="K52" s="411"/>
      <c r="L52" s="412"/>
    </row>
    <row r="53" spans="1:12" s="413" customFormat="1" ht="13.5" customHeight="1" outlineLevel="1" thickBot="1">
      <c r="B53" s="407"/>
      <c r="C53" s="1024"/>
      <c r="D53" s="426"/>
      <c r="E53" s="1017" t="s">
        <v>279</v>
      </c>
      <c r="F53" s="1018"/>
      <c r="G53" s="430"/>
      <c r="H53" s="430"/>
      <c r="I53" s="430"/>
      <c r="J53" s="430"/>
      <c r="K53" s="431"/>
      <c r="L53" s="412"/>
    </row>
    <row r="54" spans="1:12" ht="16.5" customHeight="1" thickBot="1">
      <c r="A54" s="413"/>
      <c r="B54" s="379"/>
      <c r="C54" s="1010" t="s">
        <v>648</v>
      </c>
      <c r="D54" s="1011"/>
      <c r="E54" s="1011"/>
      <c r="F54" s="1011"/>
      <c r="G54" s="432">
        <f>G42-SUM(G44,G48,G51)</f>
        <v>0</v>
      </c>
      <c r="H54" s="432">
        <f>H42-SUM(H44,H48,H51)</f>
        <v>0</v>
      </c>
      <c r="I54" s="432">
        <f>I42-SUM(I44,I48,I51)</f>
        <v>0</v>
      </c>
      <c r="J54" s="432">
        <f>J42-SUM(J44,J48,J51)</f>
        <v>0</v>
      </c>
      <c r="K54" s="433">
        <f>K42-SUM(K44,K48,K51)</f>
        <v>0</v>
      </c>
      <c r="L54" s="378"/>
    </row>
    <row r="55" spans="1:12" ht="7.5" customHeight="1">
      <c r="B55" s="379"/>
      <c r="C55" s="967"/>
      <c r="D55" s="968"/>
      <c r="E55" s="968"/>
      <c r="F55" s="968"/>
      <c r="G55" s="968"/>
      <c r="H55" s="968"/>
      <c r="I55" s="968"/>
      <c r="J55" s="968"/>
      <c r="K55" s="969"/>
      <c r="L55" s="378"/>
    </row>
    <row r="56" spans="1:12" s="388" customFormat="1" ht="15" customHeight="1">
      <c r="A56" s="371"/>
      <c r="B56" s="403"/>
      <c r="C56" s="1012"/>
      <c r="D56" s="955" t="s">
        <v>649</v>
      </c>
      <c r="E56" s="956"/>
      <c r="F56" s="957"/>
      <c r="G56" s="419"/>
      <c r="H56" s="419"/>
      <c r="I56" s="419"/>
      <c r="J56" s="419"/>
      <c r="K56" s="420"/>
      <c r="L56" s="387"/>
    </row>
    <row r="57" spans="1:12" s="388" customFormat="1" ht="15" customHeight="1">
      <c r="B57" s="403"/>
      <c r="C57" s="1012"/>
      <c r="D57" s="955" t="s">
        <v>650</v>
      </c>
      <c r="E57" s="956"/>
      <c r="F57" s="957"/>
      <c r="G57" s="419">
        <f>SUM(G59:G59)</f>
        <v>0</v>
      </c>
      <c r="H57" s="419">
        <f>SUM(H58:H59)</f>
        <v>0</v>
      </c>
      <c r="I57" s="419">
        <f>SUM(I58:I59)</f>
        <v>0</v>
      </c>
      <c r="J57" s="419">
        <f>SUM(J58:J59)</f>
        <v>0</v>
      </c>
      <c r="K57" s="420">
        <f>SUM(K59:K59)</f>
        <v>0</v>
      </c>
      <c r="L57" s="387"/>
    </row>
    <row r="58" spans="1:12" s="413" customFormat="1" ht="15" customHeight="1" outlineLevel="1">
      <c r="B58" s="407"/>
      <c r="C58" s="1012"/>
      <c r="D58" s="408"/>
      <c r="E58" s="997" t="s">
        <v>651</v>
      </c>
      <c r="F58" s="998"/>
      <c r="G58" s="410"/>
      <c r="H58" s="410"/>
      <c r="I58" s="410"/>
      <c r="J58" s="410"/>
      <c r="K58" s="411"/>
      <c r="L58" s="412"/>
    </row>
    <row r="59" spans="1:12" s="413" customFormat="1" ht="15" customHeight="1" outlineLevel="1">
      <c r="B59" s="407"/>
      <c r="C59" s="1012"/>
      <c r="E59" s="991" t="s">
        <v>652</v>
      </c>
      <c r="F59" s="992"/>
      <c r="G59" s="415"/>
      <c r="H59" s="415"/>
      <c r="I59" s="415"/>
      <c r="J59" s="415"/>
      <c r="K59" s="416"/>
      <c r="L59" s="412"/>
    </row>
    <row r="60" spans="1:12" s="388" customFormat="1" ht="15" customHeight="1">
      <c r="B60" s="403"/>
      <c r="C60" s="1012"/>
      <c r="D60" s="955" t="s">
        <v>653</v>
      </c>
      <c r="E60" s="956"/>
      <c r="F60" s="957"/>
      <c r="G60" s="419">
        <f>SUM(G61:G62)</f>
        <v>0</v>
      </c>
      <c r="H60" s="419">
        <f>SUM(H61:H62)</f>
        <v>0</v>
      </c>
      <c r="I60" s="419">
        <f>SUM(I61:I62)</f>
        <v>0</v>
      </c>
      <c r="J60" s="419">
        <f>SUM(J61:J62)</f>
        <v>0</v>
      </c>
      <c r="K60" s="420">
        <f>SUM(K61:K62)</f>
        <v>0</v>
      </c>
      <c r="L60" s="387"/>
    </row>
    <row r="61" spans="1:12" s="413" customFormat="1" ht="15" customHeight="1" outlineLevel="1">
      <c r="B61" s="407"/>
      <c r="C61" s="1012"/>
      <c r="D61" s="434"/>
      <c r="E61" s="1015" t="s">
        <v>654</v>
      </c>
      <c r="F61" s="1016"/>
      <c r="G61" s="410"/>
      <c r="H61" s="410"/>
      <c r="I61" s="410"/>
      <c r="J61" s="410"/>
      <c r="K61" s="411"/>
      <c r="L61" s="412"/>
    </row>
    <row r="62" spans="1:12" s="413" customFormat="1" ht="15" customHeight="1" outlineLevel="1">
      <c r="B62" s="407"/>
      <c r="C62" s="1012"/>
      <c r="D62" s="428"/>
      <c r="E62" s="991" t="s">
        <v>655</v>
      </c>
      <c r="F62" s="992"/>
      <c r="G62" s="415"/>
      <c r="H62" s="415"/>
      <c r="I62" s="415"/>
      <c r="J62" s="415"/>
      <c r="K62" s="416"/>
      <c r="L62" s="412"/>
    </row>
    <row r="63" spans="1:12" s="388" customFormat="1" ht="15" customHeight="1" thickBot="1">
      <c r="B63" s="403"/>
      <c r="C63" s="1024"/>
      <c r="D63" s="1007" t="s">
        <v>656</v>
      </c>
      <c r="E63" s="1008"/>
      <c r="F63" s="1009"/>
      <c r="G63" s="421"/>
      <c r="H63" s="415"/>
      <c r="I63" s="415"/>
      <c r="J63" s="415"/>
      <c r="K63" s="422"/>
      <c r="L63" s="387"/>
    </row>
    <row r="64" spans="1:12" ht="16.5" customHeight="1" thickBot="1">
      <c r="A64" s="388"/>
      <c r="B64" s="379"/>
      <c r="C64" s="965" t="s">
        <v>657</v>
      </c>
      <c r="D64" s="966"/>
      <c r="E64" s="966"/>
      <c r="F64" s="966"/>
      <c r="G64" s="423">
        <f>G54-SUM(G56,G57,G60,G63)</f>
        <v>0</v>
      </c>
      <c r="H64" s="423">
        <f>H54-SUM(H56,H57,H60,H63)</f>
        <v>0</v>
      </c>
      <c r="I64" s="423">
        <f>I54-SUM(I56,I57,I60,I63)</f>
        <v>0</v>
      </c>
      <c r="J64" s="423">
        <f>J54-SUM(J56,J57,J60,J63)</f>
        <v>0</v>
      </c>
      <c r="K64" s="424">
        <f>K54-SUM(K56,K57,K60,K63)</f>
        <v>0</v>
      </c>
      <c r="L64" s="378"/>
    </row>
    <row r="65" spans="1:12" ht="7.5" customHeight="1">
      <c r="B65" s="379"/>
      <c r="C65" s="967"/>
      <c r="D65" s="968"/>
      <c r="E65" s="968"/>
      <c r="F65" s="968"/>
      <c r="G65" s="968"/>
      <c r="H65" s="968"/>
      <c r="I65" s="968"/>
      <c r="J65" s="968"/>
      <c r="K65" s="969"/>
      <c r="L65" s="378"/>
    </row>
    <row r="66" spans="1:12" s="388" customFormat="1" ht="15" customHeight="1">
      <c r="A66" s="371"/>
      <c r="B66" s="403"/>
      <c r="C66" s="1012"/>
      <c r="D66" s="955" t="s">
        <v>658</v>
      </c>
      <c r="E66" s="956"/>
      <c r="F66" s="957"/>
      <c r="G66" s="435">
        <f>SUM(G67:G71)</f>
        <v>0</v>
      </c>
      <c r="H66" s="435">
        <f t="shared" ref="H66:K66" si="0">SUM(H67:H71)</f>
        <v>0</v>
      </c>
      <c r="I66" s="435">
        <f t="shared" si="0"/>
        <v>0</v>
      </c>
      <c r="J66" s="435">
        <f t="shared" si="0"/>
        <v>0</v>
      </c>
      <c r="K66" s="436">
        <f t="shared" si="0"/>
        <v>0</v>
      </c>
      <c r="L66" s="387"/>
    </row>
    <row r="67" spans="1:12" s="413" customFormat="1" ht="13.5" customHeight="1" outlineLevel="1">
      <c r="A67" s="388"/>
      <c r="B67" s="407"/>
      <c r="C67" s="1012"/>
      <c r="D67" s="1038"/>
      <c r="E67" s="997" t="s">
        <v>659</v>
      </c>
      <c r="F67" s="998"/>
      <c r="G67" s="437"/>
      <c r="H67" s="410"/>
      <c r="I67" s="410"/>
      <c r="J67" s="410"/>
      <c r="K67" s="411"/>
      <c r="L67" s="412"/>
    </row>
    <row r="68" spans="1:12" s="413" customFormat="1" ht="13.5" customHeight="1" outlineLevel="1">
      <c r="B68" s="407"/>
      <c r="C68" s="1012"/>
      <c r="D68" s="1001"/>
      <c r="E68" s="991" t="s">
        <v>660</v>
      </c>
      <c r="F68" s="992"/>
      <c r="G68" s="438"/>
      <c r="H68" s="415"/>
      <c r="I68" s="415"/>
      <c r="J68" s="415"/>
      <c r="K68" s="416"/>
      <c r="L68" s="412"/>
    </row>
    <row r="69" spans="1:12" s="413" customFormat="1" ht="13.5" customHeight="1" outlineLevel="1">
      <c r="B69" s="407"/>
      <c r="C69" s="1012"/>
      <c r="D69" s="1001"/>
      <c r="E69" s="991" t="s">
        <v>661</v>
      </c>
      <c r="F69" s="992"/>
      <c r="G69" s="438"/>
      <c r="H69" s="415"/>
      <c r="I69" s="415"/>
      <c r="J69" s="415"/>
      <c r="K69" s="416"/>
      <c r="L69" s="412"/>
    </row>
    <row r="70" spans="1:12" s="413" customFormat="1" ht="13.5" customHeight="1" outlineLevel="1">
      <c r="B70" s="407"/>
      <c r="C70" s="1012"/>
      <c r="D70" s="1001"/>
      <c r="E70" s="991" t="s">
        <v>123</v>
      </c>
      <c r="F70" s="992"/>
      <c r="G70" s="438"/>
      <c r="H70" s="415"/>
      <c r="I70" s="415"/>
      <c r="J70" s="415"/>
      <c r="K70" s="416"/>
      <c r="L70" s="412"/>
    </row>
    <row r="71" spans="1:12" s="413" customFormat="1" ht="13.5" customHeight="1" outlineLevel="1">
      <c r="B71" s="407"/>
      <c r="C71" s="1012"/>
      <c r="E71" s="991" t="s">
        <v>662</v>
      </c>
      <c r="F71" s="992"/>
      <c r="G71" s="438"/>
      <c r="H71" s="415"/>
      <c r="I71" s="415"/>
      <c r="J71" s="415"/>
      <c r="K71" s="416"/>
      <c r="L71" s="412"/>
    </row>
    <row r="72" spans="1:12" s="388" customFormat="1" ht="15" customHeight="1">
      <c r="A72" s="413"/>
      <c r="B72" s="403"/>
      <c r="C72" s="1012"/>
      <c r="D72" s="955" t="s">
        <v>663</v>
      </c>
      <c r="E72" s="956"/>
      <c r="F72" s="957"/>
      <c r="G72" s="417">
        <f>SUM(G73:G79)</f>
        <v>0</v>
      </c>
      <c r="H72" s="417">
        <f>SUM(H73:H79)</f>
        <v>0</v>
      </c>
      <c r="I72" s="417">
        <f>SUM(I73:I79)</f>
        <v>0</v>
      </c>
      <c r="J72" s="417">
        <f>SUM(J73:J79)</f>
        <v>0</v>
      </c>
      <c r="K72" s="418"/>
      <c r="L72" s="387"/>
    </row>
    <row r="73" spans="1:12" s="413" customFormat="1" ht="13.5" customHeight="1" outlineLevel="1">
      <c r="A73" s="388"/>
      <c r="B73" s="407"/>
      <c r="C73" s="1012"/>
      <c r="D73" s="1038"/>
      <c r="E73" s="1015" t="s">
        <v>664</v>
      </c>
      <c r="F73" s="1016"/>
      <c r="G73" s="410"/>
      <c r="H73" s="410"/>
      <c r="I73" s="410"/>
      <c r="J73" s="410"/>
      <c r="K73" s="411"/>
      <c r="L73" s="412"/>
    </row>
    <row r="74" spans="1:12" s="413" customFormat="1" ht="13.5" customHeight="1" outlineLevel="1">
      <c r="B74" s="407"/>
      <c r="C74" s="1012"/>
      <c r="D74" s="1001"/>
      <c r="E74" s="1005" t="s">
        <v>665</v>
      </c>
      <c r="F74" s="1006"/>
      <c r="G74" s="415"/>
      <c r="H74" s="415"/>
      <c r="I74" s="415"/>
      <c r="J74" s="415"/>
      <c r="K74" s="416"/>
      <c r="L74" s="412"/>
    </row>
    <row r="75" spans="1:12" s="413" customFormat="1" ht="13.5" customHeight="1" outlineLevel="1">
      <c r="B75" s="407"/>
      <c r="C75" s="1012"/>
      <c r="D75" s="1001"/>
      <c r="E75" s="1005" t="s">
        <v>666</v>
      </c>
      <c r="F75" s="1006"/>
      <c r="G75" s="415"/>
      <c r="H75" s="415"/>
      <c r="I75" s="415"/>
      <c r="J75" s="415"/>
      <c r="K75" s="416"/>
      <c r="L75" s="412"/>
    </row>
    <row r="76" spans="1:12" s="413" customFormat="1" ht="13.5" customHeight="1" outlineLevel="1">
      <c r="B76" s="407"/>
      <c r="C76" s="1012"/>
      <c r="D76" s="1001"/>
      <c r="E76" s="1005" t="s">
        <v>667</v>
      </c>
      <c r="F76" s="1006"/>
      <c r="G76" s="415"/>
      <c r="H76" s="415"/>
      <c r="I76" s="415"/>
      <c r="J76" s="415"/>
      <c r="K76" s="416"/>
      <c r="L76" s="412"/>
    </row>
    <row r="77" spans="1:12" s="413" customFormat="1" ht="13.5" customHeight="1" outlineLevel="1">
      <c r="B77" s="407"/>
      <c r="C77" s="1012"/>
      <c r="D77" s="1001"/>
      <c r="E77" s="1005" t="s">
        <v>668</v>
      </c>
      <c r="F77" s="1006"/>
      <c r="G77" s="415"/>
      <c r="H77" s="415"/>
      <c r="I77" s="415"/>
      <c r="J77" s="415"/>
      <c r="K77" s="416"/>
      <c r="L77" s="412"/>
    </row>
    <row r="78" spans="1:12" s="413" customFormat="1" ht="13.5" customHeight="1" outlineLevel="1">
      <c r="B78" s="407"/>
      <c r="C78" s="1012"/>
      <c r="D78" s="1001"/>
      <c r="E78" s="1005" t="s">
        <v>669</v>
      </c>
      <c r="F78" s="1006"/>
      <c r="G78" s="415"/>
      <c r="H78" s="415"/>
      <c r="I78" s="415"/>
      <c r="J78" s="415"/>
      <c r="K78" s="416"/>
      <c r="L78" s="412"/>
    </row>
    <row r="79" spans="1:12" s="413" customFormat="1" ht="13.5" customHeight="1" outlineLevel="1" thickBot="1">
      <c r="B79" s="407"/>
      <c r="C79" s="1024"/>
      <c r="D79" s="1039"/>
      <c r="E79" s="999" t="s">
        <v>279</v>
      </c>
      <c r="F79" s="1000"/>
      <c r="G79" s="430"/>
      <c r="H79" s="430"/>
      <c r="I79" s="430"/>
      <c r="J79" s="430"/>
      <c r="K79" s="431"/>
      <c r="L79" s="412"/>
    </row>
    <row r="80" spans="1:12" ht="16.5" customHeight="1" thickBot="1">
      <c r="A80" s="413"/>
      <c r="B80" s="379"/>
      <c r="C80" s="1010" t="s">
        <v>670</v>
      </c>
      <c r="D80" s="1011"/>
      <c r="E80" s="1011"/>
      <c r="F80" s="1011"/>
      <c r="G80" s="432">
        <f>G64-G66+G72</f>
        <v>0</v>
      </c>
      <c r="H80" s="432">
        <f>H64-H66+H72</f>
        <v>0</v>
      </c>
      <c r="I80" s="432">
        <f>I64-I66+I72</f>
        <v>0</v>
      </c>
      <c r="J80" s="432">
        <f>J64-J66+J72</f>
        <v>0</v>
      </c>
      <c r="K80" s="433">
        <f>K64-K66+K72</f>
        <v>0</v>
      </c>
      <c r="L80" s="378"/>
    </row>
    <row r="81" spans="1:12" ht="7.5" customHeight="1">
      <c r="B81" s="379"/>
      <c r="C81" s="967"/>
      <c r="D81" s="968"/>
      <c r="E81" s="968"/>
      <c r="F81" s="968"/>
      <c r="G81" s="968"/>
      <c r="H81" s="968"/>
      <c r="I81" s="968"/>
      <c r="J81" s="968"/>
      <c r="K81" s="969"/>
      <c r="L81" s="378"/>
    </row>
    <row r="82" spans="1:12" s="388" customFormat="1" ht="15" customHeight="1" thickBot="1">
      <c r="A82" s="371"/>
      <c r="B82" s="403"/>
      <c r="C82" s="403"/>
      <c r="D82" s="1033" t="s">
        <v>671</v>
      </c>
      <c r="E82" s="1034"/>
      <c r="F82" s="1035"/>
      <c r="G82" s="439"/>
      <c r="H82" s="419"/>
      <c r="I82" s="419"/>
      <c r="J82" s="419"/>
      <c r="K82" s="420"/>
      <c r="L82" s="440"/>
    </row>
    <row r="83" spans="1:12" ht="16.5" customHeight="1" thickBot="1">
      <c r="A83" s="388"/>
      <c r="B83" s="379"/>
      <c r="C83" s="965" t="s">
        <v>115</v>
      </c>
      <c r="D83" s="966"/>
      <c r="E83" s="966"/>
      <c r="F83" s="966"/>
      <c r="G83" s="423">
        <f>G80+G82</f>
        <v>0</v>
      </c>
      <c r="H83" s="423">
        <f>H80+H82</f>
        <v>0</v>
      </c>
      <c r="I83" s="423">
        <f>I80+I82</f>
        <v>0</v>
      </c>
      <c r="J83" s="423">
        <f>J80+J82</f>
        <v>0</v>
      </c>
      <c r="K83" s="424">
        <f>K80+K82</f>
        <v>0</v>
      </c>
      <c r="L83" s="378"/>
    </row>
    <row r="84" spans="1:12" ht="7.5" customHeight="1">
      <c r="B84" s="379"/>
      <c r="C84" s="933"/>
      <c r="D84" s="934"/>
      <c r="E84" s="934"/>
      <c r="F84" s="934"/>
      <c r="G84" s="934"/>
      <c r="H84" s="934"/>
      <c r="I84" s="934"/>
      <c r="J84" s="934"/>
      <c r="K84" s="935"/>
      <c r="L84" s="378"/>
    </row>
    <row r="85" spans="1:12" s="388" customFormat="1" ht="15" customHeight="1">
      <c r="B85" s="403"/>
      <c r="C85" s="403"/>
      <c r="D85" s="1036" t="s">
        <v>672</v>
      </c>
      <c r="E85" s="1036"/>
      <c r="F85" s="1037"/>
      <c r="G85" s="401">
        <f>SUM(G86,G87)</f>
        <v>0</v>
      </c>
      <c r="H85" s="401">
        <f>SUM(H86,H87)</f>
        <v>0</v>
      </c>
      <c r="I85" s="401">
        <f>SUM(I86,I87)</f>
        <v>0</v>
      </c>
      <c r="J85" s="401">
        <f>SUM(J86,J87)</f>
        <v>0</v>
      </c>
      <c r="K85" s="402">
        <f>SUM(K86,K87)</f>
        <v>0</v>
      </c>
      <c r="L85" s="387"/>
    </row>
    <row r="86" spans="1:12" s="413" customFormat="1" ht="15" customHeight="1" outlineLevel="1">
      <c r="B86" s="407"/>
      <c r="C86" s="1012"/>
      <c r="D86" s="408"/>
      <c r="E86" s="997" t="s">
        <v>673</v>
      </c>
      <c r="F86" s="998"/>
      <c r="G86" s="410"/>
      <c r="H86" s="410"/>
      <c r="I86" s="410"/>
      <c r="J86" s="410"/>
      <c r="K86" s="411"/>
      <c r="L86" s="412"/>
    </row>
    <row r="87" spans="1:12" s="413" customFormat="1" ht="15" customHeight="1" outlineLevel="1">
      <c r="B87" s="407"/>
      <c r="C87" s="1012"/>
      <c r="E87" s="991" t="s">
        <v>674</v>
      </c>
      <c r="F87" s="992"/>
      <c r="G87" s="415"/>
      <c r="H87" s="415"/>
      <c r="I87" s="415"/>
      <c r="J87" s="415"/>
      <c r="K87" s="416"/>
      <c r="L87" s="412"/>
    </row>
    <row r="88" spans="1:12" s="388" customFormat="1" ht="15" customHeight="1">
      <c r="B88" s="403"/>
      <c r="C88" s="1012"/>
      <c r="D88" s="955" t="s">
        <v>675</v>
      </c>
      <c r="E88" s="956"/>
      <c r="F88" s="957"/>
      <c r="G88" s="441" t="str">
        <f>IFERROR(G86/G83,"-")</f>
        <v>-</v>
      </c>
      <c r="H88" s="441" t="str">
        <f>IFERROR(H86/H83,"-")</f>
        <v>-</v>
      </c>
      <c r="I88" s="441" t="str">
        <f>IFERROR(I86/I83,"-")</f>
        <v>-</v>
      </c>
      <c r="J88" s="441" t="str">
        <f>IFERROR(J86/J83,"-")</f>
        <v>-</v>
      </c>
      <c r="K88" s="442" t="str">
        <f>IFERROR(K86/K83,"-")</f>
        <v>-</v>
      </c>
      <c r="L88" s="387"/>
    </row>
    <row r="89" spans="1:12" s="448" customFormat="1" ht="12.75">
      <c r="A89" s="443"/>
      <c r="B89" s="444"/>
      <c r="C89" s="1028"/>
      <c r="D89" s="1029" t="s">
        <v>676</v>
      </c>
      <c r="E89" s="1029"/>
      <c r="F89" s="1030"/>
      <c r="G89" s="445"/>
      <c r="H89" s="445"/>
      <c r="I89" s="445"/>
      <c r="J89" s="445"/>
      <c r="K89" s="446"/>
      <c r="L89" s="447"/>
    </row>
    <row r="90" spans="1:12" s="449" customFormat="1" ht="12" thickBot="1">
      <c r="B90" s="450"/>
      <c r="C90" s="1028"/>
      <c r="D90" s="1031" t="s">
        <v>677</v>
      </c>
      <c r="E90" s="1031"/>
      <c r="F90" s="1032"/>
      <c r="G90" s="451"/>
      <c r="H90" s="452">
        <f>IF((H89-G89)/30&lt;0,"No Data",(H89-G89)/30)</f>
        <v>0</v>
      </c>
      <c r="I90" s="452">
        <f>IF((I89-H89)/30&lt;0,"No Data",(I89-H89)/30)</f>
        <v>0</v>
      </c>
      <c r="J90" s="452">
        <f>IF((J89-I89)/30&lt;0,"No Data",(J89-I89)/30)</f>
        <v>0</v>
      </c>
      <c r="K90" s="453">
        <f>IF((K89-J89)/30&lt;0,"No Data",(K89-J89)/30)</f>
        <v>0</v>
      </c>
      <c r="L90" s="454"/>
    </row>
    <row r="91" spans="1:12" ht="16.5" customHeight="1" thickBot="1">
      <c r="A91" s="449"/>
      <c r="B91" s="379"/>
      <c r="C91" s="958" t="s">
        <v>17</v>
      </c>
      <c r="D91" s="959"/>
      <c r="E91" s="959"/>
      <c r="F91" s="959"/>
      <c r="G91" s="455">
        <f>G83-SUM(G86:G87)</f>
        <v>0</v>
      </c>
      <c r="H91" s="455">
        <f>H83-SUM(H86:H87)</f>
        <v>0</v>
      </c>
      <c r="I91" s="455">
        <f>I83-SUM(I86:I87)</f>
        <v>0</v>
      </c>
      <c r="J91" s="455">
        <f>J83-SUM(J86:J87)</f>
        <v>0</v>
      </c>
      <c r="K91" s="456">
        <f>K83-SUM(K86:K87)</f>
        <v>0</v>
      </c>
      <c r="L91" s="378"/>
    </row>
    <row r="92" spans="1:12" ht="7.5" customHeight="1">
      <c r="B92" s="379"/>
      <c r="C92" s="967"/>
      <c r="D92" s="968"/>
      <c r="E92" s="968"/>
      <c r="F92" s="968"/>
      <c r="G92" s="968"/>
      <c r="H92" s="968"/>
      <c r="I92" s="968"/>
      <c r="J92" s="968"/>
      <c r="K92" s="969"/>
      <c r="L92" s="378"/>
    </row>
    <row r="93" spans="1:12" ht="14.25" customHeight="1" thickBot="1">
      <c r="B93" s="379"/>
      <c r="C93" s="379"/>
      <c r="D93" s="955" t="s">
        <v>678</v>
      </c>
      <c r="E93" s="956"/>
      <c r="F93" s="957"/>
      <c r="G93" s="417"/>
      <c r="H93" s="417"/>
      <c r="I93" s="417"/>
      <c r="J93" s="417"/>
      <c r="K93" s="418"/>
      <c r="L93" s="378"/>
    </row>
    <row r="94" spans="1:12" ht="16.5" customHeight="1" thickBot="1">
      <c r="A94" s="449"/>
      <c r="B94" s="379"/>
      <c r="C94" s="958" t="s">
        <v>679</v>
      </c>
      <c r="D94" s="959"/>
      <c r="E94" s="959"/>
      <c r="F94" s="959"/>
      <c r="G94" s="455">
        <f>G91+G93</f>
        <v>0</v>
      </c>
      <c r="H94" s="455">
        <f>H91+H93</f>
        <v>0</v>
      </c>
      <c r="I94" s="455">
        <f>I91+I93</f>
        <v>0</v>
      </c>
      <c r="J94" s="455">
        <f>J91+J93</f>
        <v>0</v>
      </c>
      <c r="K94" s="456">
        <f>K91+K93</f>
        <v>0</v>
      </c>
      <c r="L94" s="378"/>
    </row>
    <row r="95" spans="1:12" ht="15" customHeight="1">
      <c r="B95" s="379"/>
      <c r="C95" s="379"/>
      <c r="D95" s="955" t="s">
        <v>680</v>
      </c>
      <c r="E95" s="956"/>
      <c r="F95" s="957"/>
      <c r="G95" s="417">
        <f>G96+G97</f>
        <v>0</v>
      </c>
      <c r="H95" s="417">
        <f>H96+H97</f>
        <v>0</v>
      </c>
      <c r="I95" s="417">
        <f>I96+I97</f>
        <v>0</v>
      </c>
      <c r="J95" s="417">
        <f>J96+J97</f>
        <v>0</v>
      </c>
      <c r="K95" s="418">
        <f>K96+K97</f>
        <v>0</v>
      </c>
      <c r="L95" s="378"/>
    </row>
    <row r="96" spans="1:12" s="413" customFormat="1" ht="15" customHeight="1" outlineLevel="1">
      <c r="B96" s="407"/>
      <c r="C96" s="407"/>
      <c r="D96" s="408"/>
      <c r="E96" s="1015" t="s">
        <v>681</v>
      </c>
      <c r="F96" s="1016"/>
      <c r="G96" s="410"/>
      <c r="H96" s="410"/>
      <c r="I96" s="410"/>
      <c r="J96" s="410"/>
      <c r="K96" s="411"/>
      <c r="L96" s="412"/>
    </row>
    <row r="97" spans="1:12" s="413" customFormat="1" ht="15" customHeight="1" outlineLevel="1">
      <c r="B97" s="407"/>
      <c r="C97" s="407"/>
      <c r="E97" s="1005" t="s">
        <v>682</v>
      </c>
      <c r="F97" s="1006"/>
      <c r="G97" s="415"/>
      <c r="H97" s="415"/>
      <c r="I97" s="415"/>
      <c r="J97" s="415"/>
      <c r="K97" s="416"/>
      <c r="L97" s="412"/>
    </row>
    <row r="98" spans="1:12" s="388" customFormat="1" ht="15" customHeight="1">
      <c r="A98" s="371"/>
      <c r="B98" s="403"/>
      <c r="C98" s="1025" t="s">
        <v>683</v>
      </c>
      <c r="D98" s="1026"/>
      <c r="E98" s="1026"/>
      <c r="F98" s="1027"/>
      <c r="G98" s="457">
        <f>G91-G95</f>
        <v>0</v>
      </c>
      <c r="H98" s="457">
        <f>H91-H95</f>
        <v>0</v>
      </c>
      <c r="I98" s="457">
        <f>I91-I95</f>
        <v>0</v>
      </c>
      <c r="J98" s="457">
        <f>J91-J95</f>
        <v>0</v>
      </c>
      <c r="K98" s="458">
        <f>K91-K95</f>
        <v>0</v>
      </c>
      <c r="L98" s="387"/>
    </row>
    <row r="99" spans="1:12" s="388" customFormat="1" ht="15" customHeight="1">
      <c r="B99" s="403"/>
      <c r="C99" s="1025" t="s">
        <v>684</v>
      </c>
      <c r="D99" s="1026"/>
      <c r="E99" s="1026"/>
      <c r="F99" s="1027"/>
      <c r="G99" s="457">
        <f>G91+G56+G57+G62+G48</f>
        <v>0</v>
      </c>
      <c r="H99" s="457">
        <f>H91+H56+H57+H62+H48</f>
        <v>0</v>
      </c>
      <c r="I99" s="457">
        <f>I91+I56+I57+I62+I48</f>
        <v>0</v>
      </c>
      <c r="J99" s="457">
        <f>J91+J56+J57+J62+J48</f>
        <v>0</v>
      </c>
      <c r="K99" s="458">
        <f>K91+K56+K57+K62+K48</f>
        <v>0</v>
      </c>
      <c r="L99" s="387"/>
    </row>
    <row r="100" spans="1:12" ht="13.5" customHeight="1" thickBot="1">
      <c r="A100" s="388"/>
      <c r="B100" s="379"/>
      <c r="C100" s="459"/>
      <c r="D100" s="460"/>
      <c r="E100" s="460"/>
      <c r="F100" s="461"/>
      <c r="G100" s="462"/>
      <c r="H100" s="463"/>
      <c r="I100" s="463"/>
      <c r="J100" s="463"/>
      <c r="K100" s="464"/>
      <c r="L100" s="378"/>
    </row>
    <row r="101" spans="1:12" ht="20.25" thickBot="1">
      <c r="B101" s="379"/>
      <c r="C101" s="942" t="s">
        <v>685</v>
      </c>
      <c r="D101" s="943"/>
      <c r="E101" s="943"/>
      <c r="F101" s="943"/>
      <c r="G101" s="943"/>
      <c r="H101" s="943"/>
      <c r="I101" s="943"/>
      <c r="J101" s="943"/>
      <c r="K101" s="944"/>
      <c r="L101" s="378"/>
    </row>
    <row r="102" spans="1:12" ht="16.5" customHeight="1" thickBot="1">
      <c r="B102" s="379"/>
      <c r="C102" s="945" t="s">
        <v>611</v>
      </c>
      <c r="D102" s="946"/>
      <c r="E102" s="946"/>
      <c r="F102" s="947" t="s">
        <v>685</v>
      </c>
      <c r="G102" s="465" t="str">
        <f>G5</f>
        <v>-</v>
      </c>
      <c r="H102" s="465" t="str">
        <f>H5</f>
        <v>-</v>
      </c>
      <c r="I102" s="465" t="str">
        <f>I5</f>
        <v>-</v>
      </c>
      <c r="J102" s="465">
        <f>J5</f>
        <v>0</v>
      </c>
      <c r="K102" s="466">
        <f>K5</f>
        <v>366</v>
      </c>
      <c r="L102" s="378"/>
    </row>
    <row r="103" spans="1:12" ht="15" thickBot="1">
      <c r="B103" s="379"/>
      <c r="C103" s="933"/>
      <c r="D103" s="934"/>
      <c r="E103" s="934"/>
      <c r="F103" s="934"/>
      <c r="G103" s="934"/>
      <c r="H103" s="934"/>
      <c r="I103" s="934"/>
      <c r="J103" s="934"/>
      <c r="K103" s="935"/>
      <c r="L103" s="378"/>
    </row>
    <row r="104" spans="1:12" ht="18">
      <c r="B104" s="379"/>
      <c r="C104" s="1019" t="s">
        <v>686</v>
      </c>
      <c r="D104" s="1020"/>
      <c r="E104" s="1020"/>
      <c r="F104" s="1020"/>
      <c r="G104" s="1020"/>
      <c r="H104" s="1020"/>
      <c r="I104" s="1020"/>
      <c r="J104" s="1020"/>
      <c r="K104" s="1021"/>
      <c r="L104" s="378"/>
    </row>
    <row r="105" spans="1:12" ht="16.5" customHeight="1">
      <c r="B105" s="379"/>
      <c r="C105" s="970" t="s">
        <v>687</v>
      </c>
      <c r="D105" s="971"/>
      <c r="E105" s="971"/>
      <c r="F105" s="971"/>
      <c r="G105" s="467"/>
      <c r="H105" s="468"/>
      <c r="I105" s="468"/>
      <c r="J105" s="468"/>
      <c r="K105" s="469"/>
      <c r="L105" s="378"/>
    </row>
    <row r="106" spans="1:12" ht="16.5" customHeight="1">
      <c r="B106" s="379"/>
      <c r="C106" s="470"/>
      <c r="D106" s="1022" t="s">
        <v>688</v>
      </c>
      <c r="E106" s="1022"/>
      <c r="F106" s="1023"/>
      <c r="G106" s="417">
        <f>SUM(G107:G111)</f>
        <v>0</v>
      </c>
      <c r="H106" s="417">
        <f>SUM(H107:H111)</f>
        <v>0</v>
      </c>
      <c r="I106" s="417">
        <f>SUM(I107:I111)</f>
        <v>0</v>
      </c>
      <c r="J106" s="417">
        <f>SUM(J107:J111)</f>
        <v>0</v>
      </c>
      <c r="K106" s="418">
        <f>SUM(K107:K111)</f>
        <v>0</v>
      </c>
      <c r="L106" s="378"/>
    </row>
    <row r="107" spans="1:12" s="413" customFormat="1" ht="15" customHeight="1" outlineLevel="1">
      <c r="B107" s="407"/>
      <c r="C107" s="1012"/>
      <c r="D107" s="408"/>
      <c r="E107" s="997" t="s">
        <v>689</v>
      </c>
      <c r="F107" s="998"/>
      <c r="G107" s="410"/>
      <c r="H107" s="410"/>
      <c r="I107" s="471"/>
      <c r="J107" s="471"/>
      <c r="K107" s="411"/>
      <c r="L107" s="412"/>
    </row>
    <row r="108" spans="1:12" s="413" customFormat="1" ht="15" customHeight="1" outlineLevel="1">
      <c r="B108" s="407"/>
      <c r="C108" s="1012"/>
      <c r="E108" s="1005" t="s">
        <v>690</v>
      </c>
      <c r="F108" s="1006"/>
      <c r="G108" s="438"/>
      <c r="H108" s="438"/>
      <c r="I108" s="438"/>
      <c r="J108" s="438"/>
      <c r="K108" s="416"/>
      <c r="L108" s="412"/>
    </row>
    <row r="109" spans="1:12" s="413" customFormat="1" ht="15" customHeight="1" outlineLevel="1">
      <c r="B109" s="407"/>
      <c r="C109" s="1012"/>
      <c r="E109" s="1005" t="s">
        <v>691</v>
      </c>
      <c r="F109" s="1006"/>
      <c r="G109" s="438"/>
      <c r="H109" s="438"/>
      <c r="I109" s="438"/>
      <c r="J109" s="438"/>
      <c r="K109" s="416"/>
      <c r="L109" s="412"/>
    </row>
    <row r="110" spans="1:12" s="413" customFormat="1" ht="15" customHeight="1" outlineLevel="1">
      <c r="B110" s="407"/>
      <c r="C110" s="1012"/>
      <c r="E110" s="1005" t="s">
        <v>692</v>
      </c>
      <c r="F110" s="1006"/>
      <c r="G110" s="438"/>
      <c r="H110" s="438"/>
      <c r="I110" s="438"/>
      <c r="J110" s="438"/>
      <c r="K110" s="416"/>
      <c r="L110" s="412"/>
    </row>
    <row r="111" spans="1:12" s="413" customFormat="1" ht="15" customHeight="1" outlineLevel="1">
      <c r="B111" s="407"/>
      <c r="C111" s="1012"/>
      <c r="E111" s="1005" t="s">
        <v>693</v>
      </c>
      <c r="F111" s="1006"/>
      <c r="G111" s="438"/>
      <c r="H111" s="438"/>
      <c r="I111" s="438"/>
      <c r="J111" s="438"/>
      <c r="K111" s="416"/>
      <c r="L111" s="412"/>
    </row>
    <row r="112" spans="1:12" s="388" customFormat="1" ht="15" customHeight="1">
      <c r="B112" s="403"/>
      <c r="C112" s="1012"/>
      <c r="D112" s="955" t="s">
        <v>694</v>
      </c>
      <c r="E112" s="956"/>
      <c r="F112" s="957"/>
      <c r="G112" s="417">
        <f>SUM(G113:G117)</f>
        <v>0</v>
      </c>
      <c r="H112" s="417">
        <f>SUM(H113:H117)</f>
        <v>0</v>
      </c>
      <c r="I112" s="417">
        <f>SUM(I113:I117)</f>
        <v>0</v>
      </c>
      <c r="J112" s="417">
        <f>SUM(J113:J117)</f>
        <v>0</v>
      </c>
      <c r="K112" s="418">
        <f>SUM(K113:K117)</f>
        <v>0</v>
      </c>
      <c r="L112" s="387"/>
    </row>
    <row r="113" spans="1:12" s="413" customFormat="1" ht="15" customHeight="1" outlineLevel="1">
      <c r="B113" s="407"/>
      <c r="C113" s="1012"/>
      <c r="D113" s="408"/>
      <c r="E113" s="1015" t="s">
        <v>695</v>
      </c>
      <c r="F113" s="1016"/>
      <c r="G113" s="437"/>
      <c r="H113" s="437"/>
      <c r="I113" s="437"/>
      <c r="J113" s="437"/>
      <c r="K113" s="411"/>
      <c r="L113" s="412"/>
    </row>
    <row r="114" spans="1:12" s="413" customFormat="1" ht="15" customHeight="1" outlineLevel="1">
      <c r="B114" s="407"/>
      <c r="C114" s="1012"/>
      <c r="E114" s="1005" t="s">
        <v>696</v>
      </c>
      <c r="F114" s="1006"/>
      <c r="G114" s="438"/>
      <c r="H114" s="438"/>
      <c r="I114" s="438"/>
      <c r="J114" s="438"/>
      <c r="K114" s="416"/>
      <c r="L114" s="412"/>
    </row>
    <row r="115" spans="1:12" s="413" customFormat="1" ht="15" customHeight="1" outlineLevel="1">
      <c r="B115" s="407"/>
      <c r="C115" s="1012"/>
      <c r="E115" s="991" t="s">
        <v>27</v>
      </c>
      <c r="F115" s="992"/>
      <c r="G115" s="428"/>
      <c r="H115" s="438"/>
      <c r="I115" s="438"/>
      <c r="J115" s="438"/>
      <c r="K115" s="416"/>
      <c r="L115" s="412"/>
    </row>
    <row r="116" spans="1:12" s="413" customFormat="1" ht="15" customHeight="1" outlineLevel="1">
      <c r="B116" s="407"/>
      <c r="C116" s="1012"/>
      <c r="E116" s="991" t="s">
        <v>697</v>
      </c>
      <c r="F116" s="992"/>
      <c r="G116" s="438"/>
      <c r="H116" s="438"/>
      <c r="I116" s="438"/>
      <c r="J116" s="438"/>
      <c r="K116" s="416"/>
      <c r="L116" s="412"/>
    </row>
    <row r="117" spans="1:12" s="413" customFormat="1" ht="15" customHeight="1" outlineLevel="1" thickBot="1">
      <c r="B117" s="407"/>
      <c r="C117" s="1024"/>
      <c r="D117" s="426"/>
      <c r="E117" s="1017" t="s">
        <v>698</v>
      </c>
      <c r="F117" s="1018"/>
      <c r="G117" s="472"/>
      <c r="H117" s="430"/>
      <c r="I117" s="430"/>
      <c r="J117" s="430"/>
      <c r="K117" s="431"/>
      <c r="L117" s="412"/>
    </row>
    <row r="118" spans="1:12" ht="16.5" customHeight="1" thickBot="1">
      <c r="A118" s="388"/>
      <c r="B118" s="379"/>
      <c r="C118" s="965" t="s">
        <v>699</v>
      </c>
      <c r="D118" s="966"/>
      <c r="E118" s="966"/>
      <c r="F118" s="966"/>
      <c r="G118" s="423">
        <f>SUM(G106,G112)</f>
        <v>0</v>
      </c>
      <c r="H118" s="423">
        <f>SUM(H106,H112)</f>
        <v>0</v>
      </c>
      <c r="I118" s="423">
        <f>SUM(I106,I112)</f>
        <v>0</v>
      </c>
      <c r="J118" s="423">
        <f>SUM(J106,J112)</f>
        <v>0</v>
      </c>
      <c r="K118" s="424">
        <f>SUM(K106,K112)</f>
        <v>0</v>
      </c>
      <c r="L118" s="378"/>
    </row>
    <row r="119" spans="1:12" s="388" customFormat="1" ht="7.5" customHeight="1" thickBot="1">
      <c r="A119" s="371"/>
      <c r="B119" s="403"/>
      <c r="C119" s="1012"/>
      <c r="D119" s="1013"/>
      <c r="E119" s="1013"/>
      <c r="F119" s="1013"/>
      <c r="G119" s="1013"/>
      <c r="H119" s="1013"/>
      <c r="I119" s="1013"/>
      <c r="J119" s="1013"/>
      <c r="K119" s="1014"/>
      <c r="L119" s="387"/>
    </row>
    <row r="120" spans="1:12" ht="16.5" customHeight="1" thickBot="1">
      <c r="A120" s="473"/>
      <c r="B120" s="379"/>
      <c r="C120" s="965" t="s">
        <v>700</v>
      </c>
      <c r="D120" s="966"/>
      <c r="E120" s="966"/>
      <c r="F120" s="966" t="s">
        <v>701</v>
      </c>
      <c r="G120" s="423">
        <f>G118-G115+G128+G148-G159-G179-G200</f>
        <v>0</v>
      </c>
      <c r="H120" s="423">
        <f>H118-H115+H128+H148-H159-H179-H200</f>
        <v>0</v>
      </c>
      <c r="I120" s="423">
        <f>I118-I115+I128+I148-I159-I179-I200</f>
        <v>0</v>
      </c>
      <c r="J120" s="423">
        <f>J118-J115+J128+J148-J159-J179-J200</f>
        <v>0</v>
      </c>
      <c r="K120" s="424">
        <f>K118-K115+K128+K148-K159-K179-K200</f>
        <v>0</v>
      </c>
      <c r="L120" s="378"/>
    </row>
    <row r="121" spans="1:12" ht="7.5" customHeight="1">
      <c r="B121" s="379"/>
      <c r="C121" s="967"/>
      <c r="D121" s="968"/>
      <c r="E121" s="968"/>
      <c r="F121" s="968"/>
      <c r="G121" s="968"/>
      <c r="H121" s="968"/>
      <c r="I121" s="968"/>
      <c r="J121" s="968"/>
      <c r="K121" s="969"/>
      <c r="L121" s="378"/>
    </row>
    <row r="122" spans="1:12" ht="16.5" customHeight="1">
      <c r="B122" s="379"/>
      <c r="C122" s="970" t="s">
        <v>702</v>
      </c>
      <c r="D122" s="971"/>
      <c r="E122" s="971"/>
      <c r="F122" s="971"/>
      <c r="G122" s="467"/>
      <c r="H122" s="468"/>
      <c r="I122" s="468"/>
      <c r="J122" s="468"/>
      <c r="K122" s="469"/>
      <c r="L122" s="378"/>
    </row>
    <row r="123" spans="1:12" ht="16.5" customHeight="1">
      <c r="B123" s="379"/>
      <c r="C123" s="970" t="s">
        <v>703</v>
      </c>
      <c r="D123" s="971"/>
      <c r="E123" s="971"/>
      <c r="F123" s="971"/>
      <c r="G123" s="467"/>
      <c r="H123" s="468"/>
      <c r="I123" s="468"/>
      <c r="J123" s="468"/>
      <c r="K123" s="469"/>
      <c r="L123" s="378"/>
    </row>
    <row r="124" spans="1:12" s="388" customFormat="1" ht="15" customHeight="1">
      <c r="A124" s="371"/>
      <c r="B124" s="403"/>
      <c r="C124" s="474"/>
      <c r="D124" s="955" t="s">
        <v>704</v>
      </c>
      <c r="E124" s="956"/>
      <c r="F124" s="957"/>
      <c r="G124" s="417">
        <f>SUM(G125:G131)</f>
        <v>0</v>
      </c>
      <c r="H124" s="417">
        <f>SUM(H125:H131)</f>
        <v>0</v>
      </c>
      <c r="I124" s="417">
        <f>SUM(I125:I131)</f>
        <v>0</v>
      </c>
      <c r="J124" s="417">
        <f>SUM(J125:J131)</f>
        <v>0</v>
      </c>
      <c r="K124" s="418">
        <f>SUM(K125:K131)</f>
        <v>0</v>
      </c>
      <c r="L124" s="387"/>
    </row>
    <row r="125" spans="1:12" s="413" customFormat="1" ht="13.5" customHeight="1" outlineLevel="1">
      <c r="A125" s="388"/>
      <c r="B125" s="407"/>
      <c r="C125" s="474"/>
      <c r="D125" s="408"/>
      <c r="E125" s="997" t="s">
        <v>705</v>
      </c>
      <c r="F125" s="998"/>
      <c r="G125" s="437"/>
      <c r="H125" s="410"/>
      <c r="I125" s="410"/>
      <c r="J125" s="410"/>
      <c r="K125" s="411"/>
      <c r="L125" s="412"/>
    </row>
    <row r="126" spans="1:12" s="413" customFormat="1" ht="13.5" customHeight="1" outlineLevel="1">
      <c r="B126" s="407"/>
      <c r="C126" s="474"/>
      <c r="E126" s="991" t="s">
        <v>706</v>
      </c>
      <c r="F126" s="992"/>
      <c r="G126" s="415"/>
      <c r="H126" s="415"/>
      <c r="I126" s="415"/>
      <c r="J126" s="415"/>
      <c r="K126" s="416"/>
      <c r="L126" s="412"/>
    </row>
    <row r="127" spans="1:12" s="413" customFormat="1" ht="13.5" customHeight="1" outlineLevel="1">
      <c r="B127" s="407"/>
      <c r="C127" s="474"/>
      <c r="E127" s="991" t="s">
        <v>707</v>
      </c>
      <c r="F127" s="992"/>
      <c r="G127" s="415"/>
      <c r="H127" s="415"/>
      <c r="I127" s="415"/>
      <c r="J127" s="415"/>
      <c r="K127" s="416"/>
      <c r="L127" s="412"/>
    </row>
    <row r="128" spans="1:12" s="388" customFormat="1" ht="15" customHeight="1" outlineLevel="1">
      <c r="B128" s="475"/>
      <c r="C128" s="403"/>
      <c r="E128" s="991" t="s">
        <v>708</v>
      </c>
      <c r="F128" s="992"/>
      <c r="G128" s="415"/>
      <c r="H128" s="415"/>
      <c r="I128" s="415"/>
      <c r="J128" s="415"/>
      <c r="K128" s="416"/>
      <c r="L128" s="387"/>
    </row>
    <row r="129" spans="1:12" s="413" customFormat="1" ht="13.5" customHeight="1" outlineLevel="1">
      <c r="B129" s="407"/>
      <c r="C129" s="474"/>
      <c r="E129" s="991" t="s">
        <v>709</v>
      </c>
      <c r="F129" s="992"/>
      <c r="G129" s="415"/>
      <c r="H129" s="415"/>
      <c r="I129" s="415"/>
      <c r="J129" s="415"/>
      <c r="K129" s="416"/>
      <c r="L129" s="412"/>
    </row>
    <row r="130" spans="1:12" s="413" customFormat="1" ht="13.5" customHeight="1" outlineLevel="1">
      <c r="B130" s="407"/>
      <c r="C130" s="474"/>
      <c r="E130" s="991" t="s">
        <v>710</v>
      </c>
      <c r="F130" s="992"/>
      <c r="G130" s="415"/>
      <c r="H130" s="415"/>
      <c r="I130" s="415"/>
      <c r="J130" s="415"/>
      <c r="K130" s="416"/>
      <c r="L130" s="412"/>
    </row>
    <row r="131" spans="1:12" s="388" customFormat="1" ht="15" customHeight="1" outlineLevel="1">
      <c r="B131" s="403"/>
      <c r="C131" s="474"/>
      <c r="E131" s="991" t="s">
        <v>711</v>
      </c>
      <c r="F131" s="992"/>
      <c r="G131" s="415"/>
      <c r="H131" s="415"/>
      <c r="I131" s="415"/>
      <c r="J131" s="415"/>
      <c r="K131" s="416"/>
      <c r="L131" s="387"/>
    </row>
    <row r="132" spans="1:12" s="388" customFormat="1" ht="15" customHeight="1">
      <c r="A132" s="413"/>
      <c r="B132" s="403"/>
      <c r="C132" s="474"/>
      <c r="D132" s="955" t="s">
        <v>712</v>
      </c>
      <c r="E132" s="956"/>
      <c r="F132" s="957"/>
      <c r="G132" s="415"/>
      <c r="H132" s="419"/>
      <c r="I132" s="419"/>
      <c r="J132" s="419"/>
      <c r="K132" s="420"/>
      <c r="L132" s="387"/>
    </row>
    <row r="133" spans="1:12" s="388" customFormat="1" ht="15" customHeight="1">
      <c r="B133" s="403"/>
      <c r="C133" s="474"/>
      <c r="D133" s="955" t="s">
        <v>713</v>
      </c>
      <c r="E133" s="956"/>
      <c r="F133" s="957"/>
      <c r="G133" s="417">
        <f>SUM(G134:G135)</f>
        <v>0</v>
      </c>
      <c r="H133" s="417">
        <f>SUM(H134:H135)</f>
        <v>0</v>
      </c>
      <c r="I133" s="417">
        <f>SUM(I134:I135)</f>
        <v>0</v>
      </c>
      <c r="J133" s="417">
        <f>SUM(J134:J135)</f>
        <v>0</v>
      </c>
      <c r="K133" s="418">
        <f>SUM(K134:K135)</f>
        <v>0</v>
      </c>
      <c r="L133" s="387"/>
    </row>
    <row r="134" spans="1:12" s="388" customFormat="1" ht="15" customHeight="1" outlineLevel="1">
      <c r="B134" s="403"/>
      <c r="C134" s="474"/>
      <c r="D134" s="408"/>
      <c r="E134" s="997" t="s">
        <v>714</v>
      </c>
      <c r="F134" s="998"/>
      <c r="G134" s="437"/>
      <c r="H134" s="410"/>
      <c r="I134" s="410"/>
      <c r="J134" s="410"/>
      <c r="K134" s="411"/>
      <c r="L134" s="387"/>
    </row>
    <row r="135" spans="1:12" s="388" customFormat="1" ht="15" customHeight="1" outlineLevel="1">
      <c r="B135" s="403"/>
      <c r="C135" s="474"/>
      <c r="D135" s="476"/>
      <c r="E135" s="991" t="s">
        <v>279</v>
      </c>
      <c r="F135" s="992"/>
      <c r="G135" s="415"/>
      <c r="H135" s="419"/>
      <c r="I135" s="419"/>
      <c r="J135" s="419"/>
      <c r="K135" s="420"/>
      <c r="L135" s="387"/>
    </row>
    <row r="136" spans="1:12" s="388" customFormat="1" ht="15" customHeight="1">
      <c r="B136" s="403"/>
      <c r="C136" s="474"/>
      <c r="D136" s="955" t="s">
        <v>715</v>
      </c>
      <c r="E136" s="956"/>
      <c r="F136" s="957"/>
      <c r="G136" s="419">
        <f>SUM(G137:G138)</f>
        <v>0</v>
      </c>
      <c r="H136" s="419">
        <f t="shared" ref="H136:K136" si="1">SUM(H137:H138)</f>
        <v>0</v>
      </c>
      <c r="I136" s="419">
        <f t="shared" si="1"/>
        <v>0</v>
      </c>
      <c r="J136" s="419">
        <f t="shared" si="1"/>
        <v>0</v>
      </c>
      <c r="K136" s="420">
        <f t="shared" si="1"/>
        <v>0</v>
      </c>
      <c r="L136" s="387"/>
    </row>
    <row r="137" spans="1:12" s="388" customFormat="1" ht="15" customHeight="1" outlineLevel="1">
      <c r="B137" s="403"/>
      <c r="C137" s="474"/>
      <c r="D137" s="408"/>
      <c r="E137" s="997" t="s">
        <v>716</v>
      </c>
      <c r="F137" s="998"/>
      <c r="G137" s="437"/>
      <c r="H137" s="410"/>
      <c r="I137" s="410"/>
      <c r="J137" s="410"/>
      <c r="K137" s="411"/>
      <c r="L137" s="387"/>
    </row>
    <row r="138" spans="1:12" s="413" customFormat="1" ht="13.5" customHeight="1" outlineLevel="1">
      <c r="B138" s="407"/>
      <c r="C138" s="474"/>
      <c r="E138" s="991" t="s">
        <v>279</v>
      </c>
      <c r="F138" s="992"/>
      <c r="G138" s="415"/>
      <c r="H138" s="415"/>
      <c r="I138" s="415"/>
      <c r="J138" s="415"/>
      <c r="K138" s="416"/>
      <c r="L138" s="412"/>
    </row>
    <row r="139" spans="1:12" s="388" customFormat="1" ht="15" customHeight="1" thickBot="1">
      <c r="B139" s="403"/>
      <c r="C139" s="477"/>
      <c r="D139" s="1007" t="s">
        <v>717</v>
      </c>
      <c r="E139" s="1008"/>
      <c r="F139" s="1009"/>
      <c r="G139" s="478"/>
      <c r="H139" s="421"/>
      <c r="I139" s="421"/>
      <c r="J139" s="421"/>
      <c r="K139" s="422"/>
      <c r="L139" s="387"/>
    </row>
    <row r="140" spans="1:12" ht="16.5" customHeight="1" thickBot="1">
      <c r="A140" s="388"/>
      <c r="B140" s="379"/>
      <c r="C140" s="1010" t="s">
        <v>718</v>
      </c>
      <c r="D140" s="1011"/>
      <c r="E140" s="1011"/>
      <c r="F140" s="1011"/>
      <c r="G140" s="432">
        <f>G124+G132+G133+G136+G139</f>
        <v>0</v>
      </c>
      <c r="H140" s="432">
        <f>H124+H132+H133+H136+H139</f>
        <v>0</v>
      </c>
      <c r="I140" s="432">
        <f>I124+I132+I133+I136+I139</f>
        <v>0</v>
      </c>
      <c r="J140" s="432">
        <f>SUM(J132,J133,J136,J139,J124)</f>
        <v>0</v>
      </c>
      <c r="K140" s="433">
        <f>SUM(K132:K139,K124)</f>
        <v>0</v>
      </c>
      <c r="L140" s="378"/>
    </row>
    <row r="141" spans="1:12" ht="7.5" customHeight="1">
      <c r="B141" s="379"/>
      <c r="C141" s="967"/>
      <c r="D141" s="968"/>
      <c r="E141" s="968"/>
      <c r="F141" s="968"/>
      <c r="G141" s="968"/>
      <c r="H141" s="968"/>
      <c r="I141" s="968"/>
      <c r="J141" s="968"/>
      <c r="K141" s="969"/>
      <c r="L141" s="378"/>
    </row>
    <row r="142" spans="1:12" ht="16.5" customHeight="1">
      <c r="B142" s="379"/>
      <c r="C142" s="970" t="s">
        <v>719</v>
      </c>
      <c r="D142" s="971"/>
      <c r="E142" s="971"/>
      <c r="F142" s="971"/>
      <c r="G142" s="467"/>
      <c r="H142" s="468"/>
      <c r="I142" s="468"/>
      <c r="J142" s="468"/>
      <c r="K142" s="469"/>
      <c r="L142" s="378"/>
    </row>
    <row r="143" spans="1:12" s="388" customFormat="1" ht="15" customHeight="1">
      <c r="A143" s="371"/>
      <c r="B143" s="403"/>
      <c r="C143" s="970"/>
      <c r="D143" s="955" t="s">
        <v>720</v>
      </c>
      <c r="E143" s="956"/>
      <c r="F143" s="957"/>
      <c r="G143" s="417">
        <f>SUM(G144:G150)</f>
        <v>0</v>
      </c>
      <c r="H143" s="417">
        <f>SUM(H144:H150)</f>
        <v>0</v>
      </c>
      <c r="I143" s="417">
        <f>SUM(I144:I150)</f>
        <v>0</v>
      </c>
      <c r="J143" s="417">
        <f>SUM(J144:J150)</f>
        <v>0</v>
      </c>
      <c r="K143" s="418">
        <f>SUM(K144:K150)</f>
        <v>0</v>
      </c>
      <c r="L143" s="387"/>
    </row>
    <row r="144" spans="1:12" s="413" customFormat="1" ht="13.5" customHeight="1" outlineLevel="1">
      <c r="B144" s="407"/>
      <c r="C144" s="970"/>
      <c r="D144" s="408"/>
      <c r="E144" s="997" t="s">
        <v>721</v>
      </c>
      <c r="F144" s="998"/>
      <c r="G144" s="437"/>
      <c r="H144" s="410"/>
      <c r="I144" s="410"/>
      <c r="J144" s="410"/>
      <c r="K144" s="411"/>
      <c r="L144" s="412"/>
    </row>
    <row r="145" spans="1:12" s="413" customFormat="1" ht="15" customHeight="1" outlineLevel="1">
      <c r="B145" s="479"/>
      <c r="C145" s="970"/>
      <c r="E145" s="991" t="s">
        <v>722</v>
      </c>
      <c r="F145" s="992"/>
      <c r="G145" s="438"/>
      <c r="H145" s="438"/>
      <c r="I145" s="438"/>
      <c r="J145" s="438"/>
      <c r="K145" s="480"/>
      <c r="L145" s="412"/>
    </row>
    <row r="146" spans="1:12" s="413" customFormat="1" ht="15" customHeight="1" outlineLevel="1">
      <c r="B146" s="479"/>
      <c r="C146" s="970"/>
      <c r="E146" s="991" t="s">
        <v>723</v>
      </c>
      <c r="F146" s="992"/>
      <c r="G146" s="438"/>
      <c r="H146" s="438"/>
      <c r="I146" s="438"/>
      <c r="J146" s="438"/>
      <c r="K146" s="480"/>
      <c r="L146" s="412"/>
    </row>
    <row r="147" spans="1:12" s="413" customFormat="1" ht="15" customHeight="1" outlineLevel="1">
      <c r="B147" s="479"/>
      <c r="C147" s="970"/>
      <c r="E147" s="991" t="s">
        <v>707</v>
      </c>
      <c r="F147" s="992"/>
      <c r="G147" s="438"/>
      <c r="H147" s="438"/>
      <c r="I147" s="438"/>
      <c r="J147" s="438"/>
      <c r="K147" s="480"/>
      <c r="L147" s="412"/>
    </row>
    <row r="148" spans="1:12" s="413" customFormat="1" ht="13.5" customHeight="1" outlineLevel="1">
      <c r="B148" s="407"/>
      <c r="C148" s="970"/>
      <c r="E148" s="1005" t="s">
        <v>708</v>
      </c>
      <c r="F148" s="1006"/>
      <c r="G148" s="438"/>
      <c r="H148" s="415"/>
      <c r="I148" s="415"/>
      <c r="J148" s="415"/>
      <c r="K148" s="416"/>
      <c r="L148" s="412"/>
    </row>
    <row r="149" spans="1:12" s="413" customFormat="1" ht="13.5" customHeight="1" outlineLevel="1">
      <c r="B149" s="407"/>
      <c r="C149" s="970"/>
      <c r="E149" s="991" t="s">
        <v>709</v>
      </c>
      <c r="F149" s="992"/>
      <c r="G149" s="438"/>
      <c r="H149" s="415"/>
      <c r="I149" s="415"/>
      <c r="J149" s="415"/>
      <c r="K149" s="416"/>
      <c r="L149" s="412"/>
    </row>
    <row r="150" spans="1:12" s="413" customFormat="1" ht="13.5" customHeight="1" outlineLevel="1">
      <c r="B150" s="407"/>
      <c r="C150" s="970"/>
      <c r="E150" s="991" t="s">
        <v>279</v>
      </c>
      <c r="F150" s="992"/>
      <c r="G150" s="438"/>
      <c r="H150" s="438"/>
      <c r="I150" s="415"/>
      <c r="J150" s="415"/>
      <c r="K150" s="416"/>
      <c r="L150" s="412"/>
    </row>
    <row r="151" spans="1:12" s="388" customFormat="1" ht="15" customHeight="1">
      <c r="A151" s="413"/>
      <c r="B151" s="403"/>
      <c r="C151" s="970"/>
      <c r="D151" s="955" t="s">
        <v>724</v>
      </c>
      <c r="E151" s="956"/>
      <c r="F151" s="957"/>
      <c r="G151" s="417">
        <f>SUM(G152:G155)</f>
        <v>0</v>
      </c>
      <c r="H151" s="417">
        <f>SUM(H152:H155)</f>
        <v>0</v>
      </c>
      <c r="I151" s="417">
        <f>SUM(I152:I155)</f>
        <v>0</v>
      </c>
      <c r="J151" s="417">
        <f>SUM(J152:J155)</f>
        <v>0</v>
      </c>
      <c r="K151" s="418">
        <f>SUM(K152:K155)</f>
        <v>0</v>
      </c>
      <c r="L151" s="387"/>
    </row>
    <row r="152" spans="1:12" s="413" customFormat="1" ht="15" customHeight="1" outlineLevel="1">
      <c r="B152" s="407"/>
      <c r="C152" s="970"/>
      <c r="D152" s="434"/>
      <c r="E152" s="997" t="s">
        <v>725</v>
      </c>
      <c r="F152" s="998"/>
      <c r="G152" s="437"/>
      <c r="H152" s="410"/>
      <c r="I152" s="410"/>
      <c r="J152" s="410"/>
      <c r="K152" s="411"/>
      <c r="L152" s="412"/>
    </row>
    <row r="153" spans="1:12" s="413" customFormat="1" ht="15" customHeight="1" outlineLevel="1">
      <c r="B153" s="407"/>
      <c r="C153" s="970"/>
      <c r="E153" s="1001" t="s">
        <v>726</v>
      </c>
      <c r="F153" s="1002"/>
      <c r="G153" s="415"/>
      <c r="H153" s="415"/>
      <c r="I153" s="415"/>
      <c r="J153" s="415"/>
      <c r="K153" s="416"/>
      <c r="L153" s="412"/>
    </row>
    <row r="154" spans="1:12" s="413" customFormat="1" ht="15" customHeight="1" outlineLevel="1">
      <c r="B154" s="407"/>
      <c r="C154" s="970"/>
      <c r="E154" s="1003" t="s">
        <v>716</v>
      </c>
      <c r="F154" s="1004"/>
      <c r="G154" s="415"/>
      <c r="H154" s="415"/>
      <c r="I154" s="415"/>
      <c r="J154" s="415"/>
      <c r="K154" s="416"/>
      <c r="L154" s="412"/>
    </row>
    <row r="155" spans="1:12" s="413" customFormat="1" ht="15" customHeight="1" outlineLevel="1">
      <c r="B155" s="407"/>
      <c r="C155" s="970"/>
      <c r="E155" s="1003" t="s">
        <v>279</v>
      </c>
      <c r="F155" s="1004"/>
      <c r="G155" s="415"/>
      <c r="H155" s="415"/>
      <c r="I155" s="438"/>
      <c r="J155" s="438"/>
      <c r="K155" s="416"/>
      <c r="L155" s="412"/>
    </row>
    <row r="156" spans="1:12" s="388" customFormat="1" ht="15" customHeight="1">
      <c r="B156" s="403"/>
      <c r="C156" s="970"/>
      <c r="D156" s="955" t="s">
        <v>727</v>
      </c>
      <c r="E156" s="956"/>
      <c r="F156" s="957"/>
      <c r="G156" s="419"/>
      <c r="H156" s="419"/>
      <c r="I156" s="417"/>
      <c r="J156" s="417"/>
      <c r="K156" s="420"/>
      <c r="L156" s="387"/>
    </row>
    <row r="157" spans="1:12" s="388" customFormat="1" ht="15" customHeight="1">
      <c r="B157" s="403"/>
      <c r="C157" s="970"/>
      <c r="D157" s="955" t="s">
        <v>728</v>
      </c>
      <c r="E157" s="956"/>
      <c r="F157" s="957"/>
      <c r="G157" s="417">
        <f>SUM(G158:G160)</f>
        <v>0</v>
      </c>
      <c r="H157" s="417">
        <f>SUM(H158:H160)</f>
        <v>0</v>
      </c>
      <c r="I157" s="417">
        <f>SUM(I158:I160)</f>
        <v>0</v>
      </c>
      <c r="J157" s="417">
        <f>SUM(J158:J160)</f>
        <v>0</v>
      </c>
      <c r="K157" s="418">
        <f>SUM(K158:K160)</f>
        <v>0</v>
      </c>
      <c r="L157" s="387"/>
    </row>
    <row r="158" spans="1:12" s="413" customFormat="1" ht="15" customHeight="1" outlineLevel="1">
      <c r="B158" s="407"/>
      <c r="C158" s="970"/>
      <c r="D158" s="434"/>
      <c r="E158" s="997" t="s">
        <v>808</v>
      </c>
      <c r="F158" s="998"/>
      <c r="G158" s="437"/>
      <c r="H158" s="410"/>
      <c r="I158" s="410"/>
      <c r="J158" s="410"/>
      <c r="K158" s="411"/>
      <c r="L158" s="412"/>
    </row>
    <row r="159" spans="1:12" s="413" customFormat="1" ht="15" customHeight="1" outlineLevel="1">
      <c r="B159" s="407"/>
      <c r="C159" s="970"/>
      <c r="D159" s="428"/>
      <c r="E159" s="991" t="s">
        <v>729</v>
      </c>
      <c r="F159" s="992"/>
      <c r="G159" s="438"/>
      <c r="H159" s="415"/>
      <c r="I159" s="415"/>
      <c r="J159" s="415"/>
      <c r="K159" s="416"/>
      <c r="L159" s="412"/>
    </row>
    <row r="160" spans="1:12" s="413" customFormat="1" ht="15" customHeight="1" outlineLevel="1" thickBot="1">
      <c r="B160" s="407"/>
      <c r="C160" s="988"/>
      <c r="D160" s="481"/>
      <c r="E160" s="999" t="s">
        <v>279</v>
      </c>
      <c r="F160" s="1000"/>
      <c r="G160" s="472"/>
      <c r="H160" s="430"/>
      <c r="I160" s="430"/>
      <c r="J160" s="430"/>
      <c r="K160" s="431"/>
      <c r="L160" s="412"/>
    </row>
    <row r="161" spans="1:14" ht="16.5" customHeight="1" thickBot="1">
      <c r="A161" s="388"/>
      <c r="B161" s="379"/>
      <c r="C161" s="965" t="s">
        <v>730</v>
      </c>
      <c r="D161" s="966"/>
      <c r="E161" s="966"/>
      <c r="F161" s="966" t="s">
        <v>731</v>
      </c>
      <c r="G161" s="423">
        <f>G143+G151+G156+G157</f>
        <v>0</v>
      </c>
      <c r="H161" s="423">
        <f>H143+H151+H156+H157</f>
        <v>0</v>
      </c>
      <c r="I161" s="423">
        <f>I143+I151+I156+I157</f>
        <v>0</v>
      </c>
      <c r="J161" s="423">
        <f>SUM(J143,J151,J156,J157)</f>
        <v>0</v>
      </c>
      <c r="K161" s="424">
        <f>SUM(K143,K151,K156,K157)</f>
        <v>0</v>
      </c>
      <c r="L161" s="378"/>
    </row>
    <row r="162" spans="1:14" ht="16.5" customHeight="1" thickBot="1">
      <c r="A162" s="388"/>
      <c r="B162" s="379"/>
      <c r="C162" s="961" t="s">
        <v>731</v>
      </c>
      <c r="D162" s="962"/>
      <c r="E162" s="962"/>
      <c r="F162" s="962"/>
      <c r="G162" s="482">
        <f>G118+G140+G161</f>
        <v>0</v>
      </c>
      <c r="H162" s="482">
        <f>H118+H140+H161</f>
        <v>0</v>
      </c>
      <c r="I162" s="482">
        <f>I118+I140+I161</f>
        <v>0</v>
      </c>
      <c r="J162" s="482">
        <f>J118+J140+J161</f>
        <v>0</v>
      </c>
      <c r="K162" s="483">
        <f>K118+K140+K161</f>
        <v>0</v>
      </c>
      <c r="L162" s="378"/>
    </row>
    <row r="163" spans="1:14" ht="16.5" customHeight="1" thickBot="1">
      <c r="B163" s="379"/>
      <c r="C163" s="967"/>
      <c r="D163" s="968"/>
      <c r="E163" s="968"/>
      <c r="F163" s="968"/>
      <c r="G163" s="968"/>
      <c r="H163" s="968"/>
      <c r="I163" s="968"/>
      <c r="J163" s="968"/>
      <c r="K163" s="969"/>
      <c r="L163" s="378"/>
    </row>
    <row r="164" spans="1:14" ht="18.75" thickBot="1">
      <c r="B164" s="379"/>
      <c r="C164" s="983" t="s">
        <v>732</v>
      </c>
      <c r="D164" s="984"/>
      <c r="E164" s="984"/>
      <c r="F164" s="984" t="s">
        <v>732</v>
      </c>
      <c r="G164" s="984"/>
      <c r="H164" s="984"/>
      <c r="I164" s="984"/>
      <c r="J164" s="984"/>
      <c r="K164" s="985"/>
      <c r="L164" s="378"/>
      <c r="M164" s="415"/>
      <c r="N164" s="415"/>
    </row>
    <row r="165" spans="1:14" ht="16.5" customHeight="1">
      <c r="B165" s="379"/>
      <c r="C165" s="986" t="s">
        <v>733</v>
      </c>
      <c r="D165" s="987"/>
      <c r="E165" s="987"/>
      <c r="F165" s="987"/>
      <c r="G165" s="484"/>
      <c r="H165" s="485"/>
      <c r="I165" s="485"/>
      <c r="J165" s="485"/>
      <c r="K165" s="486"/>
      <c r="L165" s="378"/>
    </row>
    <row r="166" spans="1:14" s="388" customFormat="1" ht="15" customHeight="1">
      <c r="A166" s="371"/>
      <c r="B166" s="403"/>
      <c r="C166" s="970"/>
      <c r="D166" s="955" t="s">
        <v>734</v>
      </c>
      <c r="E166" s="956"/>
      <c r="F166" s="957"/>
      <c r="G166" s="417">
        <f>G167-G171+G172-G173+G174+G175</f>
        <v>0</v>
      </c>
      <c r="H166" s="417">
        <f>H167-H171+H172-H173+H174+H175</f>
        <v>0</v>
      </c>
      <c r="I166" s="417">
        <f>I167-I171+I172-I173+I174+I175</f>
        <v>0</v>
      </c>
      <c r="J166" s="417">
        <f>J167-J171+J172-J173+J174+J175</f>
        <v>0</v>
      </c>
      <c r="K166" s="418">
        <f>K167-K171+K172-K173+K174+K175</f>
        <v>0</v>
      </c>
      <c r="L166" s="387"/>
    </row>
    <row r="167" spans="1:14" s="388" customFormat="1" ht="12.75" outlineLevel="1">
      <c r="B167" s="403"/>
      <c r="C167" s="970"/>
      <c r="D167" s="404"/>
      <c r="E167" s="989" t="s">
        <v>735</v>
      </c>
      <c r="F167" s="990"/>
      <c r="G167" s="405">
        <f>SUM(G168:G170)</f>
        <v>0</v>
      </c>
      <c r="H167" s="405">
        <f>SUM(H168:H170)</f>
        <v>0</v>
      </c>
      <c r="I167" s="405">
        <f>SUM(I168:I170)</f>
        <v>0</v>
      </c>
      <c r="J167" s="405">
        <f>SUM(J168:J170)</f>
        <v>0</v>
      </c>
      <c r="K167" s="406">
        <f>SUM(K168:K170)</f>
        <v>0</v>
      </c>
      <c r="L167" s="387"/>
    </row>
    <row r="168" spans="1:14" s="413" customFormat="1" ht="13.5" customHeight="1" outlineLevel="1">
      <c r="B168" s="407"/>
      <c r="C168" s="970"/>
      <c r="E168" s="434"/>
      <c r="F168" s="409" t="s">
        <v>736</v>
      </c>
      <c r="G168" s="437"/>
      <c r="H168" s="410"/>
      <c r="I168" s="471"/>
      <c r="J168" s="471"/>
      <c r="K168" s="411"/>
      <c r="L168" s="412"/>
    </row>
    <row r="169" spans="1:14" s="413" customFormat="1" ht="13.5" customHeight="1" outlineLevel="1">
      <c r="B169" s="407"/>
      <c r="C169" s="970"/>
      <c r="E169" s="428"/>
      <c r="F169" s="414" t="s">
        <v>737</v>
      </c>
      <c r="G169" s="415"/>
      <c r="H169" s="415"/>
      <c r="I169" s="415"/>
      <c r="J169" s="415"/>
      <c r="K169" s="416"/>
      <c r="L169" s="412"/>
    </row>
    <row r="170" spans="1:14" s="413" customFormat="1" ht="13.5" customHeight="1" outlineLevel="1">
      <c r="B170" s="407"/>
      <c r="C170" s="970"/>
      <c r="E170" s="428"/>
      <c r="F170" s="414" t="s">
        <v>638</v>
      </c>
      <c r="G170" s="415"/>
      <c r="H170" s="415"/>
      <c r="I170" s="487"/>
      <c r="J170" s="487"/>
      <c r="K170" s="416"/>
      <c r="L170" s="412"/>
    </row>
    <row r="171" spans="1:14" s="413" customFormat="1" ht="15" customHeight="1" outlineLevel="1">
      <c r="B171" s="407"/>
      <c r="C171" s="970"/>
      <c r="E171" s="991" t="s">
        <v>738</v>
      </c>
      <c r="F171" s="992"/>
      <c r="G171" s="438"/>
      <c r="H171" s="415"/>
      <c r="I171" s="415"/>
      <c r="J171" s="415"/>
      <c r="K171" s="416"/>
      <c r="L171" s="412"/>
    </row>
    <row r="172" spans="1:14" s="413" customFormat="1" ht="13.5" customHeight="1" outlineLevel="1">
      <c r="B172" s="407"/>
      <c r="C172" s="970"/>
      <c r="E172" s="991" t="s">
        <v>739</v>
      </c>
      <c r="F172" s="992"/>
      <c r="G172" s="415"/>
      <c r="H172" s="415"/>
      <c r="I172" s="415"/>
      <c r="J172" s="415"/>
      <c r="K172" s="416"/>
      <c r="L172" s="412"/>
    </row>
    <row r="173" spans="1:14" s="413" customFormat="1" ht="13.5" customHeight="1" outlineLevel="1">
      <c r="B173" s="407"/>
      <c r="C173" s="970"/>
      <c r="E173" s="991" t="s">
        <v>738</v>
      </c>
      <c r="F173" s="992"/>
      <c r="G173" s="415"/>
      <c r="H173" s="415"/>
      <c r="I173" s="415"/>
      <c r="J173" s="415"/>
      <c r="K173" s="416"/>
      <c r="L173" s="412"/>
    </row>
    <row r="174" spans="1:14" s="413" customFormat="1" ht="13.5" customHeight="1" outlineLevel="1">
      <c r="B174" s="407"/>
      <c r="C174" s="970"/>
      <c r="E174" s="991" t="s">
        <v>740</v>
      </c>
      <c r="F174" s="992"/>
      <c r="G174" s="438"/>
      <c r="H174" s="415"/>
      <c r="I174" s="415"/>
      <c r="J174" s="415"/>
      <c r="K174" s="416"/>
      <c r="L174" s="412"/>
    </row>
    <row r="175" spans="1:14" s="413" customFormat="1" ht="13.5" customHeight="1" outlineLevel="1">
      <c r="B175" s="407"/>
      <c r="C175" s="970"/>
      <c r="E175" s="991" t="s">
        <v>741</v>
      </c>
      <c r="F175" s="992"/>
      <c r="G175" s="438"/>
      <c r="H175" s="415"/>
      <c r="I175" s="415"/>
      <c r="J175" s="415"/>
      <c r="K175" s="416"/>
      <c r="L175" s="412"/>
    </row>
    <row r="176" spans="1:14" s="388" customFormat="1" ht="15" customHeight="1">
      <c r="A176" s="413"/>
      <c r="B176" s="403"/>
      <c r="C176" s="970"/>
      <c r="D176" s="955" t="s">
        <v>742</v>
      </c>
      <c r="E176" s="956"/>
      <c r="F176" s="957"/>
      <c r="G176" s="417">
        <f>SUM(G177:G180)</f>
        <v>0</v>
      </c>
      <c r="H176" s="417">
        <f>SUM(H177:H180)</f>
        <v>0</v>
      </c>
      <c r="I176" s="417">
        <f>SUM(I177:I180)</f>
        <v>0</v>
      </c>
      <c r="J176" s="417">
        <f>SUM(J177:J180)</f>
        <v>0</v>
      </c>
      <c r="K176" s="418">
        <f>SUM(K177:K180)</f>
        <v>0</v>
      </c>
      <c r="L176" s="387"/>
    </row>
    <row r="177" spans="1:12" s="413" customFormat="1" ht="13.5" customHeight="1" outlineLevel="1">
      <c r="B177" s="407"/>
      <c r="C177" s="970"/>
      <c r="D177" s="408"/>
      <c r="E177" s="973" t="s">
        <v>743</v>
      </c>
      <c r="F177" s="974"/>
      <c r="G177" s="410"/>
      <c r="H177" s="410"/>
      <c r="I177" s="410"/>
      <c r="J177" s="410"/>
      <c r="K177" s="411"/>
      <c r="L177" s="412"/>
    </row>
    <row r="178" spans="1:12" s="413" customFormat="1" ht="13.5" customHeight="1" outlineLevel="1">
      <c r="B178" s="407"/>
      <c r="C178" s="970"/>
      <c r="E178" s="975" t="s">
        <v>744</v>
      </c>
      <c r="F178" s="976"/>
      <c r="G178" s="415"/>
      <c r="H178" s="415"/>
      <c r="I178" s="415"/>
      <c r="J178" s="415"/>
      <c r="K178" s="416"/>
      <c r="L178" s="412"/>
    </row>
    <row r="179" spans="1:12" s="413" customFormat="1" ht="13.5" customHeight="1" outlineLevel="1">
      <c r="B179" s="407"/>
      <c r="C179" s="970"/>
      <c r="E179" s="975" t="s">
        <v>745</v>
      </c>
      <c r="F179" s="976"/>
      <c r="G179" s="415"/>
      <c r="H179" s="415"/>
      <c r="I179" s="415"/>
      <c r="J179" s="415"/>
      <c r="K179" s="416"/>
      <c r="L179" s="412"/>
    </row>
    <row r="180" spans="1:12" s="413" customFormat="1" ht="13.5" customHeight="1" outlineLevel="1">
      <c r="B180" s="407"/>
      <c r="C180" s="970"/>
      <c r="E180" s="975" t="s">
        <v>746</v>
      </c>
      <c r="F180" s="976"/>
      <c r="G180" s="415"/>
      <c r="H180" s="415"/>
      <c r="I180" s="415"/>
      <c r="J180" s="415"/>
      <c r="K180" s="416"/>
      <c r="L180" s="412"/>
    </row>
    <row r="181" spans="1:12" s="388" customFormat="1" ht="15" customHeight="1">
      <c r="A181" s="413"/>
      <c r="B181" s="403"/>
      <c r="C181" s="970"/>
      <c r="D181" s="955" t="s">
        <v>747</v>
      </c>
      <c r="E181" s="956"/>
      <c r="F181" s="957"/>
      <c r="G181" s="417">
        <f>SUM(G182,G186)</f>
        <v>0</v>
      </c>
      <c r="H181" s="417">
        <f>SUM(H182,H186)</f>
        <v>0</v>
      </c>
      <c r="I181" s="417">
        <f>SUM(I182,I186)</f>
        <v>0</v>
      </c>
      <c r="J181" s="417">
        <f>SUM(J182,J186)</f>
        <v>0</v>
      </c>
      <c r="K181" s="418">
        <f>SUM(K182,K186)</f>
        <v>0</v>
      </c>
      <c r="L181" s="387"/>
    </row>
    <row r="182" spans="1:12" s="413" customFormat="1" ht="13.5" customHeight="1" outlineLevel="1">
      <c r="B182" s="407"/>
      <c r="C182" s="970"/>
      <c r="D182" s="408"/>
      <c r="E182" s="951" t="s">
        <v>716</v>
      </c>
      <c r="F182" s="952"/>
      <c r="G182" s="488">
        <f>SUM(G183:G185)</f>
        <v>0</v>
      </c>
      <c r="H182" s="488">
        <f>SUM(H183:H185)</f>
        <v>0</v>
      </c>
      <c r="I182" s="488">
        <f>SUM(I183:I185)</f>
        <v>0</v>
      </c>
      <c r="J182" s="488">
        <f>SUM(J183:J185)</f>
        <v>0</v>
      </c>
      <c r="K182" s="489">
        <f>SUM(K183:K185)</f>
        <v>0</v>
      </c>
      <c r="L182" s="412"/>
    </row>
    <row r="183" spans="1:12" s="413" customFormat="1" ht="13.5" customHeight="1" outlineLevel="1">
      <c r="B183" s="407"/>
      <c r="C183" s="970"/>
      <c r="E183" s="490"/>
      <c r="F183" s="491" t="s">
        <v>748</v>
      </c>
      <c r="G183" s="488"/>
      <c r="H183" s="488"/>
      <c r="I183" s="488"/>
      <c r="J183" s="488"/>
      <c r="K183" s="489"/>
      <c r="L183" s="412"/>
    </row>
    <row r="184" spans="1:12" s="413" customFormat="1" ht="13.5" customHeight="1" outlineLevel="1">
      <c r="B184" s="407"/>
      <c r="C184" s="970"/>
      <c r="E184" s="492"/>
      <c r="F184" s="493" t="s">
        <v>749</v>
      </c>
      <c r="G184" s="494"/>
      <c r="H184" s="494"/>
      <c r="I184" s="494"/>
      <c r="J184" s="494"/>
      <c r="K184" s="495"/>
      <c r="L184" s="412"/>
    </row>
    <row r="185" spans="1:12" s="413" customFormat="1" ht="13.5" customHeight="1" outlineLevel="1">
      <c r="B185" s="407"/>
      <c r="C185" s="970"/>
      <c r="E185" s="492"/>
      <c r="F185" s="493" t="s">
        <v>750</v>
      </c>
      <c r="G185" s="494"/>
      <c r="H185" s="494"/>
      <c r="I185" s="494"/>
      <c r="J185" s="494"/>
      <c r="K185" s="495"/>
      <c r="L185" s="412"/>
    </row>
    <row r="186" spans="1:12" s="413" customFormat="1" ht="13.5" customHeight="1" outlineLevel="1">
      <c r="B186" s="407"/>
      <c r="C186" s="970"/>
      <c r="E186" s="953" t="s">
        <v>279</v>
      </c>
      <c r="F186" s="954"/>
      <c r="G186" s="415"/>
      <c r="H186" s="415"/>
      <c r="I186" s="415"/>
      <c r="J186" s="415"/>
      <c r="K186" s="416"/>
      <c r="L186" s="412"/>
    </row>
    <row r="187" spans="1:12" s="388" customFormat="1" ht="15" customHeight="1">
      <c r="A187" s="413"/>
      <c r="B187" s="403"/>
      <c r="C187" s="970"/>
      <c r="D187" s="955" t="s">
        <v>45</v>
      </c>
      <c r="E187" s="956"/>
      <c r="F187" s="957"/>
      <c r="G187" s="496"/>
      <c r="H187" s="496"/>
      <c r="I187" s="496"/>
      <c r="J187" s="496"/>
      <c r="K187" s="497"/>
      <c r="L187" s="387"/>
    </row>
    <row r="188" spans="1:12" s="388" customFormat="1" ht="15" customHeight="1">
      <c r="A188" s="413"/>
      <c r="B188" s="403"/>
      <c r="C188" s="970"/>
      <c r="D188" s="955" t="s">
        <v>751</v>
      </c>
      <c r="E188" s="956"/>
      <c r="F188" s="957"/>
      <c r="G188" s="496">
        <f>SUM(G189:G191)</f>
        <v>0</v>
      </c>
      <c r="H188" s="496">
        <f>SUM(H189:H191)</f>
        <v>0</v>
      </c>
      <c r="I188" s="496">
        <f>SUM(I189:I191)</f>
        <v>0</v>
      </c>
      <c r="J188" s="496">
        <f>SUM(J189:J191)</f>
        <v>0</v>
      </c>
      <c r="K188" s="497">
        <f>SUM(K189:K191)</f>
        <v>0</v>
      </c>
      <c r="L188" s="387"/>
    </row>
    <row r="189" spans="1:12" s="413" customFormat="1" ht="15" customHeight="1" outlineLevel="1">
      <c r="B189" s="407"/>
      <c r="C189" s="970"/>
      <c r="D189" s="490"/>
      <c r="E189" s="993" t="s">
        <v>752</v>
      </c>
      <c r="F189" s="994"/>
      <c r="G189" s="498"/>
      <c r="H189" s="498"/>
      <c r="I189" s="498"/>
      <c r="J189" s="498"/>
      <c r="K189" s="499"/>
      <c r="L189" s="412"/>
    </row>
    <row r="190" spans="1:12" s="413" customFormat="1" ht="15" customHeight="1" outlineLevel="1">
      <c r="B190" s="407"/>
      <c r="C190" s="970"/>
      <c r="D190" s="492"/>
      <c r="E190" s="977" t="s">
        <v>753</v>
      </c>
      <c r="F190" s="978"/>
      <c r="G190" s="500"/>
      <c r="H190" s="500"/>
      <c r="I190" s="500"/>
      <c r="J190" s="500"/>
      <c r="K190" s="501"/>
      <c r="L190" s="412"/>
    </row>
    <row r="191" spans="1:12" s="413" customFormat="1" ht="15" customHeight="1" outlineLevel="1" thickBot="1">
      <c r="B191" s="407"/>
      <c r="C191" s="988"/>
      <c r="D191" s="502"/>
      <c r="E191" s="995" t="s">
        <v>279</v>
      </c>
      <c r="F191" s="996"/>
      <c r="G191" s="503"/>
      <c r="H191" s="504"/>
      <c r="I191" s="504"/>
      <c r="J191" s="504"/>
      <c r="K191" s="422"/>
      <c r="L191" s="412"/>
    </row>
    <row r="192" spans="1:12" ht="16.5" customHeight="1" thickBot="1">
      <c r="A192" s="388"/>
      <c r="B192" s="379"/>
      <c r="C192" s="965" t="s">
        <v>754</v>
      </c>
      <c r="D192" s="966"/>
      <c r="E192" s="966"/>
      <c r="F192" s="966" t="s">
        <v>755</v>
      </c>
      <c r="G192" s="423">
        <f>SUM(G166,G176,G181,G187,G188)</f>
        <v>0</v>
      </c>
      <c r="H192" s="423">
        <f>SUM(H166,H176,H181,H187,H188)</f>
        <v>0</v>
      </c>
      <c r="I192" s="423">
        <f>SUM(I166,I176,I181,I187,I188)</f>
        <v>0</v>
      </c>
      <c r="J192" s="423">
        <f>SUM(J166,J176,J181,J187,J188)</f>
        <v>0</v>
      </c>
      <c r="K192" s="424">
        <f>SUM(K166,K176,K181,K187,K188)</f>
        <v>0</v>
      </c>
      <c r="L192" s="378"/>
    </row>
    <row r="193" spans="1:12" ht="7.5" customHeight="1">
      <c r="B193" s="379"/>
      <c r="C193" s="967"/>
      <c r="D193" s="968"/>
      <c r="E193" s="968"/>
      <c r="F193" s="968"/>
      <c r="G193" s="968"/>
      <c r="H193" s="968"/>
      <c r="I193" s="968"/>
      <c r="J193" s="968"/>
      <c r="K193" s="969"/>
      <c r="L193" s="378"/>
    </row>
    <row r="194" spans="1:12" ht="16.5" customHeight="1">
      <c r="B194" s="379"/>
      <c r="C194" s="970" t="s">
        <v>44</v>
      </c>
      <c r="D194" s="971"/>
      <c r="E194" s="971"/>
      <c r="F194" s="971"/>
      <c r="G194" s="467"/>
      <c r="H194" s="468"/>
      <c r="I194" s="468"/>
      <c r="J194" s="468"/>
      <c r="K194" s="469"/>
      <c r="L194" s="378"/>
    </row>
    <row r="195" spans="1:12" s="388" customFormat="1" ht="15" customHeight="1">
      <c r="A195" s="371"/>
      <c r="B195" s="403"/>
      <c r="C195" s="933"/>
      <c r="D195" s="955" t="s">
        <v>756</v>
      </c>
      <c r="E195" s="956"/>
      <c r="F195" s="957"/>
      <c r="G195" s="417">
        <f>SUM(G196,G199,G200,G201)</f>
        <v>0</v>
      </c>
      <c r="H195" s="417">
        <f t="shared" ref="H195:K195" si="2">SUM(H196,H199,H200,H201)</f>
        <v>0</v>
      </c>
      <c r="I195" s="417">
        <f t="shared" si="2"/>
        <v>0</v>
      </c>
      <c r="J195" s="417">
        <f t="shared" si="2"/>
        <v>0</v>
      </c>
      <c r="K195" s="418">
        <f t="shared" si="2"/>
        <v>0</v>
      </c>
      <c r="L195" s="387"/>
    </row>
    <row r="196" spans="1:12" s="413" customFormat="1" ht="13.5" customHeight="1" outlineLevel="1">
      <c r="B196" s="407"/>
      <c r="C196" s="933"/>
      <c r="D196" s="408"/>
      <c r="E196" s="973" t="s">
        <v>743</v>
      </c>
      <c r="F196" s="974"/>
      <c r="G196" s="410">
        <f>SUM(G197:G198)</f>
        <v>0</v>
      </c>
      <c r="H196" s="410">
        <f>SUM(H197:H198)</f>
        <v>0</v>
      </c>
      <c r="I196" s="410">
        <f>SUM(I197:I198)</f>
        <v>0</v>
      </c>
      <c r="J196" s="410">
        <f>SUM(J197:J198)</f>
        <v>0</v>
      </c>
      <c r="K196" s="411">
        <f>SUM(K197:K198)</f>
        <v>0</v>
      </c>
      <c r="L196" s="412"/>
    </row>
    <row r="197" spans="1:12" s="413" customFormat="1" ht="13.5" customHeight="1" outlineLevel="2">
      <c r="B197" s="407"/>
      <c r="C197" s="933"/>
      <c r="E197" s="505"/>
      <c r="F197" s="506" t="s">
        <v>757</v>
      </c>
      <c r="G197" s="410"/>
      <c r="H197" s="410"/>
      <c r="I197" s="410"/>
      <c r="J197" s="410"/>
      <c r="K197" s="411"/>
      <c r="L197" s="412"/>
    </row>
    <row r="198" spans="1:12" s="413" customFormat="1" ht="13.5" customHeight="1" outlineLevel="2">
      <c r="B198" s="407"/>
      <c r="C198" s="933"/>
      <c r="E198" s="507"/>
      <c r="F198" s="508" t="s">
        <v>758</v>
      </c>
      <c r="G198" s="415"/>
      <c r="H198" s="415"/>
      <c r="I198" s="415"/>
      <c r="J198" s="415"/>
      <c r="K198" s="416"/>
      <c r="L198" s="412"/>
    </row>
    <row r="199" spans="1:12" s="413" customFormat="1" ht="13.5" customHeight="1" outlineLevel="1">
      <c r="B199" s="407"/>
      <c r="C199" s="933"/>
      <c r="E199" s="975" t="s">
        <v>744</v>
      </c>
      <c r="F199" s="976"/>
      <c r="G199" s="415"/>
      <c r="H199" s="415"/>
      <c r="I199" s="415"/>
      <c r="J199" s="415"/>
      <c r="K199" s="416"/>
      <c r="L199" s="412"/>
    </row>
    <row r="200" spans="1:12" s="413" customFormat="1" ht="13.5" customHeight="1" outlineLevel="1">
      <c r="B200" s="407"/>
      <c r="C200" s="933"/>
      <c r="E200" s="975" t="s">
        <v>745</v>
      </c>
      <c r="F200" s="976"/>
      <c r="G200" s="415"/>
      <c r="H200" s="415"/>
      <c r="I200" s="415"/>
      <c r="J200" s="415"/>
      <c r="K200" s="416"/>
      <c r="L200" s="412"/>
    </row>
    <row r="201" spans="1:12" s="413" customFormat="1" ht="13.5" customHeight="1" outlineLevel="1">
      <c r="B201" s="407"/>
      <c r="C201" s="933"/>
      <c r="E201" s="975" t="s">
        <v>746</v>
      </c>
      <c r="F201" s="976"/>
      <c r="G201" s="415"/>
      <c r="H201" s="415"/>
      <c r="I201" s="415"/>
      <c r="J201" s="415"/>
      <c r="K201" s="416"/>
      <c r="L201" s="412"/>
    </row>
    <row r="202" spans="1:12" s="388" customFormat="1" ht="15" customHeight="1">
      <c r="A202" s="413"/>
      <c r="B202" s="403"/>
      <c r="C202" s="933"/>
      <c r="D202" s="955" t="s">
        <v>759</v>
      </c>
      <c r="E202" s="956"/>
      <c r="F202" s="957"/>
      <c r="G202" s="496">
        <f>SUM(G203:G206)</f>
        <v>0</v>
      </c>
      <c r="H202" s="496">
        <f>SUM(H203:H206)</f>
        <v>0</v>
      </c>
      <c r="I202" s="496">
        <f>SUM(I203:I206)</f>
        <v>0</v>
      </c>
      <c r="J202" s="496">
        <f>SUM(J203:J206)</f>
        <v>0</v>
      </c>
      <c r="K202" s="497">
        <f>SUM(K203:K206)</f>
        <v>0</v>
      </c>
      <c r="L202" s="387"/>
    </row>
    <row r="203" spans="1:12" s="413" customFormat="1" ht="15" customHeight="1" outlineLevel="1">
      <c r="B203" s="407"/>
      <c r="C203" s="933"/>
      <c r="D203" s="490"/>
      <c r="E203" s="979" t="s">
        <v>760</v>
      </c>
      <c r="F203" s="980"/>
      <c r="G203" s="498"/>
      <c r="H203" s="498"/>
      <c r="I203" s="498"/>
      <c r="J203" s="498"/>
      <c r="K203" s="499"/>
      <c r="L203" s="412"/>
    </row>
    <row r="204" spans="1:12" s="413" customFormat="1" ht="15" customHeight="1" outlineLevel="1">
      <c r="B204" s="407"/>
      <c r="C204" s="933"/>
      <c r="D204" s="492"/>
      <c r="E204" s="981" t="s">
        <v>761</v>
      </c>
      <c r="F204" s="982"/>
      <c r="G204" s="500"/>
      <c r="H204" s="500"/>
      <c r="I204" s="500"/>
      <c r="J204" s="500"/>
      <c r="K204" s="501"/>
      <c r="L204" s="412"/>
    </row>
    <row r="205" spans="1:12" s="413" customFormat="1" ht="15" customHeight="1" outlineLevel="1">
      <c r="B205" s="407"/>
      <c r="C205" s="933"/>
      <c r="D205" s="492"/>
      <c r="E205" s="981" t="s">
        <v>762</v>
      </c>
      <c r="F205" s="982"/>
      <c r="G205" s="500"/>
      <c r="H205" s="500"/>
      <c r="I205" s="500"/>
      <c r="J205" s="500"/>
      <c r="K205" s="501"/>
      <c r="L205" s="412"/>
    </row>
    <row r="206" spans="1:12" s="413" customFormat="1" ht="15" customHeight="1" outlineLevel="1">
      <c r="B206" s="407"/>
      <c r="C206" s="933"/>
      <c r="D206" s="492"/>
      <c r="E206" s="981" t="s">
        <v>763</v>
      </c>
      <c r="F206" s="982"/>
      <c r="G206" s="500"/>
      <c r="H206" s="500"/>
      <c r="I206" s="500"/>
      <c r="J206" s="500"/>
      <c r="K206" s="501"/>
      <c r="L206" s="412"/>
    </row>
    <row r="207" spans="1:12" s="388" customFormat="1" ht="15" customHeight="1">
      <c r="B207" s="403"/>
      <c r="C207" s="933"/>
      <c r="D207" s="955" t="s">
        <v>764</v>
      </c>
      <c r="E207" s="956"/>
      <c r="F207" s="957"/>
      <c r="G207" s="417">
        <f>SUM(G208:G210)-G211</f>
        <v>0</v>
      </c>
      <c r="H207" s="417">
        <f t="shared" ref="H207:K207" si="3">SUM(H208:H210)-H211</f>
        <v>0</v>
      </c>
      <c r="I207" s="417">
        <f t="shared" si="3"/>
        <v>0</v>
      </c>
      <c r="J207" s="417">
        <f t="shared" si="3"/>
        <v>0</v>
      </c>
      <c r="K207" s="418">
        <f t="shared" si="3"/>
        <v>0</v>
      </c>
      <c r="L207" s="387"/>
    </row>
    <row r="208" spans="1:12" s="413" customFormat="1" ht="13.5" customHeight="1" outlineLevel="1">
      <c r="B208" s="407"/>
      <c r="C208" s="933"/>
      <c r="D208" s="408"/>
      <c r="E208" s="951" t="s">
        <v>765</v>
      </c>
      <c r="F208" s="952"/>
      <c r="G208" s="498"/>
      <c r="H208" s="498"/>
      <c r="I208" s="498"/>
      <c r="J208" s="498"/>
      <c r="K208" s="499"/>
      <c r="L208" s="412"/>
    </row>
    <row r="209" spans="1:12" s="413" customFormat="1" ht="13.5" customHeight="1" outlineLevel="1">
      <c r="B209" s="407"/>
      <c r="C209" s="933"/>
      <c r="E209" s="953" t="s">
        <v>766</v>
      </c>
      <c r="F209" s="954"/>
      <c r="G209" s="500"/>
      <c r="H209" s="500"/>
      <c r="I209" s="500"/>
      <c r="J209" s="500"/>
      <c r="K209" s="501"/>
      <c r="L209" s="412"/>
    </row>
    <row r="210" spans="1:12" s="413" customFormat="1" ht="13.5" hidden="1" customHeight="1" outlineLevel="1">
      <c r="B210" s="407"/>
      <c r="C210" s="933"/>
      <c r="E210" s="953" t="s">
        <v>716</v>
      </c>
      <c r="F210" s="954"/>
      <c r="G210" s="500"/>
      <c r="H210" s="500"/>
      <c r="I210" s="500"/>
      <c r="J210" s="500"/>
      <c r="K210" s="501"/>
      <c r="L210" s="412"/>
    </row>
    <row r="211" spans="1:12" s="413" customFormat="1" ht="13.5" hidden="1" customHeight="1" outlineLevel="1">
      <c r="B211" s="407"/>
      <c r="C211" s="933"/>
      <c r="E211" s="977" t="s">
        <v>767</v>
      </c>
      <c r="F211" s="978"/>
      <c r="G211" s="500"/>
      <c r="H211" s="500"/>
      <c r="I211" s="500"/>
      <c r="J211" s="500"/>
      <c r="K211" s="501"/>
      <c r="L211" s="412"/>
    </row>
    <row r="212" spans="1:12" s="388" customFormat="1" ht="15" customHeight="1">
      <c r="A212" s="413"/>
      <c r="B212" s="403"/>
      <c r="C212" s="933"/>
      <c r="D212" s="955" t="s">
        <v>768</v>
      </c>
      <c r="E212" s="956"/>
      <c r="F212" s="957"/>
      <c r="G212" s="496"/>
      <c r="H212" s="496"/>
      <c r="I212" s="496"/>
      <c r="J212" s="496"/>
      <c r="K212" s="497"/>
      <c r="L212" s="387"/>
    </row>
    <row r="213" spans="1:12" s="388" customFormat="1" ht="15" customHeight="1">
      <c r="B213" s="403"/>
      <c r="C213" s="933"/>
      <c r="D213" s="955" t="s">
        <v>769</v>
      </c>
      <c r="E213" s="956"/>
      <c r="F213" s="957"/>
      <c r="G213" s="417">
        <f>SUM(G214,G218)</f>
        <v>0</v>
      </c>
      <c r="H213" s="417">
        <f>SUM(H214,H218)</f>
        <v>0</v>
      </c>
      <c r="I213" s="417">
        <f>SUM(I214,I218)</f>
        <v>0</v>
      </c>
      <c r="J213" s="417">
        <f>SUM(J214,J218)</f>
        <v>0</v>
      </c>
      <c r="K213" s="418">
        <f>SUM(K214,K218)</f>
        <v>0</v>
      </c>
      <c r="L213" s="387"/>
    </row>
    <row r="214" spans="1:12" s="413" customFormat="1" ht="13.5" customHeight="1" outlineLevel="1">
      <c r="A214" s="388"/>
      <c r="B214" s="407"/>
      <c r="C214" s="933"/>
      <c r="D214" s="408"/>
      <c r="E214" s="951" t="s">
        <v>716</v>
      </c>
      <c r="F214" s="952"/>
      <c r="G214" s="509">
        <f>SUM(G215:G217)</f>
        <v>0</v>
      </c>
      <c r="H214" s="509">
        <f>SUM(H215:H217)</f>
        <v>0</v>
      </c>
      <c r="I214" s="509">
        <f>SUM(I215:I217)</f>
        <v>0</v>
      </c>
      <c r="J214" s="509">
        <f>SUM(J215:J217)</f>
        <v>0</v>
      </c>
      <c r="K214" s="510">
        <f>SUM(K215:K217)</f>
        <v>0</v>
      </c>
      <c r="L214" s="412"/>
    </row>
    <row r="215" spans="1:12" s="413" customFormat="1" ht="13.5" customHeight="1" outlineLevel="1">
      <c r="A215" s="388"/>
      <c r="B215" s="407"/>
      <c r="C215" s="933"/>
      <c r="E215" s="490"/>
      <c r="F215" s="491" t="s">
        <v>748</v>
      </c>
      <c r="G215" s="509"/>
      <c r="H215" s="509"/>
      <c r="I215" s="509"/>
      <c r="J215" s="509"/>
      <c r="K215" s="510"/>
      <c r="L215" s="412"/>
    </row>
    <row r="216" spans="1:12" s="413" customFormat="1" ht="13.5" customHeight="1" outlineLevel="1">
      <c r="A216" s="388"/>
      <c r="B216" s="407"/>
      <c r="C216" s="933"/>
      <c r="E216" s="492"/>
      <c r="F216" s="493" t="s">
        <v>749</v>
      </c>
      <c r="G216" s="511"/>
      <c r="H216" s="511"/>
      <c r="I216" s="511"/>
      <c r="J216" s="511"/>
      <c r="K216" s="512"/>
      <c r="L216" s="412"/>
    </row>
    <row r="217" spans="1:12" s="413" customFormat="1" ht="13.5" customHeight="1" outlineLevel="1">
      <c r="A217" s="388"/>
      <c r="B217" s="407"/>
      <c r="C217" s="933"/>
      <c r="E217" s="492"/>
      <c r="F217" s="493" t="s">
        <v>750</v>
      </c>
      <c r="G217" s="511"/>
      <c r="H217" s="511"/>
      <c r="I217" s="511"/>
      <c r="J217" s="511"/>
      <c r="K217" s="512"/>
      <c r="L217" s="412"/>
    </row>
    <row r="218" spans="1:12" s="413" customFormat="1" ht="13.5" customHeight="1" outlineLevel="1">
      <c r="B218" s="407"/>
      <c r="C218" s="933"/>
      <c r="E218" s="953" t="s">
        <v>279</v>
      </c>
      <c r="F218" s="954"/>
      <c r="G218" s="415"/>
      <c r="H218" s="415"/>
      <c r="I218" s="415"/>
      <c r="J218" s="415"/>
      <c r="K218" s="416"/>
      <c r="L218" s="412"/>
    </row>
    <row r="219" spans="1:12" s="388" customFormat="1" ht="15" customHeight="1" thickBot="1">
      <c r="A219" s="413"/>
      <c r="B219" s="403"/>
      <c r="C219" s="972"/>
      <c r="D219" s="955" t="s">
        <v>770</v>
      </c>
      <c r="E219" s="956"/>
      <c r="F219" s="957"/>
      <c r="G219" s="504"/>
      <c r="H219" s="504"/>
      <c r="I219" s="504"/>
      <c r="J219" s="504"/>
      <c r="K219" s="513"/>
      <c r="L219" s="387"/>
    </row>
    <row r="220" spans="1:12" ht="16.5" customHeight="1" thickBot="1">
      <c r="A220" s="388"/>
      <c r="B220" s="379"/>
      <c r="C220" s="958" t="s">
        <v>771</v>
      </c>
      <c r="D220" s="959"/>
      <c r="E220" s="959"/>
      <c r="F220" s="960" t="s">
        <v>755</v>
      </c>
      <c r="G220" s="423">
        <f>SUM(G195,G202,G207,G212:G213,G219)</f>
        <v>0</v>
      </c>
      <c r="H220" s="423">
        <f>SUM(H195,H202,H207,H212:H213,H219)</f>
        <v>0</v>
      </c>
      <c r="I220" s="423">
        <f>SUM(I195,I202,I207,I212:I213,I219)</f>
        <v>0</v>
      </c>
      <c r="J220" s="423">
        <f>SUM(J195,J202,J207,J212:J213,J219)</f>
        <v>0</v>
      </c>
      <c r="K220" s="424">
        <f>SUM(K195,K202,K207,K212:K213,K219)</f>
        <v>0</v>
      </c>
      <c r="L220" s="378"/>
    </row>
    <row r="221" spans="1:12" ht="16.5" customHeight="1" thickBot="1">
      <c r="A221" s="388"/>
      <c r="B221" s="379"/>
      <c r="C221" s="961" t="s">
        <v>772</v>
      </c>
      <c r="D221" s="962"/>
      <c r="E221" s="962"/>
      <c r="F221" s="962" t="s">
        <v>772</v>
      </c>
      <c r="G221" s="482">
        <f>SUM(G192,G220)</f>
        <v>0</v>
      </c>
      <c r="H221" s="482">
        <f>SUM(H192,H220)</f>
        <v>0</v>
      </c>
      <c r="I221" s="482">
        <f>SUM(I192,I220)</f>
        <v>0</v>
      </c>
      <c r="J221" s="482">
        <f>SUM(J192,J220)</f>
        <v>0</v>
      </c>
      <c r="K221" s="483">
        <f>SUM(K192,K220)</f>
        <v>0</v>
      </c>
      <c r="L221" s="378"/>
    </row>
    <row r="222" spans="1:12" ht="13.5" customHeight="1">
      <c r="B222" s="379"/>
      <c r="F222" s="514"/>
      <c r="G222" s="515"/>
      <c r="H222" s="516"/>
      <c r="I222" s="516"/>
      <c r="J222" s="516"/>
      <c r="K222" s="516"/>
      <c r="L222" s="378"/>
    </row>
    <row r="223" spans="1:12" s="413" customFormat="1" ht="15" customHeight="1">
      <c r="B223" s="407"/>
      <c r="C223" s="963" t="s">
        <v>773</v>
      </c>
      <c r="D223" s="964"/>
      <c r="E223" s="964"/>
      <c r="F223" s="964"/>
      <c r="G223" s="517">
        <f>G162-G221</f>
        <v>0</v>
      </c>
      <c r="H223" s="517">
        <f>H162-H221</f>
        <v>0</v>
      </c>
      <c r="I223" s="517">
        <f>I162-I221</f>
        <v>0</v>
      </c>
      <c r="J223" s="517">
        <f>J162-J221</f>
        <v>0</v>
      </c>
      <c r="K223" s="518">
        <f>K162-K221</f>
        <v>0</v>
      </c>
      <c r="L223" s="412"/>
    </row>
    <row r="224" spans="1:12" s="473" customFormat="1" ht="13.5" customHeight="1" thickBot="1">
      <c r="A224" s="388"/>
      <c r="B224" s="379"/>
      <c r="C224" s="371"/>
      <c r="D224" s="371"/>
      <c r="E224" s="371"/>
      <c r="F224" s="519"/>
      <c r="G224" s="520"/>
      <c r="H224" s="521"/>
      <c r="I224" s="521"/>
      <c r="J224" s="521"/>
      <c r="K224" s="521"/>
      <c r="L224" s="378"/>
    </row>
    <row r="225" spans="1:12" s="473" customFormat="1" ht="20.25" thickBot="1">
      <c r="A225" s="371"/>
      <c r="B225" s="379"/>
      <c r="C225" s="942" t="s">
        <v>774</v>
      </c>
      <c r="D225" s="943"/>
      <c r="E225" s="943"/>
      <c r="F225" s="943"/>
      <c r="G225" s="943"/>
      <c r="H225" s="943"/>
      <c r="I225" s="943"/>
      <c r="J225" s="943"/>
      <c r="K225" s="944"/>
      <c r="L225" s="378"/>
    </row>
    <row r="226" spans="1:12" s="473" customFormat="1" ht="16.5" customHeight="1" thickBot="1">
      <c r="A226" s="371"/>
      <c r="B226" s="379"/>
      <c r="C226" s="945" t="s">
        <v>611</v>
      </c>
      <c r="D226" s="946"/>
      <c r="E226" s="946"/>
      <c r="F226" s="947" t="s">
        <v>685</v>
      </c>
      <c r="G226" s="465" t="str">
        <f>G5</f>
        <v>-</v>
      </c>
      <c r="H226" s="465" t="str">
        <f>H5</f>
        <v>-</v>
      </c>
      <c r="I226" s="465" t="str">
        <f>I5</f>
        <v>-</v>
      </c>
      <c r="J226" s="465">
        <f>J5</f>
        <v>0</v>
      </c>
      <c r="K226" s="466">
        <f>K5</f>
        <v>366</v>
      </c>
      <c r="L226" s="378"/>
    </row>
    <row r="227" spans="1:12" s="524" customFormat="1" ht="16.5">
      <c r="A227" s="371"/>
      <c r="B227" s="522"/>
      <c r="C227" s="936" t="s">
        <v>775</v>
      </c>
      <c r="D227" s="937"/>
      <c r="E227" s="937"/>
      <c r="F227" s="937"/>
      <c r="G227" s="937"/>
      <c r="H227" s="937"/>
      <c r="I227" s="937"/>
      <c r="J227" s="937"/>
      <c r="K227" s="938"/>
      <c r="L227" s="523"/>
    </row>
    <row r="228" spans="1:12" s="473" customFormat="1" ht="15" customHeight="1">
      <c r="A228" s="525"/>
      <c r="B228" s="403"/>
      <c r="C228" s="948" t="s">
        <v>776</v>
      </c>
      <c r="D228" s="949"/>
      <c r="E228" s="949"/>
      <c r="F228" s="950"/>
      <c r="G228" s="526"/>
      <c r="H228" s="527" t="str">
        <f>IFERROR((H22-G22)/G22,"-")</f>
        <v>-</v>
      </c>
      <c r="I228" s="527" t="str">
        <f>IFERROR((I22-H22)/H22,"-")</f>
        <v>-</v>
      </c>
      <c r="J228" s="527" t="str">
        <f>IFERROR((J22-I22)/I22,"-")</f>
        <v>-</v>
      </c>
      <c r="K228" s="528" t="str">
        <f>IFERROR((K22-J22)/J22,"-")</f>
        <v>-</v>
      </c>
      <c r="L228" s="387"/>
    </row>
    <row r="229" spans="1:12" s="473" customFormat="1" ht="15" customHeight="1">
      <c r="A229" s="388"/>
      <c r="B229" s="403"/>
      <c r="C229" s="948" t="s">
        <v>777</v>
      </c>
      <c r="D229" s="949"/>
      <c r="E229" s="949"/>
      <c r="F229" s="950"/>
      <c r="G229" s="526"/>
      <c r="H229" s="527" t="str">
        <f>IFERROR(H54/G54-1,"-")</f>
        <v>-</v>
      </c>
      <c r="I229" s="527" t="str">
        <f>IFERROR(I54/H54-1,"-")</f>
        <v>-</v>
      </c>
      <c r="J229" s="527" t="str">
        <f>IFERROR(J54/I54-1,"-")</f>
        <v>-</v>
      </c>
      <c r="K229" s="528" t="str">
        <f>IFERROR(K54/J54-1,"-")</f>
        <v>-</v>
      </c>
      <c r="L229" s="387"/>
    </row>
    <row r="230" spans="1:12" s="473" customFormat="1" ht="15" customHeight="1">
      <c r="A230" s="388"/>
      <c r="B230" s="403"/>
      <c r="C230" s="948" t="s">
        <v>778</v>
      </c>
      <c r="D230" s="949"/>
      <c r="E230" s="949"/>
      <c r="F230" s="950"/>
      <c r="G230" s="526"/>
      <c r="H230" s="527" t="str">
        <f>IFERROR((H91-G91)/G91,"-")</f>
        <v>-</v>
      </c>
      <c r="I230" s="527" t="str">
        <f>IFERROR((I91-H91)/H91,"-")</f>
        <v>-</v>
      </c>
      <c r="J230" s="527" t="str">
        <f>IFERROR((J91-I91)/I91,"-")</f>
        <v>-</v>
      </c>
      <c r="K230" s="528" t="str">
        <f>IFERROR((K91-J91)/J91,"-")</f>
        <v>-</v>
      </c>
      <c r="L230" s="387"/>
    </row>
    <row r="231" spans="1:12" ht="7.5" customHeight="1" thickBot="1">
      <c r="A231" s="388"/>
      <c r="B231" s="379"/>
      <c r="C231" s="933"/>
      <c r="D231" s="934"/>
      <c r="E231" s="934"/>
      <c r="F231" s="934"/>
      <c r="G231" s="934"/>
      <c r="H231" s="934"/>
      <c r="I231" s="934"/>
      <c r="J231" s="934"/>
      <c r="K231" s="935"/>
      <c r="L231" s="378"/>
    </row>
    <row r="232" spans="1:12" s="524" customFormat="1" ht="16.5">
      <c r="A232" s="371"/>
      <c r="B232" s="522"/>
      <c r="C232" s="936" t="s">
        <v>779</v>
      </c>
      <c r="D232" s="937"/>
      <c r="E232" s="937"/>
      <c r="F232" s="937"/>
      <c r="G232" s="937"/>
      <c r="H232" s="937"/>
      <c r="I232" s="937"/>
      <c r="J232" s="937"/>
      <c r="K232" s="938"/>
      <c r="L232" s="523"/>
    </row>
    <row r="233" spans="1:12" s="473" customFormat="1" ht="15" customHeight="1">
      <c r="A233" s="525"/>
      <c r="B233" s="403"/>
      <c r="C233" s="927" t="s">
        <v>780</v>
      </c>
      <c r="D233" s="928"/>
      <c r="E233" s="928"/>
      <c r="F233" s="929"/>
      <c r="G233" s="527" t="str">
        <f>IFERROR(G54/G22,"-")</f>
        <v>-</v>
      </c>
      <c r="H233" s="527" t="str">
        <f>IFERROR(H54/H22,"-")</f>
        <v>-</v>
      </c>
      <c r="I233" s="527" t="str">
        <f>IFERROR(I54/I22,"-")</f>
        <v>-</v>
      </c>
      <c r="J233" s="527" t="str">
        <f>IFERROR(J54/J22,"-")</f>
        <v>-</v>
      </c>
      <c r="K233" s="528" t="str">
        <f>IFERROR(K54/K22,"-")</f>
        <v>-</v>
      </c>
      <c r="L233" s="387"/>
    </row>
    <row r="234" spans="1:12" s="473" customFormat="1" ht="15" customHeight="1">
      <c r="A234" s="388"/>
      <c r="B234" s="403"/>
      <c r="C234" s="939" t="s">
        <v>781</v>
      </c>
      <c r="D234" s="940"/>
      <c r="E234" s="940"/>
      <c r="F234" s="941"/>
      <c r="G234" s="527" t="str">
        <f>IFERROR((G91-G72)/G22,"-")</f>
        <v>-</v>
      </c>
      <c r="H234" s="527" t="str">
        <f>IFERROR((H91-H72)/H22,"-")</f>
        <v>-</v>
      </c>
      <c r="I234" s="527" t="str">
        <f>IFERROR((I91-I72)/I22,"-")</f>
        <v>-</v>
      </c>
      <c r="J234" s="527" t="str">
        <f>IFERROR((J91-J72)/J22,"-")</f>
        <v>-</v>
      </c>
      <c r="K234" s="528" t="str">
        <f>IFERROR((K91-K72)/K22,"-")</f>
        <v>-</v>
      </c>
      <c r="L234" s="387"/>
    </row>
    <row r="235" spans="1:12" s="473" customFormat="1" ht="15" customHeight="1">
      <c r="A235" s="388"/>
      <c r="B235" s="403"/>
      <c r="C235" s="927" t="s">
        <v>782</v>
      </c>
      <c r="D235" s="928"/>
      <c r="E235" s="928"/>
      <c r="F235" s="929"/>
      <c r="G235" s="527" t="str">
        <f>IFERROR((G99-G72)/G22,"-")</f>
        <v>-</v>
      </c>
      <c r="H235" s="527" t="str">
        <f>IFERROR((H99-H72)/H22,"-")</f>
        <v>-</v>
      </c>
      <c r="I235" s="527" t="str">
        <f>IFERROR((I99-I72)/I22,"-")</f>
        <v>-</v>
      </c>
      <c r="J235" s="527" t="str">
        <f>IFERROR((J99-J72)/J22,"-")</f>
        <v>-</v>
      </c>
      <c r="K235" s="528" t="str">
        <f>IFERROR((K99-K72)/K22,"-")</f>
        <v>-</v>
      </c>
      <c r="L235" s="387"/>
    </row>
    <row r="236" spans="1:12" s="473" customFormat="1" ht="15" customHeight="1">
      <c r="A236" s="388"/>
      <c r="B236" s="403"/>
      <c r="C236" s="927" t="s">
        <v>783</v>
      </c>
      <c r="D236" s="928"/>
      <c r="E236" s="928"/>
      <c r="F236" s="929"/>
      <c r="G236" s="527" t="str">
        <f>IFERROR(G64/(G221-G161),"-")</f>
        <v>-</v>
      </c>
      <c r="H236" s="527" t="str">
        <f>IFERROR(H64/(H221-H161),"-")</f>
        <v>-</v>
      </c>
      <c r="I236" s="527" t="str">
        <f>IFERROR(I64/(I221-I161),"-")</f>
        <v>-</v>
      </c>
      <c r="J236" s="527" t="str">
        <f>IFERROR(J64/(J221-J161),"-")</f>
        <v>-</v>
      </c>
      <c r="K236" s="528" t="str">
        <f>IFERROR(K64/(K221-K161),"-")</f>
        <v>-</v>
      </c>
      <c r="L236" s="387"/>
    </row>
    <row r="237" spans="1:12" s="473" customFormat="1" ht="15" customHeight="1">
      <c r="A237" s="388"/>
      <c r="B237" s="403"/>
      <c r="C237" s="927" t="s">
        <v>784</v>
      </c>
      <c r="D237" s="928"/>
      <c r="E237" s="928"/>
      <c r="F237" s="929"/>
      <c r="G237" s="527" t="str">
        <f>IFERROR(G91/G118,"-")</f>
        <v>-</v>
      </c>
      <c r="H237" s="527" t="str">
        <f>IFERROR(H91/H118,"-")</f>
        <v>-</v>
      </c>
      <c r="I237" s="527" t="str">
        <f>IFERROR(I91/I118,"-")</f>
        <v>-</v>
      </c>
      <c r="J237" s="527" t="str">
        <f>IFERROR(J91/J118,"-")</f>
        <v>-</v>
      </c>
      <c r="K237" s="528" t="str">
        <f>IFERROR(K91/K118,"-")</f>
        <v>-</v>
      </c>
      <c r="L237" s="387"/>
    </row>
    <row r="238" spans="1:12" s="473" customFormat="1" ht="15" customHeight="1">
      <c r="A238" s="388"/>
      <c r="B238" s="403"/>
      <c r="C238" s="927" t="s">
        <v>785</v>
      </c>
      <c r="D238" s="928"/>
      <c r="E238" s="928"/>
      <c r="F238" s="929"/>
      <c r="G238" s="527" t="str">
        <f>IFERROR(G91/G221,"-")</f>
        <v>-</v>
      </c>
      <c r="H238" s="527" t="str">
        <f>IFERROR(H91/H221,"-")</f>
        <v>-</v>
      </c>
      <c r="I238" s="527" t="str">
        <f>IFERROR(I91/I221,"-")</f>
        <v>-</v>
      </c>
      <c r="J238" s="527" t="str">
        <f>IFERROR(J91/J221,"-")</f>
        <v>-</v>
      </c>
      <c r="K238" s="528" t="str">
        <f>IFERROR(K91/K221,"-")</f>
        <v>-</v>
      </c>
      <c r="L238" s="387"/>
    </row>
    <row r="239" spans="1:12" ht="7.5" customHeight="1" thickBot="1">
      <c r="A239" s="388"/>
      <c r="B239" s="379"/>
      <c r="C239" s="933"/>
      <c r="D239" s="934"/>
      <c r="E239" s="934"/>
      <c r="F239" s="934"/>
      <c r="G239" s="934"/>
      <c r="H239" s="934"/>
      <c r="I239" s="934"/>
      <c r="J239" s="934"/>
      <c r="K239" s="935"/>
      <c r="L239" s="378"/>
    </row>
    <row r="240" spans="1:12" s="524" customFormat="1" ht="16.5">
      <c r="A240" s="371"/>
      <c r="B240" s="522"/>
      <c r="C240" s="936" t="s">
        <v>786</v>
      </c>
      <c r="D240" s="937"/>
      <c r="E240" s="937"/>
      <c r="F240" s="937"/>
      <c r="G240" s="937"/>
      <c r="H240" s="937"/>
      <c r="I240" s="937"/>
      <c r="J240" s="937"/>
      <c r="K240" s="938"/>
      <c r="L240" s="523"/>
    </row>
    <row r="241" spans="1:12" s="473" customFormat="1" ht="15" customHeight="1">
      <c r="A241" s="525"/>
      <c r="B241" s="403"/>
      <c r="C241" s="927" t="s">
        <v>787</v>
      </c>
      <c r="D241" s="928"/>
      <c r="E241" s="928"/>
      <c r="F241" s="929"/>
      <c r="G241" s="529" t="str">
        <f>IFERROR(G220/G161,"-")</f>
        <v>-</v>
      </c>
      <c r="H241" s="529" t="str">
        <f>IFERROR(H220/H161,"-")</f>
        <v>-</v>
      </c>
      <c r="I241" s="529" t="str">
        <f>IFERROR(I220/I161,"-")</f>
        <v>-</v>
      </c>
      <c r="J241" s="529" t="str">
        <f>IFERROR(J220/J161,"-")</f>
        <v>-</v>
      </c>
      <c r="K241" s="530" t="str">
        <f>IFERROR(K220/K161,"-")</f>
        <v>-</v>
      </c>
      <c r="L241" s="387"/>
    </row>
    <row r="242" spans="1:12" s="473" customFormat="1" ht="15" customHeight="1">
      <c r="A242" s="388"/>
      <c r="B242" s="403"/>
      <c r="C242" s="927" t="s">
        <v>788</v>
      </c>
      <c r="D242" s="928"/>
      <c r="E242" s="928"/>
      <c r="F242" s="929"/>
      <c r="G242" s="529">
        <f>G220-G161</f>
        <v>0</v>
      </c>
      <c r="H242" s="529">
        <f>H220-H161</f>
        <v>0</v>
      </c>
      <c r="I242" s="529">
        <f>I220-I161</f>
        <v>0</v>
      </c>
      <c r="J242" s="529">
        <f>J220-J161</f>
        <v>0</v>
      </c>
      <c r="K242" s="530">
        <f>K220-K161</f>
        <v>0</v>
      </c>
      <c r="L242" s="387"/>
    </row>
    <row r="243" spans="1:12" s="473" customFormat="1" ht="15" customHeight="1">
      <c r="A243" s="388"/>
      <c r="B243" s="403"/>
      <c r="C243" s="927" t="s">
        <v>789</v>
      </c>
      <c r="D243" s="928"/>
      <c r="E243" s="928"/>
      <c r="F243" s="929"/>
      <c r="G243" s="529" t="str">
        <f>IFERROR((G22/G242),"-")</f>
        <v>-</v>
      </c>
      <c r="H243" s="529" t="str">
        <f>IFERROR((H22/H242),"-")</f>
        <v>-</v>
      </c>
      <c r="I243" s="529" t="str">
        <f>IFERROR((I22/I242),"-")</f>
        <v>-</v>
      </c>
      <c r="J243" s="529" t="str">
        <f>IFERROR((J22/J242),"-")</f>
        <v>-</v>
      </c>
      <c r="K243" s="530" t="str">
        <f>IFERROR((K22/K242),"-")</f>
        <v>-</v>
      </c>
      <c r="L243" s="387"/>
    </row>
    <row r="244" spans="1:12" s="473" customFormat="1" ht="15" customHeight="1">
      <c r="A244" s="388"/>
      <c r="B244" s="403"/>
      <c r="C244" s="927" t="s">
        <v>790</v>
      </c>
      <c r="D244" s="928"/>
      <c r="E244" s="928"/>
      <c r="F244" s="929"/>
      <c r="G244" s="529" t="str">
        <f>IFERROR((G220-G219-G202)/G161,"-")</f>
        <v>-</v>
      </c>
      <c r="H244" s="529" t="str">
        <f>IFERROR((H220-H219-H202)/H161,"-")</f>
        <v>-</v>
      </c>
      <c r="I244" s="529" t="str">
        <f>IFERROR((I220-I219-I202)/I161,"-")</f>
        <v>-</v>
      </c>
      <c r="J244" s="529" t="str">
        <f>IFERROR((J220-J219-J202)/J161,"-")</f>
        <v>-</v>
      </c>
      <c r="K244" s="530" t="str">
        <f>IFERROR((K220-K219-K202)/K161,"-")</f>
        <v>-</v>
      </c>
      <c r="L244" s="387"/>
    </row>
    <row r="245" spans="1:12" ht="7.5" customHeight="1" thickBot="1">
      <c r="A245" s="388"/>
      <c r="B245" s="379"/>
      <c r="C245" s="933"/>
      <c r="D245" s="934"/>
      <c r="E245" s="934"/>
      <c r="F245" s="934"/>
      <c r="G245" s="934"/>
      <c r="H245" s="934"/>
      <c r="I245" s="934"/>
      <c r="J245" s="934"/>
      <c r="K245" s="935"/>
      <c r="L245" s="378"/>
    </row>
    <row r="246" spans="1:12" s="524" customFormat="1" ht="16.5">
      <c r="A246" s="371"/>
      <c r="B246" s="522"/>
      <c r="C246" s="936" t="s">
        <v>791</v>
      </c>
      <c r="D246" s="937"/>
      <c r="E246" s="937"/>
      <c r="F246" s="937"/>
      <c r="G246" s="937"/>
      <c r="H246" s="937"/>
      <c r="I246" s="937"/>
      <c r="J246" s="937"/>
      <c r="K246" s="938"/>
      <c r="L246" s="523"/>
    </row>
    <row r="247" spans="1:12" s="473" customFormat="1" ht="15" customHeight="1">
      <c r="A247" s="525"/>
      <c r="B247" s="403"/>
      <c r="C247" s="927" t="s">
        <v>792</v>
      </c>
      <c r="D247" s="928"/>
      <c r="E247" s="928"/>
      <c r="F247" s="929"/>
      <c r="G247" s="529" t="str">
        <f>IFERROR((G25/G202),"-")</f>
        <v>-</v>
      </c>
      <c r="H247" s="529" t="str">
        <f>IFERROR((H25/H202),"-")</f>
        <v>-</v>
      </c>
      <c r="I247" s="529" t="str">
        <f>IFERROR((I25/I202),"-")</f>
        <v>-</v>
      </c>
      <c r="J247" s="529" t="str">
        <f>IFERROR((J25/J202),"-")</f>
        <v>-</v>
      </c>
      <c r="K247" s="530" t="str">
        <f>IFERROR((K25/K202),"-")</f>
        <v>-</v>
      </c>
      <c r="L247" s="387"/>
    </row>
    <row r="248" spans="1:12" s="473" customFormat="1" ht="15" customHeight="1">
      <c r="A248" s="388"/>
      <c r="B248" s="403"/>
      <c r="C248" s="927" t="s">
        <v>793</v>
      </c>
      <c r="D248" s="928"/>
      <c r="E248" s="928"/>
      <c r="F248" s="929"/>
      <c r="G248" s="529" t="str">
        <f>IFERROR(365/G247,"-")</f>
        <v>-</v>
      </c>
      <c r="H248" s="529" t="str">
        <f>IFERROR(365/H247,"-")</f>
        <v>-</v>
      </c>
      <c r="I248" s="529" t="str">
        <f>IFERROR(365/I247,"-")</f>
        <v>-</v>
      </c>
      <c r="J248" s="529" t="str">
        <f>IFERROR(365/J247,"-")</f>
        <v>-</v>
      </c>
      <c r="K248" s="530" t="str">
        <f>IFERROR(365/K247,"-")</f>
        <v>-</v>
      </c>
      <c r="L248" s="387"/>
    </row>
    <row r="249" spans="1:12" s="473" customFormat="1" ht="15" customHeight="1">
      <c r="A249" s="388"/>
      <c r="B249" s="403"/>
      <c r="C249" s="927" t="s">
        <v>794</v>
      </c>
      <c r="D249" s="928"/>
      <c r="E249" s="928"/>
      <c r="F249" s="929"/>
      <c r="G249" s="529" t="str">
        <f>IFERROR(G22/G207,"-")</f>
        <v>-</v>
      </c>
      <c r="H249" s="529" t="str">
        <f>IFERROR(H22/H207,"-")</f>
        <v>-</v>
      </c>
      <c r="I249" s="529" t="str">
        <f>IFERROR(I22/I207,"-")</f>
        <v>-</v>
      </c>
      <c r="J249" s="529" t="str">
        <f>IFERROR(J22/J207,"-")</f>
        <v>-</v>
      </c>
      <c r="K249" s="530" t="str">
        <f>IFERROR(K22/K207,"-")</f>
        <v>-</v>
      </c>
      <c r="L249" s="387"/>
    </row>
    <row r="250" spans="1:12" s="473" customFormat="1" ht="15" customHeight="1">
      <c r="A250" s="388"/>
      <c r="B250" s="403"/>
      <c r="C250" s="927" t="s">
        <v>795</v>
      </c>
      <c r="D250" s="928"/>
      <c r="E250" s="928"/>
      <c r="F250" s="929"/>
      <c r="G250" s="529" t="str">
        <f>IFERROR(365/G249,"-")</f>
        <v>-</v>
      </c>
      <c r="H250" s="529" t="str">
        <f>IFERROR(365/H249,"-")</f>
        <v>-</v>
      </c>
      <c r="I250" s="529" t="str">
        <f>IFERROR(365/I249,"-")</f>
        <v>-</v>
      </c>
      <c r="J250" s="529" t="str">
        <f>IFERROR(365/J249,"-")</f>
        <v>-</v>
      </c>
      <c r="K250" s="530" t="str">
        <f>IFERROR(365/K249,"-")</f>
        <v>-</v>
      </c>
      <c r="L250" s="387"/>
    </row>
    <row r="251" spans="1:12" s="473" customFormat="1" ht="15" customHeight="1">
      <c r="A251" s="388"/>
      <c r="B251" s="403"/>
      <c r="C251" s="927" t="s">
        <v>796</v>
      </c>
      <c r="D251" s="928"/>
      <c r="E251" s="928"/>
      <c r="F251" s="929"/>
      <c r="G251" s="529" t="str">
        <f>IFERROR((G25+G37)/G151,"-")</f>
        <v>-</v>
      </c>
      <c r="H251" s="529" t="str">
        <f>IFERROR((H25+H37)/H151,"-")</f>
        <v>-</v>
      </c>
      <c r="I251" s="529" t="str">
        <f>IFERROR((I25+I37)/I151,"-")</f>
        <v>-</v>
      </c>
      <c r="J251" s="529" t="str">
        <f>IFERROR((J25+J37)/J151,"-")</f>
        <v>-</v>
      </c>
      <c r="K251" s="530" t="str">
        <f>IFERROR((K25+K37)/K151,"-")</f>
        <v>-</v>
      </c>
      <c r="L251" s="387"/>
    </row>
    <row r="252" spans="1:12" s="473" customFormat="1" ht="15" customHeight="1">
      <c r="A252" s="388"/>
      <c r="B252" s="403"/>
      <c r="C252" s="927" t="s">
        <v>797</v>
      </c>
      <c r="D252" s="928"/>
      <c r="E252" s="928"/>
      <c r="F252" s="929"/>
      <c r="G252" s="529" t="str">
        <f>IFERROR(365/G251,"-")</f>
        <v>-</v>
      </c>
      <c r="H252" s="529" t="str">
        <f>IFERROR(365/H251,"-")</f>
        <v>-</v>
      </c>
      <c r="I252" s="529" t="str">
        <f>IFERROR(365/I251,"-")</f>
        <v>-</v>
      </c>
      <c r="J252" s="529" t="str">
        <f>IFERROR(365/J251,"-")</f>
        <v>-</v>
      </c>
      <c r="K252" s="530" t="str">
        <f>IFERROR(365/K251,"-")</f>
        <v>-</v>
      </c>
      <c r="L252" s="387"/>
    </row>
    <row r="253" spans="1:12" s="473" customFormat="1" ht="15" customHeight="1">
      <c r="A253" s="388"/>
      <c r="B253" s="403"/>
      <c r="C253" s="927" t="s">
        <v>798</v>
      </c>
      <c r="D253" s="928"/>
      <c r="E253" s="928"/>
      <c r="F253" s="929"/>
      <c r="G253" s="529" t="str">
        <f>IFERROR(G248+G250-G252,"-")</f>
        <v>-</v>
      </c>
      <c r="H253" s="529" t="str">
        <f>IFERROR(H248+H250-H252,"-")</f>
        <v>-</v>
      </c>
      <c r="I253" s="529" t="str">
        <f>IFERROR(I248+I250-I252,"-")</f>
        <v>-</v>
      </c>
      <c r="J253" s="529" t="str">
        <f>IFERROR(J248+J250-J252,"-")</f>
        <v>-</v>
      </c>
      <c r="K253" s="530" t="str">
        <f>IFERROR(K248+K250-K252,"-")</f>
        <v>-</v>
      </c>
      <c r="L253" s="387"/>
    </row>
    <row r="254" spans="1:12" s="473" customFormat="1" ht="15" customHeight="1">
      <c r="A254" s="388"/>
      <c r="B254" s="403"/>
      <c r="C254" s="927" t="s">
        <v>799</v>
      </c>
      <c r="D254" s="928"/>
      <c r="E254" s="928"/>
      <c r="F254" s="929"/>
      <c r="G254" s="529" t="str">
        <f>IFERROR(G22/(G167-G171),"-")</f>
        <v>-</v>
      </c>
      <c r="H254" s="529" t="str">
        <f>IFERROR(H22/(H167-H171),"-")</f>
        <v>-</v>
      </c>
      <c r="I254" s="529" t="str">
        <f>IFERROR(I22/(I167-I171),"-")</f>
        <v>-</v>
      </c>
      <c r="J254" s="529" t="str">
        <f>IFERROR(J22/(J167-J171),"-")</f>
        <v>-</v>
      </c>
      <c r="K254" s="530" t="str">
        <f>IFERROR(K22/(K167-K171),"-")</f>
        <v>-</v>
      </c>
      <c r="L254" s="387"/>
    </row>
    <row r="255" spans="1:12" s="473" customFormat="1" ht="15" customHeight="1">
      <c r="A255" s="388"/>
      <c r="B255" s="403"/>
      <c r="C255" s="927" t="s">
        <v>800</v>
      </c>
      <c r="D255" s="928"/>
      <c r="E255" s="928"/>
      <c r="F255" s="929"/>
      <c r="G255" s="529" t="str">
        <f>IFERROR(G22/G221,"-")</f>
        <v>-</v>
      </c>
      <c r="H255" s="529" t="str">
        <f>IFERROR(H22/H221,"-")</f>
        <v>-</v>
      </c>
      <c r="I255" s="529" t="str">
        <f>IFERROR(I22/I221,"-")</f>
        <v>-</v>
      </c>
      <c r="J255" s="529" t="str">
        <f>IFERROR(J22/J221,"-")</f>
        <v>-</v>
      </c>
      <c r="K255" s="530" t="str">
        <f>IFERROR(K22/K221,"-")</f>
        <v>-</v>
      </c>
      <c r="L255" s="387"/>
    </row>
    <row r="256" spans="1:12" s="473" customFormat="1" ht="7.5" customHeight="1" thickBot="1">
      <c r="A256" s="388"/>
      <c r="B256" s="403"/>
      <c r="C256" s="933"/>
      <c r="D256" s="934"/>
      <c r="E256" s="934"/>
      <c r="F256" s="934"/>
      <c r="G256" s="934"/>
      <c r="H256" s="934"/>
      <c r="I256" s="934"/>
      <c r="J256" s="934"/>
      <c r="K256" s="935"/>
      <c r="L256" s="387"/>
    </row>
    <row r="257" spans="1:12" s="524" customFormat="1" ht="16.5">
      <c r="A257" s="388"/>
      <c r="B257" s="522"/>
      <c r="C257" s="936" t="s">
        <v>801</v>
      </c>
      <c r="D257" s="937"/>
      <c r="E257" s="937"/>
      <c r="F257" s="937"/>
      <c r="G257" s="937"/>
      <c r="H257" s="937"/>
      <c r="I257" s="937"/>
      <c r="J257" s="937"/>
      <c r="K257" s="938"/>
      <c r="L257" s="523"/>
    </row>
    <row r="258" spans="1:12" s="388" customFormat="1" ht="15" customHeight="1">
      <c r="A258" s="525"/>
      <c r="B258" s="403"/>
      <c r="C258" s="927" t="s">
        <v>802</v>
      </c>
      <c r="D258" s="928"/>
      <c r="E258" s="928"/>
      <c r="F258" s="929"/>
      <c r="G258" s="529" t="str">
        <f>IFERROR(G54/G66,"-")</f>
        <v>-</v>
      </c>
      <c r="H258" s="529" t="str">
        <f>IFERROR(H64/H66,"-")</f>
        <v>-</v>
      </c>
      <c r="I258" s="529" t="str">
        <f>IFERROR(I64/I66,"-")</f>
        <v>-</v>
      </c>
      <c r="J258" s="529" t="str">
        <f>IFERROR(J54/J66,"-")</f>
        <v>-</v>
      </c>
      <c r="K258" s="530" t="str">
        <f>IFERROR(K54/K66,"-")</f>
        <v>-</v>
      </c>
      <c r="L258" s="387"/>
    </row>
    <row r="259" spans="1:12" s="388" customFormat="1" ht="27.75" customHeight="1">
      <c r="B259" s="403"/>
      <c r="C259" s="927" t="s">
        <v>803</v>
      </c>
      <c r="D259" s="928"/>
      <c r="E259" s="928"/>
      <c r="F259" s="929"/>
      <c r="G259" s="531" t="str">
        <f>IF(G143+G151=0,"No Short Term Obligation", G54/(G143+G151))</f>
        <v>No Short Term Obligation</v>
      </c>
      <c r="H259" s="531" t="str">
        <f>IF(H143+H151=0,"No Short Term Obligation", H54/(H143+H151))</f>
        <v>No Short Term Obligation</v>
      </c>
      <c r="I259" s="531" t="str">
        <f>IF(I143+I151=0,"No Short Term Obligation", I54/(I143+I151))</f>
        <v>No Short Term Obligation</v>
      </c>
      <c r="J259" s="531" t="str">
        <f>IF(J143+J151=0,"No Short Term Obligation", J54/(J143+J151))</f>
        <v>No Short Term Obligation</v>
      </c>
      <c r="K259" s="532" t="str">
        <f>IF(K143+K151=0,"No Short Term Obligation", K54/(K143+K151))</f>
        <v>No Short Term Obligation</v>
      </c>
      <c r="L259" s="387"/>
    </row>
    <row r="260" spans="1:12" s="388" customFormat="1" ht="15" customHeight="1">
      <c r="B260" s="403"/>
      <c r="C260" s="927" t="s">
        <v>804</v>
      </c>
      <c r="D260" s="928"/>
      <c r="E260" s="928"/>
      <c r="F260" s="929"/>
      <c r="G260" s="529" t="str">
        <f>IFERROR((G140+G161+#REF!)/G118,"-")</f>
        <v>-</v>
      </c>
      <c r="H260" s="529" t="str">
        <f>IFERROR((H140+H161+#REF!)/H118,"-")</f>
        <v>-</v>
      </c>
      <c r="I260" s="529" t="str">
        <f>IFERROR((I140+I161+#REF!)/I118,"-")</f>
        <v>-</v>
      </c>
      <c r="J260" s="529" t="str">
        <f>IFERROR((J140+J161+#REF!)/J118,"-")</f>
        <v>-</v>
      </c>
      <c r="K260" s="530" t="str">
        <f>IFERROR((K140+K161+#REF!)/K118,"-")</f>
        <v>-</v>
      </c>
      <c r="L260" s="387"/>
    </row>
    <row r="261" spans="1:12" s="388" customFormat="1" ht="40.5" customHeight="1">
      <c r="B261" s="403"/>
      <c r="C261" s="927" t="s">
        <v>805</v>
      </c>
      <c r="D261" s="928"/>
      <c r="E261" s="928"/>
      <c r="F261" s="929"/>
      <c r="G261" s="529" t="str">
        <f>IFERROR((G124+SUM(G143,G151))/(G91+G56),"-")</f>
        <v>-</v>
      </c>
      <c r="H261" s="529" t="str">
        <f>IFERROR((H124+SUM(H143,H151))/(H91+H56),"-")</f>
        <v>-</v>
      </c>
      <c r="I261" s="529" t="str">
        <f>IFERROR((I124+SUM(I143,I151))/(I91+I56),"-")</f>
        <v>-</v>
      </c>
      <c r="J261" s="529" t="str">
        <f>IFERROR((J124+SUM(J143,J151))/(J91+J56),"-")</f>
        <v>-</v>
      </c>
      <c r="K261" s="530" t="str">
        <f>IFERROR((K124+SUM(K143,K151))/(K91+K56),"-")</f>
        <v>-</v>
      </c>
      <c r="L261" s="387"/>
    </row>
    <row r="262" spans="1:12" s="388" customFormat="1" ht="15" customHeight="1">
      <c r="B262" s="403"/>
      <c r="C262" s="927" t="s">
        <v>806</v>
      </c>
      <c r="D262" s="928"/>
      <c r="E262" s="928"/>
      <c r="F262" s="929"/>
      <c r="G262" s="529" t="str">
        <f>IFERROR((SUM(G143,G151,G124))/G118,"-")</f>
        <v>-</v>
      </c>
      <c r="H262" s="529" t="str">
        <f>IFERROR((SUM(H143,H151,H124))/H118,"-")</f>
        <v>-</v>
      </c>
      <c r="I262" s="529" t="str">
        <f>IFERROR((SUM(I143,I151,I124))/I118,"-")</f>
        <v>-</v>
      </c>
      <c r="J262" s="529" t="str">
        <f>IFERROR((SUM(J143,J151,J124))/J118,"-")</f>
        <v>-</v>
      </c>
      <c r="K262" s="530" t="str">
        <f>IFERROR((SUM(K143,K151,K124))/K118,"-")</f>
        <v>-</v>
      </c>
      <c r="L262" s="387"/>
    </row>
    <row r="263" spans="1:12" s="388" customFormat="1" ht="15" customHeight="1" thickBot="1">
      <c r="B263" s="403"/>
      <c r="C263" s="930" t="s">
        <v>807</v>
      </c>
      <c r="D263" s="931"/>
      <c r="E263" s="931"/>
      <c r="F263" s="932"/>
      <c r="G263" s="533" t="str">
        <f>IF((G124+G143+G151)=0,"No Debt", ((G221-(G172+G173)-G190)-(G161-(G143+G151)))/(G124+G143+G151))</f>
        <v>No Debt</v>
      </c>
      <c r="H263" s="533" t="str">
        <f>IF((H124+H143+H151)=0,"No Debt", ((H221-(H172+H173)-H190)-(H161-(H143+H151)))/(H124+H143+H151))</f>
        <v>No Debt</v>
      </c>
      <c r="I263" s="533" t="str">
        <f>IF((I124+I143+I151)=0,"No Debt", ((I221-(I172+I173)-I190)-(I161-(I143+I151)))/(I124+I143+I151))</f>
        <v>No Debt</v>
      </c>
      <c r="J263" s="533" t="str">
        <f>IF((J124+J143+J151)=0,"No Debt", ((J221-(J172+J173)-J190)-(J161-(J143+J151)))/(J124+J143+J151))</f>
        <v>No Debt</v>
      </c>
      <c r="K263" s="534" t="str">
        <f>IF((K124+K143+K151)=0,"No Debt", ((K221-(K172+K173)-K190)-(K161-(K143+K151)))/(K124+K143+K151))</f>
        <v>No Debt</v>
      </c>
      <c r="L263" s="387"/>
    </row>
    <row r="264" spans="1:12" ht="12.75" customHeight="1" thickBot="1">
      <c r="A264" s="388"/>
      <c r="B264" s="459"/>
      <c r="C264" s="460"/>
      <c r="D264" s="460"/>
      <c r="E264" s="460"/>
      <c r="F264" s="535"/>
      <c r="G264" s="460"/>
      <c r="H264" s="460"/>
      <c r="I264" s="460"/>
      <c r="J264" s="460"/>
      <c r="K264" s="460"/>
      <c r="L264" s="536"/>
    </row>
  </sheetData>
  <sheetProtection algorithmName="SHA-512" hashValue="RuiMh4BcEZXxMpRU1yclHEsDRsACEUFEJfd8hYzdLdg8s+rGDtRqIAbFWFRLvgcj5qsN0VIrYLUw5h3RD0sDIw==" saltValue="JBt0MJCSYOrBq4i3jUbf7A==" spinCount="100000" sheet="1" objects="1" scenarios="1"/>
  <mergeCells count="252">
    <mergeCell ref="C261:F261"/>
    <mergeCell ref="C262:F262"/>
    <mergeCell ref="C263:F263"/>
    <mergeCell ref="C255:F255"/>
    <mergeCell ref="C256:K256"/>
    <mergeCell ref="C257:K257"/>
    <mergeCell ref="C258:F258"/>
    <mergeCell ref="C259:F259"/>
    <mergeCell ref="C260:F260"/>
    <mergeCell ref="C249:F249"/>
    <mergeCell ref="C250:F250"/>
    <mergeCell ref="C251:F251"/>
    <mergeCell ref="C252:F252"/>
    <mergeCell ref="C253:F253"/>
    <mergeCell ref="C254:F254"/>
    <mergeCell ref="C243:F243"/>
    <mergeCell ref="C244:F244"/>
    <mergeCell ref="C245:K245"/>
    <mergeCell ref="C246:K246"/>
    <mergeCell ref="C247:F247"/>
    <mergeCell ref="C248:F248"/>
    <mergeCell ref="C237:F237"/>
    <mergeCell ref="C238:F238"/>
    <mergeCell ref="C239:K239"/>
    <mergeCell ref="C240:K240"/>
    <mergeCell ref="C241:F241"/>
    <mergeCell ref="C242:F242"/>
    <mergeCell ref="C231:K231"/>
    <mergeCell ref="C232:K232"/>
    <mergeCell ref="C233:F233"/>
    <mergeCell ref="C234:F234"/>
    <mergeCell ref="C235:F235"/>
    <mergeCell ref="C236:F236"/>
    <mergeCell ref="C225:K225"/>
    <mergeCell ref="C226:F226"/>
    <mergeCell ref="C227:K227"/>
    <mergeCell ref="C228:F228"/>
    <mergeCell ref="C229:F229"/>
    <mergeCell ref="C230:F230"/>
    <mergeCell ref="E214:F214"/>
    <mergeCell ref="E218:F218"/>
    <mergeCell ref="D219:F219"/>
    <mergeCell ref="C220:F220"/>
    <mergeCell ref="C221:F221"/>
    <mergeCell ref="C223:F223"/>
    <mergeCell ref="C192:F192"/>
    <mergeCell ref="C193:K193"/>
    <mergeCell ref="C194:F194"/>
    <mergeCell ref="C195:C219"/>
    <mergeCell ref="D195:F195"/>
    <mergeCell ref="E196:F196"/>
    <mergeCell ref="E199:F199"/>
    <mergeCell ref="E200:F200"/>
    <mergeCell ref="E201:F201"/>
    <mergeCell ref="E208:F208"/>
    <mergeCell ref="E209:F209"/>
    <mergeCell ref="E210:F210"/>
    <mergeCell ref="E211:F211"/>
    <mergeCell ref="D212:F212"/>
    <mergeCell ref="D213:F213"/>
    <mergeCell ref="D202:F202"/>
    <mergeCell ref="E203:F203"/>
    <mergeCell ref="E204:F204"/>
    <mergeCell ref="E205:F205"/>
    <mergeCell ref="E206:F206"/>
    <mergeCell ref="D207:F207"/>
    <mergeCell ref="C164:K164"/>
    <mergeCell ref="C165:F165"/>
    <mergeCell ref="C166:C191"/>
    <mergeCell ref="D166:F166"/>
    <mergeCell ref="E167:F167"/>
    <mergeCell ref="E171:F171"/>
    <mergeCell ref="E172:F172"/>
    <mergeCell ref="E173:F173"/>
    <mergeCell ref="E174:F174"/>
    <mergeCell ref="E175:F175"/>
    <mergeCell ref="E182:F182"/>
    <mergeCell ref="E186:F186"/>
    <mergeCell ref="D187:F187"/>
    <mergeCell ref="D188:F188"/>
    <mergeCell ref="E189:F189"/>
    <mergeCell ref="E190:F190"/>
    <mergeCell ref="D176:F176"/>
    <mergeCell ref="E177:F177"/>
    <mergeCell ref="E178:F178"/>
    <mergeCell ref="E179:F179"/>
    <mergeCell ref="E180:F180"/>
    <mergeCell ref="D181:F181"/>
    <mergeCell ref="E191:F191"/>
    <mergeCell ref="E158:F158"/>
    <mergeCell ref="E159:F159"/>
    <mergeCell ref="E160:F160"/>
    <mergeCell ref="C161:F161"/>
    <mergeCell ref="C162:F162"/>
    <mergeCell ref="C163:K163"/>
    <mergeCell ref="E152:F152"/>
    <mergeCell ref="E153:F153"/>
    <mergeCell ref="E154:F154"/>
    <mergeCell ref="E155:F155"/>
    <mergeCell ref="D156:F156"/>
    <mergeCell ref="D157:F157"/>
    <mergeCell ref="C143:C160"/>
    <mergeCell ref="D143:F143"/>
    <mergeCell ref="E144:F144"/>
    <mergeCell ref="E145:F145"/>
    <mergeCell ref="E146:F146"/>
    <mergeCell ref="E147:F147"/>
    <mergeCell ref="E148:F148"/>
    <mergeCell ref="E149:F149"/>
    <mergeCell ref="E150:F150"/>
    <mergeCell ref="D151:F151"/>
    <mergeCell ref="E137:F137"/>
    <mergeCell ref="E138:F138"/>
    <mergeCell ref="D139:F139"/>
    <mergeCell ref="C140:F140"/>
    <mergeCell ref="C141:K141"/>
    <mergeCell ref="C142:F142"/>
    <mergeCell ref="E131:F131"/>
    <mergeCell ref="D132:F132"/>
    <mergeCell ref="D133:F133"/>
    <mergeCell ref="E134:F134"/>
    <mergeCell ref="E135:F135"/>
    <mergeCell ref="D136:F136"/>
    <mergeCell ref="E125:F125"/>
    <mergeCell ref="E126:F126"/>
    <mergeCell ref="E127:F127"/>
    <mergeCell ref="E128:F128"/>
    <mergeCell ref="E129:F129"/>
    <mergeCell ref="E130:F130"/>
    <mergeCell ref="C119:K119"/>
    <mergeCell ref="C120:F120"/>
    <mergeCell ref="C121:K121"/>
    <mergeCell ref="C122:F122"/>
    <mergeCell ref="C123:F123"/>
    <mergeCell ref="D124:F124"/>
    <mergeCell ref="E113:F113"/>
    <mergeCell ref="E114:F114"/>
    <mergeCell ref="E115:F115"/>
    <mergeCell ref="E116:F116"/>
    <mergeCell ref="E117:F117"/>
    <mergeCell ref="C118:F118"/>
    <mergeCell ref="C104:K104"/>
    <mergeCell ref="C105:F105"/>
    <mergeCell ref="D106:F106"/>
    <mergeCell ref="C107:C117"/>
    <mergeCell ref="E107:F107"/>
    <mergeCell ref="E108:F108"/>
    <mergeCell ref="E109:F109"/>
    <mergeCell ref="E110:F110"/>
    <mergeCell ref="E111:F111"/>
    <mergeCell ref="D112:F112"/>
    <mergeCell ref="E97:F97"/>
    <mergeCell ref="C98:F98"/>
    <mergeCell ref="C99:F99"/>
    <mergeCell ref="C101:K101"/>
    <mergeCell ref="C102:F102"/>
    <mergeCell ref="C103:K103"/>
    <mergeCell ref="C91:F91"/>
    <mergeCell ref="C92:K92"/>
    <mergeCell ref="D93:F93"/>
    <mergeCell ref="C94:F94"/>
    <mergeCell ref="D95:F95"/>
    <mergeCell ref="E96:F96"/>
    <mergeCell ref="C86:C88"/>
    <mergeCell ref="E86:F86"/>
    <mergeCell ref="E87:F87"/>
    <mergeCell ref="D88:F88"/>
    <mergeCell ref="C89:C90"/>
    <mergeCell ref="D89:F89"/>
    <mergeCell ref="D90:F90"/>
    <mergeCell ref="C80:F80"/>
    <mergeCell ref="C81:K81"/>
    <mergeCell ref="D82:F82"/>
    <mergeCell ref="C83:F83"/>
    <mergeCell ref="C84:K84"/>
    <mergeCell ref="D85:F85"/>
    <mergeCell ref="C64:F64"/>
    <mergeCell ref="C65:K65"/>
    <mergeCell ref="C66:C79"/>
    <mergeCell ref="D66:F66"/>
    <mergeCell ref="D67:D70"/>
    <mergeCell ref="E67:F67"/>
    <mergeCell ref="E68:F68"/>
    <mergeCell ref="E69:F69"/>
    <mergeCell ref="E70:F70"/>
    <mergeCell ref="E71:F71"/>
    <mergeCell ref="D72:F72"/>
    <mergeCell ref="D73:D79"/>
    <mergeCell ref="E73:F73"/>
    <mergeCell ref="E74:F74"/>
    <mergeCell ref="E75:F75"/>
    <mergeCell ref="E76:F76"/>
    <mergeCell ref="E77:F77"/>
    <mergeCell ref="E78:F78"/>
    <mergeCell ref="E79:F79"/>
    <mergeCell ref="C56:C63"/>
    <mergeCell ref="D56:F56"/>
    <mergeCell ref="D57:F57"/>
    <mergeCell ref="E58:F58"/>
    <mergeCell ref="E59:F59"/>
    <mergeCell ref="D60:F60"/>
    <mergeCell ref="E61:F61"/>
    <mergeCell ref="E62:F62"/>
    <mergeCell ref="D63:F63"/>
    <mergeCell ref="E50:F50"/>
    <mergeCell ref="D51:F51"/>
    <mergeCell ref="E52:F52"/>
    <mergeCell ref="E53:F53"/>
    <mergeCell ref="C54:F54"/>
    <mergeCell ref="C55:K55"/>
    <mergeCell ref="E41:F41"/>
    <mergeCell ref="C42:F42"/>
    <mergeCell ref="C43:K43"/>
    <mergeCell ref="D44:F44"/>
    <mergeCell ref="C45:C53"/>
    <mergeCell ref="E45:F45"/>
    <mergeCell ref="E46:F46"/>
    <mergeCell ref="E47:F47"/>
    <mergeCell ref="D48:F48"/>
    <mergeCell ref="E49:F49"/>
    <mergeCell ref="D37:F37"/>
    <mergeCell ref="E38:F38"/>
    <mergeCell ref="E39:F39"/>
    <mergeCell ref="E40:F40"/>
    <mergeCell ref="D21:F21"/>
    <mergeCell ref="C22:F22"/>
    <mergeCell ref="C23:K23"/>
    <mergeCell ref="C24:F24"/>
    <mergeCell ref="D25:F25"/>
    <mergeCell ref="C26:C41"/>
    <mergeCell ref="E26:F26"/>
    <mergeCell ref="D27:D29"/>
    <mergeCell ref="E30:F30"/>
    <mergeCell ref="D31:D32"/>
    <mergeCell ref="C11:C21"/>
    <mergeCell ref="E11:F11"/>
    <mergeCell ref="D12:D14"/>
    <mergeCell ref="E15:F15"/>
    <mergeCell ref="D16:D18"/>
    <mergeCell ref="E19:F19"/>
    <mergeCell ref="D20:F20"/>
    <mergeCell ref="E33:F33"/>
    <mergeCell ref="D34:D36"/>
    <mergeCell ref="B2:L2"/>
    <mergeCell ref="C3:E3"/>
    <mergeCell ref="C4:K4"/>
    <mergeCell ref="C5:F5"/>
    <mergeCell ref="C6:F6"/>
    <mergeCell ref="C7:F7"/>
    <mergeCell ref="C8:F8"/>
    <mergeCell ref="C9:F9"/>
    <mergeCell ref="D10:F10"/>
  </mergeCells>
  <conditionalFormatting sqref="G10:K21 G25:K41 G44:K53 G56:K63 G66:K79 G82:K82 G85:K90 G93:K93 G95:K99 G106:K117 G124:K139 G143:K160 G166:K191 G195:K219 G223:K223 G228:K230 G233:K238 G241:K244 G247:K255 G258:K263">
    <cfRule type="expression" dxfId="371" priority="14">
      <formula>G$6=""</formula>
    </cfRule>
  </conditionalFormatting>
  <dataValidations count="3">
    <dataValidation type="list" allowBlank="1" showInputMessage="1" showErrorMessage="1" sqref="J3:K3" xr:uid="{8A02F256-31E7-4EEA-9318-BDC951B4A00D}">
      <formula1>"Actuals, Thousands, Lakhs, Millions, Crores"</formula1>
    </dataValidation>
    <dataValidation type="list" allowBlank="1" showInputMessage="1" showErrorMessage="1" sqref="G6:K6" xr:uid="{09F4EBC1-041E-426A-8BB8-A45408FF1431}">
      <formula1>"Audited,Unaudited,Provisional,Projection"</formula1>
    </dataValidation>
    <dataValidation type="list" allowBlank="1" showInputMessage="1" showErrorMessage="1" sqref="G8:K8" xr:uid="{FD9DA6BC-C3EE-4DC6-9935-024DB60429AA}">
      <formula1>"Auditor's opinion,Material Qualification,Unqualified,No opinion / Unknown"</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L a s t U s e d G r o u p O b j e c t I d > < T i l e s L i s t > < T i l e s / > < / T i l e s L i s t > < / W o r k b o o k S t a t e > 
</file>

<file path=customXml/itemProps1.xml><?xml version="1.0" encoding="utf-8"?>
<ds:datastoreItem xmlns:ds="http://schemas.openxmlformats.org/officeDocument/2006/customXml" ds:itemID="{5ADCE10B-D754-4B56-AE71-5EE2E737170D}">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5</vt:i4>
      </vt:variant>
    </vt:vector>
  </HeadingPairs>
  <TitlesOfParts>
    <vt:vector size="34" baseType="lpstr">
      <vt:lpstr>Business Profile</vt:lpstr>
      <vt:lpstr>ITR</vt:lpstr>
      <vt:lpstr>ROC</vt:lpstr>
      <vt:lpstr>GST</vt:lpstr>
      <vt:lpstr>KYC</vt:lpstr>
      <vt:lpstr>Financial Statement-Combined</vt:lpstr>
      <vt:lpstr>Cash Flow</vt:lpstr>
      <vt:lpstr>Financial Statement1</vt:lpstr>
      <vt:lpstr>Financial Statement2</vt:lpstr>
      <vt:lpstr>Financial Statement3</vt:lpstr>
      <vt:lpstr>Financial Statement4</vt:lpstr>
      <vt:lpstr>Instructions</vt:lpstr>
      <vt:lpstr>Ratios Sheet - combined</vt:lpstr>
      <vt:lpstr>Ratios Sheet1</vt:lpstr>
      <vt:lpstr>Ratios Sheet2</vt:lpstr>
      <vt:lpstr>Ratios Sheet3</vt:lpstr>
      <vt:lpstr>Ratios Sheet4</vt:lpstr>
      <vt:lpstr>Daily-Balance</vt:lpstr>
      <vt:lpstr>Credit Summation</vt:lpstr>
      <vt:lpstr>Analysis-Debit</vt:lpstr>
      <vt:lpstr>Analysis-Credit</vt:lpstr>
      <vt:lpstr>NC-RTR</vt:lpstr>
      <vt:lpstr>Eligibility</vt:lpstr>
      <vt:lpstr>Variant Inputs &amp; Comparison</vt:lpstr>
      <vt:lpstr>Empower HL &amp; NRP</vt:lpstr>
      <vt:lpstr>Banking product- Eligibility</vt:lpstr>
      <vt:lpstr>Express BT - Non Home</vt:lpstr>
      <vt:lpstr>Express BT - Home</vt:lpstr>
      <vt:lpstr>GTP - Eligibility</vt:lpstr>
      <vt:lpstr>A</vt:lpstr>
      <vt:lpstr>B</vt:lpstr>
      <vt:lpstr>p</vt:lpstr>
      <vt:lpstr>Q</vt:lpstr>
      <vt:lpstr>RR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Saurabh Agrawal     /RSPPG/IBANK/BKC</dc:creator>
  <cp:lastModifiedBy>Mahesh Shetty</cp:lastModifiedBy>
  <cp:lastPrinted>2018-08-30T12:16:09Z</cp:lastPrinted>
  <dcterms:created xsi:type="dcterms:W3CDTF">2014-05-29T14:21:51Z</dcterms:created>
  <dcterms:modified xsi:type="dcterms:W3CDTF">2020-11-17T13:33:25Z</dcterms:modified>
</cp:coreProperties>
</file>