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D:\Projects\ICICI SENP\"/>
    </mc:Choice>
  </mc:AlternateContent>
  <xr:revisionPtr revIDLastSave="0" documentId="13_ncr:1_{507A219E-CB31-4B7D-9B82-6E9430BBD7D9}" xr6:coauthVersionLast="47" xr6:coauthVersionMax="47" xr10:uidLastSave="{00000000-0000-0000-0000-000000000000}"/>
  <bookViews>
    <workbookView xWindow="-120" yWindow="-120" windowWidth="20730" windowHeight="11160" tabRatio="905" firstSheet="14" activeTab="16" xr2:uid="{00000000-000D-0000-FFFF-FFFF00000000}"/>
  </bookViews>
  <sheets>
    <sheet name="Business Profile" sheetId="27" r:id="rId1"/>
    <sheet name="ITR" sheetId="28" r:id="rId2"/>
    <sheet name="ROC" sheetId="29" r:id="rId3"/>
    <sheet name="GST" sheetId="30" r:id="rId4"/>
    <sheet name="KYC" sheetId="31" r:id="rId5"/>
    <sheet name="Financials_Applicant 1" sheetId="12" r:id="rId6"/>
    <sheet name="Financials_Applicant 2" sheetId="13" r:id="rId7"/>
    <sheet name="Financials_Applicant 3" sheetId="14" r:id="rId8"/>
    <sheet name="Financials_Applicant 4" sheetId="15" r:id="rId9"/>
    <sheet name="Financials - combined" sheetId="16" r:id="rId10"/>
    <sheet name="Input" sheetId="1" r:id="rId11"/>
    <sheet name="Masters" sheetId="11" r:id="rId12"/>
    <sheet name="RAAC &amp; NFA Master" sheetId="18" r:id="rId13"/>
    <sheet name="GST Margins" sheetId="19" r:id="rId14"/>
    <sheet name="Normal &amp; CGTMSE Eligibility" sheetId="8" r:id="rId15"/>
    <sheet name="NC-RTR" sheetId="26" r:id="rId16"/>
    <sheet name="Credit Summation" sheetId="23" r:id="rId17"/>
    <sheet name="Analysis-Debit" sheetId="24" r:id="rId18"/>
    <sheet name="Analysis-Credit" sheetId="25" r:id="rId19"/>
    <sheet name="Banking Analysis" sheetId="9" r:id="rId20"/>
    <sheet name="Output" sheetId="2" r:id="rId21"/>
    <sheet name="GTP-Sheet" sheetId="3" state="hidden" r:id="rId22"/>
    <sheet name="Banking_Product" sheetId="4" r:id="rId23"/>
    <sheet name="Express_BT_HL" sheetId="6" state="hidden" r:id="rId24"/>
    <sheet name="Express_BT_Non_HL" sheetId="7" state="hidden" r:id="rId25"/>
    <sheet name="GST Sheet" sheetId="17" r:id="rId26"/>
    <sheet name="Summary" sheetId="10" r:id="rId27"/>
    <sheet name="Additional Sheets" sheetId="21" r:id="rId28"/>
    <sheet name="CGTMSE Scorecard" sheetId="22" r:id="rId29"/>
  </sheets>
  <externalReferences>
    <externalReference r:id="rId30"/>
    <externalReference r:id="rId31"/>
    <externalReference r:id="rId32"/>
  </externalReferences>
  <definedNames>
    <definedName name="_xlnm._FilterDatabase" localSheetId="13" hidden="1">'GST Margins'!$A$1:$I$139</definedName>
    <definedName name="_xlnm._FilterDatabase" localSheetId="12" hidden="1">'RAAC &amp; NFA Master'!$A$2:$J$211</definedName>
    <definedName name="A" localSheetId="15">'[1]Banking product- Eligibility'!$IV$5</definedName>
    <definedName name="A">'[2]Banking product- Eligibility'!$IV$5</definedName>
    <definedName name="Amount">#REF!</definedName>
    <definedName name="AuthCap">#REF!</definedName>
    <definedName name="B" localSheetId="15">'[1]Banking product- Eligibility'!$IV$13</definedName>
    <definedName name="B">'[2]Banking product- Eligibility'!$IV$13</definedName>
    <definedName name="bb" localSheetId="6">#REF!</definedName>
    <definedName name="bb" localSheetId="7">#REF!</definedName>
    <definedName name="bb" localSheetId="8">#REF!</definedName>
    <definedName name="bb" localSheetId="12">#REF!</definedName>
    <definedName name="bb">#REF!</definedName>
    <definedName name="CIN">#REF!</definedName>
    <definedName name="CINStatus">#REF!</definedName>
    <definedName name="_xlnm.Criteria">#REF!</definedName>
    <definedName name="Excel_BuiltIn_Print_Area_1">"$#REF!.$A$2:$F$25"</definedName>
    <definedName name="Excel_BuiltIn_Print_Area_2">"$#REF!.$A$1:$G$114"</definedName>
    <definedName name="GSTIN">#REF!</definedName>
    <definedName name="GSTINStatus">#REF!</definedName>
    <definedName name="lessthan3">'[3]Credit Summation'!$B$31</definedName>
    <definedName name="one" localSheetId="6">#REF!</definedName>
    <definedName name="one" localSheetId="7">#REF!</definedName>
    <definedName name="one" localSheetId="8">#REF!</definedName>
    <definedName name="one" localSheetId="12">#REF!</definedName>
    <definedName name="one">#REF!</definedName>
    <definedName name="p" localSheetId="15">'[1]Banking product- Eligibility'!$IV$15</definedName>
    <definedName name="p">'[2]Banking product- Eligibility'!$IV$15</definedName>
    <definedName name="PaidUp">#REF!</definedName>
    <definedName name="_xlnm.Print_Area" localSheetId="9">'Financials - combined'!$A$1:$I$106</definedName>
    <definedName name="Q" localSheetId="15">'[1]Banking product- Eligibility'!$IV$16</definedName>
    <definedName name="Q">'[2]Banking product- Eligibility'!$IV$16</definedName>
    <definedName name="saurabh" localSheetId="6">#REF!</definedName>
    <definedName name="saurabh" localSheetId="7">#REF!</definedName>
    <definedName name="saurabh" localSheetId="8">#REF!</definedName>
    <definedName name="saurabh" localSheetId="12">#REF!</definedName>
    <definedName name="saurabh">#REF!</definedName>
    <definedName name="two" localSheetId="6">#REF!</definedName>
    <definedName name="two" localSheetId="7">#REF!</definedName>
    <definedName name="two" localSheetId="8">#REF!</definedName>
    <definedName name="two" localSheetId="12">#REF!</definedName>
    <definedName name="two">#REF!</definedName>
    <definedName name="w" localSheetId="6">#REF!</definedName>
    <definedName name="w" localSheetId="7">#REF!</definedName>
    <definedName name="w" localSheetId="8">#REF!</definedName>
    <definedName name="w" localSheetId="12">#REF!</definedName>
    <definedName name="w">#REF!</definedName>
    <definedName name="Zer" localSheetId="6">#REF!</definedName>
    <definedName name="Zer" localSheetId="7">#REF!</definedName>
    <definedName name="Zer" localSheetId="8">#REF!</definedName>
    <definedName name="Zer" localSheetId="12">#REF!</definedName>
    <definedName name="Zer">#REF!</definedName>
    <definedName name="zero" localSheetId="6">#REF!</definedName>
    <definedName name="zero" localSheetId="7">#REF!</definedName>
    <definedName name="zero" localSheetId="8">#REF!</definedName>
    <definedName name="zero" localSheetId="12">#REF!</definedName>
    <definedName name="zero">#REF!</definedName>
    <definedName name="Zero1">'[3]Credit Summation'!$II$12</definedName>
    <definedName name="Zero2">'[3]Credit Summation'!$II$13</definedName>
    <definedName name="Zero3">'[3]Credit Summation'!$II$14</definedName>
    <definedName name="zerototal" localSheetId="6">#REF!</definedName>
    <definedName name="zerototal" localSheetId="7">#REF!</definedName>
    <definedName name="zerototal" localSheetId="8">#REF!</definedName>
    <definedName name="zerototal" localSheetId="12">#REF!</definedName>
    <definedName name="zerotot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4" l="1"/>
  <c r="E37" i="4"/>
  <c r="D37" i="4"/>
  <c r="C37" i="4"/>
  <c r="H13" i="24"/>
  <c r="I13" i="24"/>
  <c r="H14" i="24"/>
  <c r="I14" i="24"/>
  <c r="H15" i="24"/>
  <c r="I15" i="24"/>
  <c r="H16" i="24"/>
  <c r="I16" i="24"/>
  <c r="H17" i="24"/>
  <c r="I17" i="24"/>
  <c r="F42" i="4"/>
  <c r="E42" i="4"/>
  <c r="D42" i="4"/>
  <c r="C42" i="4"/>
  <c r="B42" i="4"/>
  <c r="F41" i="4"/>
  <c r="E41" i="4"/>
  <c r="D41" i="4"/>
  <c r="C41" i="4"/>
  <c r="B41" i="4"/>
  <c r="F40" i="4"/>
  <c r="E40" i="4"/>
  <c r="D40" i="4"/>
  <c r="C40" i="4"/>
  <c r="B40" i="4"/>
  <c r="F39" i="4"/>
  <c r="E39" i="4"/>
  <c r="D39" i="4"/>
  <c r="C39" i="4"/>
  <c r="B39" i="4"/>
  <c r="F38" i="4"/>
  <c r="E38" i="4"/>
  <c r="D38" i="4"/>
  <c r="C38" i="4"/>
  <c r="B38" i="4"/>
  <c r="B37" i="4"/>
  <c r="AN19" i="4"/>
  <c r="AM19" i="4"/>
  <c r="AP14" i="4"/>
  <c r="AO14" i="4"/>
  <c r="AU14" i="4" s="1"/>
  <c r="AN14" i="4"/>
  <c r="AM14" i="4"/>
  <c r="AL14" i="4"/>
  <c r="AP13" i="4"/>
  <c r="AV14" i="4" s="1"/>
  <c r="AO13" i="4"/>
  <c r="AN13" i="4"/>
  <c r="AM13" i="4"/>
  <c r="AL13" i="4"/>
  <c r="AR14" i="4" s="1"/>
  <c r="AP12" i="4"/>
  <c r="AO12" i="4"/>
  <c r="AN12" i="4"/>
  <c r="AM12" i="4"/>
  <c r="AS14" i="4" s="1"/>
  <c r="AL12" i="4"/>
  <c r="AP11" i="4"/>
  <c r="AO11" i="4"/>
  <c r="AN11" i="4"/>
  <c r="AT11" i="4" s="1"/>
  <c r="AM11" i="4"/>
  <c r="AL11" i="4"/>
  <c r="AP10" i="4"/>
  <c r="AO10" i="4"/>
  <c r="AN10" i="4"/>
  <c r="AM10" i="4"/>
  <c r="AL10" i="4"/>
  <c r="AP9" i="4"/>
  <c r="AV11" i="4" s="1"/>
  <c r="AO9" i="4"/>
  <c r="AN9" i="4"/>
  <c r="AM9" i="4"/>
  <c r="AS11" i="4" s="1"/>
  <c r="AL9" i="4"/>
  <c r="AP8" i="4"/>
  <c r="AO8" i="4"/>
  <c r="AN8" i="4"/>
  <c r="AM8" i="4"/>
  <c r="AS8" i="4" s="1"/>
  <c r="AL8" i="4"/>
  <c r="AP7" i="4"/>
  <c r="AO7" i="4"/>
  <c r="AN7" i="4"/>
  <c r="AT8" i="4" s="1"/>
  <c r="AM7" i="4"/>
  <c r="AL7" i="4"/>
  <c r="AP6" i="4"/>
  <c r="AO6" i="4"/>
  <c r="AN6" i="4"/>
  <c r="AM6" i="4"/>
  <c r="AL6" i="4"/>
  <c r="AR8" i="4" s="1"/>
  <c r="AP5" i="4"/>
  <c r="AO5" i="4"/>
  <c r="AN5" i="4"/>
  <c r="AM5" i="4"/>
  <c r="AL5" i="4"/>
  <c r="AR5" i="4" s="1"/>
  <c r="AP4" i="4"/>
  <c r="AO4" i="4"/>
  <c r="AN4" i="4"/>
  <c r="AM4" i="4"/>
  <c r="AS5" i="4" s="1"/>
  <c r="AS16" i="4" s="1"/>
  <c r="AL4" i="4"/>
  <c r="AP3" i="4"/>
  <c r="AP18" i="4" s="1"/>
  <c r="AO3" i="4"/>
  <c r="AU5" i="4" s="1"/>
  <c r="AN3" i="4"/>
  <c r="AN18" i="4" s="1"/>
  <c r="AN20" i="4" s="1"/>
  <c r="AM3" i="4"/>
  <c r="AM18" i="4" s="1"/>
  <c r="AM20" i="4" s="1"/>
  <c r="AL3" i="4"/>
  <c r="AL19" i="4" s="1"/>
  <c r="AT14" i="4"/>
  <c r="AR11" i="4"/>
  <c r="AU11" i="4"/>
  <c r="AV8" i="4"/>
  <c r="AU8" i="4"/>
  <c r="AV5" i="4"/>
  <c r="AP19" i="4" s="1"/>
  <c r="I5" i="24"/>
  <c r="H5" i="24"/>
  <c r="AO19" i="4" l="1"/>
  <c r="AL18" i="4"/>
  <c r="AO18" i="4"/>
  <c r="AO20" i="4" s="1"/>
  <c r="AU16" i="4"/>
  <c r="AR16" i="4"/>
  <c r="AV16" i="4"/>
  <c r="AT5" i="4"/>
  <c r="AT16" i="4" s="1"/>
  <c r="AL20" i="4"/>
  <c r="AP20" i="4"/>
  <c r="Y7" i="9" a="1"/>
  <c r="Y7" i="9" s="1"/>
  <c r="T7" i="9" a="1"/>
  <c r="T7" i="9" s="1"/>
  <c r="O7" i="9" a="1"/>
  <c r="O7" i="9" s="1"/>
  <c r="J7" i="9" a="1"/>
  <c r="J7" i="9" s="1"/>
  <c r="E7" i="9" a="1"/>
  <c r="E7" i="9" s="1"/>
  <c r="A18" i="9"/>
  <c r="F46" i="30" l="1"/>
  <c r="E46" i="30"/>
  <c r="D46" i="30"/>
  <c r="F45" i="30"/>
  <c r="E45" i="30"/>
  <c r="D45" i="30"/>
  <c r="G44" i="30"/>
  <c r="G43" i="30"/>
  <c r="G42" i="30"/>
  <c r="G41" i="30"/>
  <c r="G40" i="30"/>
  <c r="G39" i="30"/>
  <c r="G38" i="30"/>
  <c r="G37" i="30"/>
  <c r="G36" i="30"/>
  <c r="G35" i="30"/>
  <c r="G34" i="30"/>
  <c r="B34" i="30"/>
  <c r="B35" i="30" s="1"/>
  <c r="B36" i="30" s="1"/>
  <c r="B37" i="30" s="1"/>
  <c r="B38" i="30" s="1"/>
  <c r="B39" i="30" s="1"/>
  <c r="B40" i="30" s="1"/>
  <c r="B41" i="30" s="1"/>
  <c r="B42" i="30" s="1"/>
  <c r="B43" i="30" s="1"/>
  <c r="B44" i="30" s="1"/>
  <c r="G33" i="30"/>
  <c r="G46" i="30" s="1"/>
  <c r="E27" i="29"/>
  <c r="D27" i="29"/>
  <c r="E26" i="29"/>
  <c r="E28" i="29" s="1"/>
  <c r="D26" i="29"/>
  <c r="D28" i="29" s="1"/>
  <c r="G13" i="29"/>
  <c r="D69" i="27"/>
  <c r="D68" i="27"/>
  <c r="D67" i="27"/>
  <c r="D66" i="27"/>
  <c r="D65" i="27"/>
  <c r="H54" i="27"/>
  <c r="I53" i="27"/>
  <c r="G53" i="27"/>
  <c r="E53" i="27"/>
  <c r="I52" i="27"/>
  <c r="G52" i="27"/>
  <c r="E52" i="27"/>
  <c r="I51" i="27"/>
  <c r="G51" i="27"/>
  <c r="E51" i="27"/>
  <c r="I50" i="27"/>
  <c r="G50" i="27"/>
  <c r="E50" i="27"/>
  <c r="I49" i="27"/>
  <c r="G49" i="27"/>
  <c r="G54" i="27" s="1"/>
  <c r="E49" i="27"/>
  <c r="I48" i="27"/>
  <c r="I54" i="27" s="1"/>
  <c r="G48" i="27"/>
  <c r="E48" i="27"/>
  <c r="H47" i="27"/>
  <c r="H44" i="27"/>
  <c r="I44" i="27" s="1"/>
  <c r="F44" i="27"/>
  <c r="G44" i="27" s="1"/>
  <c r="D44" i="27"/>
  <c r="E44" i="27" s="1"/>
  <c r="I43" i="27"/>
  <c r="G43" i="27"/>
  <c r="E43" i="27"/>
  <c r="I42" i="27"/>
  <c r="G42" i="27"/>
  <c r="E42" i="27"/>
  <c r="I41" i="27"/>
  <c r="G41" i="27"/>
  <c r="E41" i="27"/>
  <c r="I40" i="27"/>
  <c r="I45" i="27" s="1"/>
  <c r="G40" i="27"/>
  <c r="E40" i="27"/>
  <c r="E45" i="27" s="1"/>
  <c r="I39" i="27"/>
  <c r="G39" i="27"/>
  <c r="E39" i="27"/>
  <c r="I47" i="27"/>
  <c r="G47" i="27"/>
  <c r="I34" i="27"/>
  <c r="H34" i="27"/>
  <c r="G34" i="27"/>
  <c r="F34" i="27"/>
  <c r="E34" i="27"/>
  <c r="D34" i="27"/>
  <c r="I33" i="27"/>
  <c r="G33" i="27"/>
  <c r="E33" i="27"/>
  <c r="I32" i="27"/>
  <c r="G32" i="27"/>
  <c r="E32" i="27"/>
  <c r="I31" i="27"/>
  <c r="G31" i="27"/>
  <c r="E31" i="27"/>
  <c r="I30" i="27"/>
  <c r="G30" i="27"/>
  <c r="G35" i="27" s="1"/>
  <c r="E30" i="27"/>
  <c r="I29" i="27"/>
  <c r="I35" i="27" s="1"/>
  <c r="G29" i="27"/>
  <c r="E29" i="27"/>
  <c r="E35" i="27" s="1"/>
  <c r="H24" i="27"/>
  <c r="I24" i="27" s="1"/>
  <c r="F24" i="27"/>
  <c r="G24" i="27" s="1"/>
  <c r="D24" i="27"/>
  <c r="E24" i="27" s="1"/>
  <c r="I23" i="27"/>
  <c r="G23" i="27"/>
  <c r="E23" i="27"/>
  <c r="I22" i="27"/>
  <c r="G22" i="27"/>
  <c r="E22" i="27"/>
  <c r="I21" i="27"/>
  <c r="G21" i="27"/>
  <c r="E21" i="27"/>
  <c r="I20" i="27"/>
  <c r="I25" i="27" s="1"/>
  <c r="G20" i="27"/>
  <c r="E20" i="27"/>
  <c r="E25" i="27" s="1"/>
  <c r="I19" i="27"/>
  <c r="G19" i="27"/>
  <c r="E19" i="27"/>
  <c r="H12" i="27"/>
  <c r="D12" i="27"/>
  <c r="H11" i="27"/>
  <c r="D11" i="27"/>
  <c r="H9" i="27"/>
  <c r="H8" i="27"/>
  <c r="D8" i="27"/>
  <c r="BC36" i="26"/>
  <c r="BB36" i="26"/>
  <c r="BA36" i="26"/>
  <c r="AZ36" i="26"/>
  <c r="AY36" i="26"/>
  <c r="AX36" i="26"/>
  <c r="AW36" i="26"/>
  <c r="AV36" i="26"/>
  <c r="AU36" i="26"/>
  <c r="AT36" i="26"/>
  <c r="AS36" i="26"/>
  <c r="AR36" i="26"/>
  <c r="AQ36" i="26"/>
  <c r="AP36" i="26"/>
  <c r="AO36" i="26"/>
  <c r="AN36" i="26"/>
  <c r="AM36" i="26"/>
  <c r="AL36" i="26"/>
  <c r="AK36" i="26"/>
  <c r="AJ36" i="26"/>
  <c r="AI36" i="26"/>
  <c r="AH36" i="26"/>
  <c r="AG36" i="26"/>
  <c r="AF36" i="26"/>
  <c r="AE36" i="26"/>
  <c r="AD36" i="26"/>
  <c r="AC36" i="26"/>
  <c r="AB36" i="26"/>
  <c r="AA36" i="26"/>
  <c r="Z36" i="26"/>
  <c r="Y36" i="26"/>
  <c r="X36" i="26"/>
  <c r="W36" i="26"/>
  <c r="V36" i="26"/>
  <c r="U36" i="26"/>
  <c r="T36" i="26"/>
  <c r="S36" i="26"/>
  <c r="P36" i="26"/>
  <c r="N36" i="26"/>
  <c r="L36" i="26"/>
  <c r="I36" i="26"/>
  <c r="G36" i="26"/>
  <c r="F36" i="26"/>
  <c r="E36" i="26"/>
  <c r="D36" i="26"/>
  <c r="R35" i="26"/>
  <c r="Q35" i="26"/>
  <c r="O35" i="26"/>
  <c r="K35" i="26"/>
  <c r="M35" i="26" s="1"/>
  <c r="R34" i="26"/>
  <c r="Q34" i="26"/>
  <c r="O34" i="26"/>
  <c r="K34" i="26"/>
  <c r="M34" i="26" s="1"/>
  <c r="R33" i="26"/>
  <c r="Q33" i="26"/>
  <c r="O33" i="26"/>
  <c r="K33" i="26"/>
  <c r="M33" i="26" s="1"/>
  <c r="Q36" i="26"/>
  <c r="O36" i="26"/>
  <c r="V24" i="26"/>
  <c r="Y24" i="26" s="1"/>
  <c r="AB24" i="26" s="1"/>
  <c r="AE24" i="26" s="1"/>
  <c r="AH24" i="26" s="1"/>
  <c r="AK24" i="26" s="1"/>
  <c r="AN24" i="26" s="1"/>
  <c r="AQ24" i="26" s="1"/>
  <c r="AT24" i="26" s="1"/>
  <c r="AW24" i="26" s="1"/>
  <c r="AZ24" i="26" s="1"/>
  <c r="W13" i="26"/>
  <c r="S13" i="26"/>
  <c r="O13" i="26"/>
  <c r="K13" i="26"/>
  <c r="H13" i="26"/>
  <c r="G13" i="26"/>
  <c r="F13" i="26"/>
  <c r="E13" i="26"/>
  <c r="AD7" i="25"/>
  <c r="AC7" i="25"/>
  <c r="AB7" i="25"/>
  <c r="AA7" i="25"/>
  <c r="Z7" i="25"/>
  <c r="Y7" i="25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G7" i="25"/>
  <c r="D7" i="25"/>
  <c r="F6" i="25"/>
  <c r="E6" i="25"/>
  <c r="F5" i="25"/>
  <c r="E5" i="25"/>
  <c r="G3" i="25"/>
  <c r="I3" i="25" s="1"/>
  <c r="K3" i="25" s="1"/>
  <c r="M3" i="25" s="1"/>
  <c r="O3" i="25" s="1"/>
  <c r="Q3" i="25" s="1"/>
  <c r="S3" i="25" s="1"/>
  <c r="U3" i="25" s="1"/>
  <c r="W3" i="25" s="1"/>
  <c r="Y3" i="25" s="1"/>
  <c r="AA3" i="25" s="1"/>
  <c r="AC3" i="25" s="1"/>
  <c r="U18" i="24"/>
  <c r="T18" i="24"/>
  <c r="S18" i="24"/>
  <c r="R18" i="24"/>
  <c r="Q18" i="24"/>
  <c r="P18" i="24"/>
  <c r="O18" i="24"/>
  <c r="N18" i="24"/>
  <c r="M18" i="24"/>
  <c r="L18" i="24"/>
  <c r="K18" i="24"/>
  <c r="J18" i="24"/>
  <c r="I12" i="24"/>
  <c r="H12" i="24"/>
  <c r="J10" i="24"/>
  <c r="L10" i="24" s="1"/>
  <c r="N10" i="24" s="1"/>
  <c r="P10" i="24" s="1"/>
  <c r="R10" i="24" s="1"/>
  <c r="T10" i="24" s="1"/>
  <c r="AH7" i="24"/>
  <c r="AG7" i="24"/>
  <c r="AF7" i="24"/>
  <c r="AE7" i="24"/>
  <c r="AD7" i="24"/>
  <c r="AC7" i="24"/>
  <c r="AB7" i="24"/>
  <c r="AA7" i="24"/>
  <c r="Z7" i="24"/>
  <c r="Y7" i="24"/>
  <c r="X7" i="24"/>
  <c r="W7" i="24"/>
  <c r="V7" i="24"/>
  <c r="U7" i="24"/>
  <c r="T7" i="24"/>
  <c r="S7" i="24"/>
  <c r="R7" i="24"/>
  <c r="Q7" i="24"/>
  <c r="P7" i="24"/>
  <c r="O7" i="24"/>
  <c r="N7" i="24"/>
  <c r="M7" i="24"/>
  <c r="L7" i="24"/>
  <c r="K7" i="24"/>
  <c r="J7" i="24"/>
  <c r="E7" i="24"/>
  <c r="D7" i="24"/>
  <c r="I6" i="24"/>
  <c r="I7" i="24" s="1"/>
  <c r="H6" i="24"/>
  <c r="H7" i="24" s="1"/>
  <c r="L3" i="24"/>
  <c r="N3" i="24" s="1"/>
  <c r="P3" i="24" s="1"/>
  <c r="R3" i="24" s="1"/>
  <c r="T3" i="24" s="1"/>
  <c r="V3" i="24" s="1"/>
  <c r="X3" i="24" s="1"/>
  <c r="Z3" i="24" s="1"/>
  <c r="AB3" i="24" s="1"/>
  <c r="AD3" i="24" s="1"/>
  <c r="AF3" i="24" s="1"/>
  <c r="V35" i="23"/>
  <c r="V37" i="23" s="1"/>
  <c r="V38" i="23" s="1"/>
  <c r="U35" i="23"/>
  <c r="T35" i="23"/>
  <c r="S35" i="23"/>
  <c r="R35" i="23"/>
  <c r="V34" i="23"/>
  <c r="U34" i="23"/>
  <c r="T34" i="23"/>
  <c r="S34" i="23"/>
  <c r="V33" i="23"/>
  <c r="U33" i="23"/>
  <c r="T33" i="23"/>
  <c r="S33" i="23"/>
  <c r="V32" i="23"/>
  <c r="V31" i="23"/>
  <c r="R31" i="23"/>
  <c r="R53" i="23" s="1"/>
  <c r="V30" i="23"/>
  <c r="R28" i="23"/>
  <c r="V27" i="23"/>
  <c r="U27" i="23"/>
  <c r="T27" i="23"/>
  <c r="S27" i="23"/>
  <c r="R27" i="23"/>
  <c r="R34" i="23" s="1"/>
  <c r="JC26" i="23"/>
  <c r="V26" i="23"/>
  <c r="U26" i="23"/>
  <c r="T26" i="23"/>
  <c r="S26" i="23"/>
  <c r="JC25" i="23"/>
  <c r="IZ25" i="23"/>
  <c r="V25" i="23"/>
  <c r="U25" i="23"/>
  <c r="T25" i="23"/>
  <c r="S25" i="23"/>
  <c r="R25" i="23"/>
  <c r="R32" i="23" s="1"/>
  <c r="JE24" i="23"/>
  <c r="JE27" i="23" s="1"/>
  <c r="JE30" i="23" s="1"/>
  <c r="JC24" i="23"/>
  <c r="IZ24" i="23"/>
  <c r="V24" i="23"/>
  <c r="V53" i="23" s="1"/>
  <c r="U24" i="23"/>
  <c r="U53" i="23" s="1"/>
  <c r="T24" i="23"/>
  <c r="T53" i="23" s="1"/>
  <c r="S24" i="23"/>
  <c r="S53" i="23" s="1"/>
  <c r="R24" i="23"/>
  <c r="IZ23" i="23"/>
  <c r="V23" i="23"/>
  <c r="V52" i="23" s="1"/>
  <c r="V18" i="23"/>
  <c r="U18" i="23"/>
  <c r="U23" i="23" s="1"/>
  <c r="T18" i="23"/>
  <c r="T23" i="23" s="1"/>
  <c r="S18" i="23"/>
  <c r="S23" i="23" s="1"/>
  <c r="R18" i="23"/>
  <c r="R23" i="23" s="1"/>
  <c r="R52" i="23" s="1"/>
  <c r="V17" i="23"/>
  <c r="U17" i="23"/>
  <c r="T17" i="23"/>
  <c r="S17" i="23"/>
  <c r="R17" i="23"/>
  <c r="N17" i="23"/>
  <c r="M17" i="23"/>
  <c r="L17" i="23"/>
  <c r="K17" i="23"/>
  <c r="J17" i="23"/>
  <c r="F17" i="23"/>
  <c r="E17" i="23"/>
  <c r="D17" i="23"/>
  <c r="D18" i="23" s="1"/>
  <c r="C17" i="23"/>
  <c r="B17" i="23"/>
  <c r="A16" i="23"/>
  <c r="Q16" i="23" s="1"/>
  <c r="E3" i="17"/>
  <c r="C21" i="17"/>
  <c r="B19" i="17"/>
  <c r="R55" i="23" l="1"/>
  <c r="C18" i="23"/>
  <c r="E7" i="25"/>
  <c r="I16" i="23"/>
  <c r="A15" i="23"/>
  <c r="Q15" i="23" s="1"/>
  <c r="R40" i="23"/>
  <c r="F7" i="25"/>
  <c r="R36" i="26"/>
  <c r="H18" i="24"/>
  <c r="I18" i="24"/>
  <c r="E18" i="23"/>
  <c r="B18" i="23"/>
  <c r="F18" i="23"/>
  <c r="M36" i="26"/>
  <c r="G45" i="27"/>
  <c r="G25" i="27"/>
  <c r="G45" i="30"/>
  <c r="S31" i="23"/>
  <c r="S52" i="23"/>
  <c r="S30" i="23"/>
  <c r="T52" i="23"/>
  <c r="T30" i="23"/>
  <c r="T37" i="23" s="1"/>
  <c r="T38" i="23" s="1"/>
  <c r="T31" i="23"/>
  <c r="T32" i="23" s="1"/>
  <c r="U52" i="23"/>
  <c r="U30" i="23"/>
  <c r="U31" i="23"/>
  <c r="U32" i="23" s="1"/>
  <c r="S55" i="23"/>
  <c r="R30" i="23"/>
  <c r="R37" i="23" s="1"/>
  <c r="R38" i="23" s="1"/>
  <c r="T55" i="23"/>
  <c r="U36" i="23"/>
  <c r="U55" i="23"/>
  <c r="R36" i="23"/>
  <c r="V36" i="23"/>
  <c r="V55" i="23"/>
  <c r="B21" i="4"/>
  <c r="B5" i="1"/>
  <c r="T36" i="23" l="1"/>
  <c r="R58" i="23"/>
  <c r="I15" i="23"/>
  <c r="A14" i="23"/>
  <c r="I14" i="23" s="1"/>
  <c r="R45" i="23"/>
  <c r="B19" i="23"/>
  <c r="R44" i="23"/>
  <c r="U37" i="23"/>
  <c r="U38" i="23" s="1"/>
  <c r="R59" i="23"/>
  <c r="R60" i="23"/>
  <c r="S32" i="23"/>
  <c r="R61" i="23"/>
  <c r="F51" i="8"/>
  <c r="Q14" i="23" l="1"/>
  <c r="A13" i="23"/>
  <c r="I13" i="23" s="1"/>
  <c r="S36" i="23"/>
  <c r="S37" i="23"/>
  <c r="S38" i="23" s="1"/>
  <c r="S40" i="23"/>
  <c r="R43" i="23" s="1"/>
  <c r="B28" i="4"/>
  <c r="Q13" i="23" l="1"/>
  <c r="A12" i="23"/>
  <c r="Q12" i="23" s="1"/>
  <c r="R42" i="23"/>
  <c r="R41" i="23"/>
  <c r="A17" i="9"/>
  <c r="A16" i="9" s="1"/>
  <c r="A15" i="9" s="1"/>
  <c r="A14" i="9" s="1"/>
  <c r="A13" i="9" s="1"/>
  <c r="A12" i="9" s="1"/>
  <c r="A11" i="9" s="1"/>
  <c r="A10" i="9" s="1"/>
  <c r="A9" i="9" s="1"/>
  <c r="A8" i="9" s="1"/>
  <c r="A7" i="9" s="1"/>
  <c r="F36" i="8"/>
  <c r="F35" i="8"/>
  <c r="A11" i="23" l="1"/>
  <c r="A10" i="23" s="1"/>
  <c r="I12" i="23"/>
  <c r="F49" i="8"/>
  <c r="I11" i="23" l="1"/>
  <c r="Q11" i="23"/>
  <c r="Q10" i="23"/>
  <c r="I10" i="23"/>
  <c r="A9" i="23"/>
  <c r="B22" i="16"/>
  <c r="Q9" i="23" l="1"/>
  <c r="I9" i="23"/>
  <c r="A8" i="23"/>
  <c r="H82" i="16"/>
  <c r="F82" i="16"/>
  <c r="H81" i="16"/>
  <c r="F81" i="16"/>
  <c r="H64" i="16"/>
  <c r="F64" i="16"/>
  <c r="D64" i="16"/>
  <c r="B64" i="16"/>
  <c r="H63" i="16"/>
  <c r="F63" i="16"/>
  <c r="D63" i="16"/>
  <c r="B63" i="16"/>
  <c r="H62" i="16"/>
  <c r="H61" i="16" s="1"/>
  <c r="H99" i="16" s="1"/>
  <c r="F62" i="16"/>
  <c r="D62" i="16"/>
  <c r="B62" i="16"/>
  <c r="H60" i="16"/>
  <c r="F60" i="16"/>
  <c r="D60" i="16"/>
  <c r="B60" i="16"/>
  <c r="H59" i="16"/>
  <c r="F59" i="16"/>
  <c r="D59" i="16"/>
  <c r="B59" i="16"/>
  <c r="H58" i="16"/>
  <c r="F58" i="16"/>
  <c r="D58" i="16"/>
  <c r="B58" i="16"/>
  <c r="H56" i="16"/>
  <c r="F56" i="16"/>
  <c r="D56" i="16"/>
  <c r="B56" i="16"/>
  <c r="H55" i="16"/>
  <c r="F55" i="16"/>
  <c r="D55" i="16"/>
  <c r="B55" i="16"/>
  <c r="H53" i="16"/>
  <c r="F53" i="16"/>
  <c r="D53" i="16"/>
  <c r="B53" i="16"/>
  <c r="H52" i="16"/>
  <c r="F52" i="16"/>
  <c r="D52" i="16"/>
  <c r="B52" i="16"/>
  <c r="H51" i="16"/>
  <c r="F51" i="16"/>
  <c r="D51" i="16"/>
  <c r="B51" i="16"/>
  <c r="B50" i="16" s="1"/>
  <c r="H49" i="16"/>
  <c r="F49" i="16"/>
  <c r="D49" i="16"/>
  <c r="B49" i="16"/>
  <c r="H46" i="16"/>
  <c r="F46" i="16"/>
  <c r="D46" i="16"/>
  <c r="B46" i="16"/>
  <c r="H45" i="16"/>
  <c r="H44" i="16" s="1"/>
  <c r="H100" i="16" s="1"/>
  <c r="F45" i="16"/>
  <c r="D45" i="16"/>
  <c r="B45" i="16"/>
  <c r="H43" i="16"/>
  <c r="F43" i="16"/>
  <c r="D43" i="16"/>
  <c r="B43" i="16"/>
  <c r="H42" i="16"/>
  <c r="F42" i="16"/>
  <c r="D42" i="16"/>
  <c r="B42" i="16"/>
  <c r="H40" i="16"/>
  <c r="F40" i="16"/>
  <c r="D40" i="16"/>
  <c r="B40" i="16"/>
  <c r="H39" i="16"/>
  <c r="F39" i="16"/>
  <c r="D39" i="16"/>
  <c r="B39" i="16"/>
  <c r="H37" i="16"/>
  <c r="F37" i="16"/>
  <c r="D37" i="16"/>
  <c r="B37" i="16"/>
  <c r="H35" i="16"/>
  <c r="F35" i="16"/>
  <c r="D35" i="16"/>
  <c r="B35" i="16"/>
  <c r="H34" i="16"/>
  <c r="F34" i="16"/>
  <c r="D34" i="16"/>
  <c r="D36" i="16" s="1"/>
  <c r="B34" i="16"/>
  <c r="H28" i="16"/>
  <c r="F28" i="16"/>
  <c r="D28" i="16"/>
  <c r="C7" i="8" s="1"/>
  <c r="B28" i="16"/>
  <c r="B7" i="8" s="1"/>
  <c r="H27" i="16"/>
  <c r="F27" i="16"/>
  <c r="D27" i="16"/>
  <c r="C6" i="8" s="1"/>
  <c r="B27" i="16"/>
  <c r="B6" i="8" s="1"/>
  <c r="H24" i="16"/>
  <c r="F24" i="16"/>
  <c r="D24" i="16"/>
  <c r="C28" i="8" s="1"/>
  <c r="B24" i="16"/>
  <c r="B28" i="8" s="1"/>
  <c r="H22" i="16"/>
  <c r="F22" i="16"/>
  <c r="D22" i="16"/>
  <c r="H21" i="16"/>
  <c r="F21" i="16"/>
  <c r="D21" i="16"/>
  <c r="B21" i="16"/>
  <c r="H20" i="16"/>
  <c r="F20" i="16"/>
  <c r="D20" i="16"/>
  <c r="B20" i="16"/>
  <c r="H19" i="16"/>
  <c r="F19" i="16"/>
  <c r="D19" i="16"/>
  <c r="B19" i="16"/>
  <c r="H18" i="16"/>
  <c r="F18" i="16"/>
  <c r="D18" i="16"/>
  <c r="C8" i="8" s="1"/>
  <c r="B18" i="16"/>
  <c r="B8" i="8" s="1"/>
  <c r="H17" i="16"/>
  <c r="F17" i="16"/>
  <c r="D17" i="16"/>
  <c r="C5" i="8" s="1"/>
  <c r="B17" i="16"/>
  <c r="B5" i="8" s="1"/>
  <c r="H15" i="16"/>
  <c r="F15" i="16"/>
  <c r="D15" i="16"/>
  <c r="B15" i="16"/>
  <c r="H14" i="16"/>
  <c r="F14" i="16"/>
  <c r="D14" i="16"/>
  <c r="B14" i="16"/>
  <c r="H12" i="16"/>
  <c r="F12" i="16"/>
  <c r="D12" i="16"/>
  <c r="B12" i="16"/>
  <c r="H11" i="16"/>
  <c r="F11" i="16"/>
  <c r="D11" i="16"/>
  <c r="B11" i="16"/>
  <c r="H10" i="16"/>
  <c r="F10" i="16"/>
  <c r="D10" i="16"/>
  <c r="B10" i="16"/>
  <c r="H7" i="16"/>
  <c r="H94" i="16" s="1"/>
  <c r="F7" i="16"/>
  <c r="D7" i="16"/>
  <c r="B7" i="16"/>
  <c r="H6" i="16"/>
  <c r="F6" i="16"/>
  <c r="D6" i="16"/>
  <c r="B6" i="16"/>
  <c r="H5" i="16"/>
  <c r="F5" i="16"/>
  <c r="D5" i="16"/>
  <c r="B5" i="16"/>
  <c r="H104" i="15"/>
  <c r="F104" i="15"/>
  <c r="D104" i="15"/>
  <c r="B104" i="15"/>
  <c r="H98" i="15"/>
  <c r="F98" i="15"/>
  <c r="D98" i="15"/>
  <c r="B98" i="15"/>
  <c r="H94" i="15"/>
  <c r="F94" i="15"/>
  <c r="D94" i="15"/>
  <c r="B94" i="15"/>
  <c r="H93" i="15"/>
  <c r="F93" i="15"/>
  <c r="D93" i="15"/>
  <c r="B93" i="15"/>
  <c r="H92" i="15"/>
  <c r="F92" i="15"/>
  <c r="D92" i="15"/>
  <c r="B92" i="15"/>
  <c r="H91" i="15"/>
  <c r="F91" i="15"/>
  <c r="D91" i="15"/>
  <c r="B91" i="15"/>
  <c r="H90" i="15"/>
  <c r="F90" i="15"/>
  <c r="D90" i="15"/>
  <c r="B90" i="15"/>
  <c r="H89" i="15"/>
  <c r="F89" i="15"/>
  <c r="D89" i="15"/>
  <c r="B89" i="15"/>
  <c r="H88" i="15"/>
  <c r="F88" i="15"/>
  <c r="D88" i="15"/>
  <c r="B88" i="15"/>
  <c r="H82" i="15"/>
  <c r="F82" i="15"/>
  <c r="H81" i="15"/>
  <c r="F81" i="15"/>
  <c r="D81" i="15"/>
  <c r="B81" i="15"/>
  <c r="H71" i="15"/>
  <c r="F71" i="15"/>
  <c r="D71" i="15"/>
  <c r="B71" i="15"/>
  <c r="H70" i="15"/>
  <c r="F70" i="15"/>
  <c r="D70" i="15"/>
  <c r="B70" i="15"/>
  <c r="G64" i="15"/>
  <c r="E64" i="15"/>
  <c r="C64" i="15"/>
  <c r="G63" i="15"/>
  <c r="E63" i="15"/>
  <c r="C63" i="15"/>
  <c r="G62" i="15"/>
  <c r="E62" i="15"/>
  <c r="C62" i="15"/>
  <c r="H61" i="15"/>
  <c r="H99" i="15" s="1"/>
  <c r="F61" i="15"/>
  <c r="D61" i="15"/>
  <c r="B61" i="15"/>
  <c r="G60" i="15"/>
  <c r="E60" i="15"/>
  <c r="C60" i="15"/>
  <c r="G59" i="15"/>
  <c r="E59" i="15"/>
  <c r="C59" i="15"/>
  <c r="G58" i="15"/>
  <c r="E58" i="15"/>
  <c r="C58" i="15"/>
  <c r="H57" i="15"/>
  <c r="H97" i="15" s="1"/>
  <c r="F57" i="15"/>
  <c r="F69" i="15" s="1"/>
  <c r="D57" i="15"/>
  <c r="D69" i="15" s="1"/>
  <c r="B57" i="15"/>
  <c r="B69" i="15" s="1"/>
  <c r="G56" i="15"/>
  <c r="E56" i="15"/>
  <c r="C56" i="15"/>
  <c r="G55" i="15"/>
  <c r="E55" i="15"/>
  <c r="C55" i="15"/>
  <c r="G53" i="15"/>
  <c r="E53" i="15"/>
  <c r="C53" i="15"/>
  <c r="G52" i="15"/>
  <c r="E52" i="15"/>
  <c r="C52" i="15"/>
  <c r="G51" i="15"/>
  <c r="E51" i="15"/>
  <c r="C51" i="15"/>
  <c r="H50" i="15"/>
  <c r="F50" i="15"/>
  <c r="D50" i="15"/>
  <c r="B50" i="15"/>
  <c r="G49" i="15"/>
  <c r="E49" i="15"/>
  <c r="C49" i="15"/>
  <c r="G46" i="15"/>
  <c r="E46" i="15"/>
  <c r="C46" i="15"/>
  <c r="G45" i="15"/>
  <c r="E45" i="15"/>
  <c r="C45" i="15"/>
  <c r="H44" i="15"/>
  <c r="H100" i="15" s="1"/>
  <c r="F44" i="15"/>
  <c r="D44" i="15"/>
  <c r="B44" i="15"/>
  <c r="G43" i="15"/>
  <c r="E43" i="15"/>
  <c r="C43" i="15"/>
  <c r="G42" i="15"/>
  <c r="E42" i="15"/>
  <c r="C42" i="15"/>
  <c r="H41" i="15"/>
  <c r="F41" i="15"/>
  <c r="D41" i="15"/>
  <c r="D47" i="15" s="1"/>
  <c r="B41" i="15"/>
  <c r="G40" i="15"/>
  <c r="E40" i="15"/>
  <c r="C40" i="15"/>
  <c r="G39" i="15"/>
  <c r="E39" i="15"/>
  <c r="C39" i="15"/>
  <c r="H38" i="15"/>
  <c r="F38" i="15"/>
  <c r="D38" i="15"/>
  <c r="B38" i="15"/>
  <c r="G37" i="15"/>
  <c r="E37" i="15"/>
  <c r="C37" i="15"/>
  <c r="H36" i="15"/>
  <c r="H74" i="15" s="1"/>
  <c r="F36" i="15"/>
  <c r="F74" i="15" s="1"/>
  <c r="D36" i="15"/>
  <c r="B36" i="15"/>
  <c r="G35" i="15"/>
  <c r="E35" i="15"/>
  <c r="C35" i="15"/>
  <c r="G34" i="15"/>
  <c r="E34" i="15"/>
  <c r="C34" i="15"/>
  <c r="G33" i="15"/>
  <c r="E33" i="15"/>
  <c r="C33" i="15"/>
  <c r="F32" i="15"/>
  <c r="D32" i="15"/>
  <c r="B32" i="15"/>
  <c r="I28" i="15"/>
  <c r="G28" i="15"/>
  <c r="E28" i="15"/>
  <c r="C28" i="15"/>
  <c r="I27" i="15"/>
  <c r="G27" i="15"/>
  <c r="E27" i="15"/>
  <c r="C27" i="15"/>
  <c r="I24" i="15"/>
  <c r="G24" i="15"/>
  <c r="E24" i="15"/>
  <c r="C24" i="15"/>
  <c r="I22" i="15"/>
  <c r="G22" i="15"/>
  <c r="E22" i="15"/>
  <c r="C22" i="15"/>
  <c r="I21" i="15"/>
  <c r="G21" i="15"/>
  <c r="E21" i="15"/>
  <c r="C21" i="15"/>
  <c r="I20" i="15"/>
  <c r="G20" i="15"/>
  <c r="E20" i="15"/>
  <c r="C20" i="15"/>
  <c r="I19" i="15"/>
  <c r="G19" i="15"/>
  <c r="E19" i="15"/>
  <c r="C19" i="15"/>
  <c r="I18" i="15"/>
  <c r="G18" i="15"/>
  <c r="E18" i="15"/>
  <c r="C18" i="15"/>
  <c r="I17" i="15"/>
  <c r="G17" i="15"/>
  <c r="E17" i="15"/>
  <c r="C17" i="15"/>
  <c r="I15" i="15"/>
  <c r="G15" i="15"/>
  <c r="E15" i="15"/>
  <c r="C15" i="15"/>
  <c r="I14" i="15"/>
  <c r="G14" i="15"/>
  <c r="E14" i="15"/>
  <c r="C14" i="15"/>
  <c r="I12" i="15"/>
  <c r="G12" i="15"/>
  <c r="E12" i="15"/>
  <c r="C12" i="15"/>
  <c r="I11" i="15"/>
  <c r="G11" i="15"/>
  <c r="E11" i="15"/>
  <c r="C11" i="15"/>
  <c r="I10" i="15"/>
  <c r="G10" i="15"/>
  <c r="E10" i="15"/>
  <c r="C10" i="15"/>
  <c r="H8" i="15"/>
  <c r="H13" i="15" s="1"/>
  <c r="H78" i="15" s="1"/>
  <c r="F8" i="15"/>
  <c r="F13" i="15" s="1"/>
  <c r="F78" i="15" s="1"/>
  <c r="D8" i="15"/>
  <c r="B8" i="15"/>
  <c r="B13" i="15" s="1"/>
  <c r="G7" i="15"/>
  <c r="E7" i="15"/>
  <c r="C7" i="15"/>
  <c r="G6" i="15"/>
  <c r="E6" i="15"/>
  <c r="C6" i="15"/>
  <c r="G5" i="15"/>
  <c r="E5" i="15"/>
  <c r="C5" i="15"/>
  <c r="H104" i="14"/>
  <c r="F104" i="14"/>
  <c r="D104" i="14"/>
  <c r="B104" i="14"/>
  <c r="H98" i="14"/>
  <c r="F98" i="14"/>
  <c r="D98" i="14"/>
  <c r="B98" i="14"/>
  <c r="H94" i="14"/>
  <c r="F94" i="14"/>
  <c r="D94" i="14"/>
  <c r="B94" i="14"/>
  <c r="H93" i="14"/>
  <c r="F93" i="14"/>
  <c r="D93" i="14"/>
  <c r="B93" i="14"/>
  <c r="H92" i="14"/>
  <c r="F92" i="14"/>
  <c r="D92" i="14"/>
  <c r="B92" i="14"/>
  <c r="H91" i="14"/>
  <c r="F91" i="14"/>
  <c r="D91" i="14"/>
  <c r="B91" i="14"/>
  <c r="H90" i="14"/>
  <c r="F90" i="14"/>
  <c r="D90" i="14"/>
  <c r="B90" i="14"/>
  <c r="H89" i="14"/>
  <c r="F89" i="14"/>
  <c r="D89" i="14"/>
  <c r="B89" i="14"/>
  <c r="H88" i="14"/>
  <c r="F88" i="14"/>
  <c r="D88" i="14"/>
  <c r="B88" i="14"/>
  <c r="H82" i="14"/>
  <c r="F82" i="14"/>
  <c r="H81" i="14"/>
  <c r="F81" i="14"/>
  <c r="D81" i="14"/>
  <c r="B81" i="14"/>
  <c r="H71" i="14"/>
  <c r="F71" i="14"/>
  <c r="D71" i="14"/>
  <c r="B71" i="14"/>
  <c r="H70" i="14"/>
  <c r="F70" i="14"/>
  <c r="D70" i="14"/>
  <c r="B70" i="14"/>
  <c r="G64" i="14"/>
  <c r="E64" i="14"/>
  <c r="C64" i="14"/>
  <c r="G63" i="14"/>
  <c r="E63" i="14"/>
  <c r="C63" i="14"/>
  <c r="G62" i="14"/>
  <c r="E62" i="14"/>
  <c r="C62" i="14"/>
  <c r="H61" i="14"/>
  <c r="H99" i="14" s="1"/>
  <c r="F61" i="14"/>
  <c r="F99" i="14" s="1"/>
  <c r="D61" i="14"/>
  <c r="B61" i="14"/>
  <c r="G60" i="14"/>
  <c r="E60" i="14"/>
  <c r="C60" i="14"/>
  <c r="G59" i="14"/>
  <c r="E59" i="14"/>
  <c r="C59" i="14"/>
  <c r="G58" i="14"/>
  <c r="E58" i="14"/>
  <c r="C58" i="14"/>
  <c r="H57" i="14"/>
  <c r="H97" i="14" s="1"/>
  <c r="F57" i="14"/>
  <c r="F97" i="14" s="1"/>
  <c r="D57" i="14"/>
  <c r="D69" i="14" s="1"/>
  <c r="B57" i="14"/>
  <c r="B69" i="14" s="1"/>
  <c r="G56" i="14"/>
  <c r="E56" i="14"/>
  <c r="C56" i="14"/>
  <c r="G55" i="14"/>
  <c r="E55" i="14"/>
  <c r="C55" i="14"/>
  <c r="G53" i="14"/>
  <c r="E53" i="14"/>
  <c r="C53" i="14"/>
  <c r="G52" i="14"/>
  <c r="E52" i="14"/>
  <c r="C52" i="14"/>
  <c r="G51" i="14"/>
  <c r="E51" i="14"/>
  <c r="C51" i="14"/>
  <c r="H50" i="14"/>
  <c r="F50" i="14"/>
  <c r="D50" i="14"/>
  <c r="B50" i="14"/>
  <c r="G49" i="14"/>
  <c r="E49" i="14"/>
  <c r="C49" i="14"/>
  <c r="G46" i="14"/>
  <c r="E46" i="14"/>
  <c r="C46" i="14"/>
  <c r="G45" i="14"/>
  <c r="E45" i="14"/>
  <c r="C45" i="14"/>
  <c r="H44" i="14"/>
  <c r="H100" i="14" s="1"/>
  <c r="F44" i="14"/>
  <c r="D44" i="14"/>
  <c r="B44" i="14"/>
  <c r="G43" i="14"/>
  <c r="E43" i="14"/>
  <c r="C43" i="14"/>
  <c r="G42" i="14"/>
  <c r="E42" i="14"/>
  <c r="C42" i="14"/>
  <c r="H41" i="14"/>
  <c r="F41" i="14"/>
  <c r="D41" i="14"/>
  <c r="D47" i="14" s="1"/>
  <c r="B41" i="14"/>
  <c r="G40" i="14"/>
  <c r="E40" i="14"/>
  <c r="C40" i="14"/>
  <c r="G39" i="14"/>
  <c r="E39" i="14"/>
  <c r="C39" i="14"/>
  <c r="H38" i="14"/>
  <c r="F38" i="14"/>
  <c r="D38" i="14"/>
  <c r="B38" i="14"/>
  <c r="G37" i="14"/>
  <c r="E37" i="14"/>
  <c r="C37" i="14"/>
  <c r="H36" i="14"/>
  <c r="H74" i="14" s="1"/>
  <c r="F36" i="14"/>
  <c r="D36" i="14"/>
  <c r="B36" i="14"/>
  <c r="G35" i="14"/>
  <c r="E35" i="14"/>
  <c r="C35" i="14"/>
  <c r="G34" i="14"/>
  <c r="E34" i="14"/>
  <c r="C34" i="14"/>
  <c r="G33" i="14"/>
  <c r="E33" i="14"/>
  <c r="C33" i="14"/>
  <c r="F32" i="14"/>
  <c r="D32" i="14"/>
  <c r="B32" i="14"/>
  <c r="I28" i="14"/>
  <c r="G28" i="14"/>
  <c r="E28" i="14"/>
  <c r="C28" i="14"/>
  <c r="I27" i="14"/>
  <c r="G27" i="14"/>
  <c r="E27" i="14"/>
  <c r="C27" i="14"/>
  <c r="I24" i="14"/>
  <c r="G24" i="14"/>
  <c r="E24" i="14"/>
  <c r="C24" i="14"/>
  <c r="I22" i="14"/>
  <c r="G22" i="14"/>
  <c r="E22" i="14"/>
  <c r="C22" i="14"/>
  <c r="I21" i="14"/>
  <c r="G21" i="14"/>
  <c r="E21" i="14"/>
  <c r="C21" i="14"/>
  <c r="I20" i="14"/>
  <c r="G20" i="14"/>
  <c r="E20" i="14"/>
  <c r="C20" i="14"/>
  <c r="I19" i="14"/>
  <c r="G19" i="14"/>
  <c r="E19" i="14"/>
  <c r="C19" i="14"/>
  <c r="I18" i="14"/>
  <c r="G18" i="14"/>
  <c r="E18" i="14"/>
  <c r="C18" i="14"/>
  <c r="I17" i="14"/>
  <c r="G17" i="14"/>
  <c r="E17" i="14"/>
  <c r="C17" i="14"/>
  <c r="I15" i="14"/>
  <c r="G15" i="14"/>
  <c r="E15" i="14"/>
  <c r="C15" i="14"/>
  <c r="I14" i="14"/>
  <c r="G14" i="14"/>
  <c r="E14" i="14"/>
  <c r="C14" i="14"/>
  <c r="I12" i="14"/>
  <c r="G12" i="14"/>
  <c r="E12" i="14"/>
  <c r="C12" i="14"/>
  <c r="I11" i="14"/>
  <c r="G11" i="14"/>
  <c r="E11" i="14"/>
  <c r="C11" i="14"/>
  <c r="I10" i="14"/>
  <c r="G10" i="14"/>
  <c r="E10" i="14"/>
  <c r="C10" i="14"/>
  <c r="H8" i="14"/>
  <c r="H13" i="14" s="1"/>
  <c r="H78" i="14" s="1"/>
  <c r="F8" i="14"/>
  <c r="F13" i="14" s="1"/>
  <c r="D8" i="14"/>
  <c r="D13" i="14" s="1"/>
  <c r="D78" i="14" s="1"/>
  <c r="B8" i="14"/>
  <c r="B13" i="14" s="1"/>
  <c r="G7" i="14"/>
  <c r="E7" i="14"/>
  <c r="C7" i="14"/>
  <c r="G6" i="14"/>
  <c r="E6" i="14"/>
  <c r="C6" i="14"/>
  <c r="G5" i="14"/>
  <c r="E5" i="14"/>
  <c r="C5" i="14"/>
  <c r="H104" i="13"/>
  <c r="F104" i="13"/>
  <c r="D104" i="13"/>
  <c r="B104" i="13"/>
  <c r="H98" i="13"/>
  <c r="F98" i="13"/>
  <c r="D98" i="13"/>
  <c r="B98" i="13"/>
  <c r="H94" i="13"/>
  <c r="F94" i="13"/>
  <c r="D94" i="13"/>
  <c r="B94" i="13"/>
  <c r="H93" i="13"/>
  <c r="F93" i="13"/>
  <c r="D93" i="13"/>
  <c r="B93" i="13"/>
  <c r="H92" i="13"/>
  <c r="F92" i="13"/>
  <c r="D92" i="13"/>
  <c r="B92" i="13"/>
  <c r="H91" i="13"/>
  <c r="F91" i="13"/>
  <c r="D91" i="13"/>
  <c r="B91" i="13"/>
  <c r="H90" i="13"/>
  <c r="F90" i="13"/>
  <c r="D90" i="13"/>
  <c r="B90" i="13"/>
  <c r="H89" i="13"/>
  <c r="F89" i="13"/>
  <c r="D89" i="13"/>
  <c r="B89" i="13"/>
  <c r="H88" i="13"/>
  <c r="F88" i="13"/>
  <c r="D88" i="13"/>
  <c r="B88" i="13"/>
  <c r="H82" i="13"/>
  <c r="F82" i="13"/>
  <c r="H81" i="13"/>
  <c r="F81" i="13"/>
  <c r="D81" i="13"/>
  <c r="B81" i="13"/>
  <c r="H71" i="13"/>
  <c r="F71" i="13"/>
  <c r="D71" i="13"/>
  <c r="B71" i="13"/>
  <c r="H70" i="13"/>
  <c r="F70" i="13"/>
  <c r="D70" i="13"/>
  <c r="B70" i="13"/>
  <c r="G64" i="13"/>
  <c r="E64" i="13"/>
  <c r="C64" i="13"/>
  <c r="G63" i="13"/>
  <c r="E63" i="13"/>
  <c r="C63" i="13"/>
  <c r="G62" i="13"/>
  <c r="E62" i="13"/>
  <c r="C62" i="13"/>
  <c r="H61" i="13"/>
  <c r="H99" i="13" s="1"/>
  <c r="F61" i="13"/>
  <c r="F99" i="13" s="1"/>
  <c r="D61" i="13"/>
  <c r="B61" i="13"/>
  <c r="G60" i="13"/>
  <c r="E60" i="13"/>
  <c r="C60" i="13"/>
  <c r="G59" i="13"/>
  <c r="E59" i="13"/>
  <c r="C59" i="13"/>
  <c r="G58" i="13"/>
  <c r="E58" i="13"/>
  <c r="C58" i="13"/>
  <c r="H57" i="13"/>
  <c r="H97" i="13" s="1"/>
  <c r="F57" i="13"/>
  <c r="F97" i="13" s="1"/>
  <c r="D57" i="13"/>
  <c r="D69" i="13" s="1"/>
  <c r="B57" i="13"/>
  <c r="B69" i="13" s="1"/>
  <c r="G56" i="13"/>
  <c r="E56" i="13"/>
  <c r="C56" i="13"/>
  <c r="G55" i="13"/>
  <c r="E55" i="13"/>
  <c r="C55" i="13"/>
  <c r="G53" i="13"/>
  <c r="E53" i="13"/>
  <c r="C53" i="13"/>
  <c r="G52" i="13"/>
  <c r="E52" i="13"/>
  <c r="C52" i="13"/>
  <c r="G51" i="13"/>
  <c r="E51" i="13"/>
  <c r="C51" i="13"/>
  <c r="H50" i="13"/>
  <c r="F50" i="13"/>
  <c r="D50" i="13"/>
  <c r="B50" i="13"/>
  <c r="G49" i="13"/>
  <c r="E49" i="13"/>
  <c r="C49" i="13"/>
  <c r="G46" i="13"/>
  <c r="E46" i="13"/>
  <c r="C46" i="13"/>
  <c r="G45" i="13"/>
  <c r="E45" i="13"/>
  <c r="C45" i="13"/>
  <c r="H44" i="13"/>
  <c r="H100" i="13" s="1"/>
  <c r="F44" i="13"/>
  <c r="D44" i="13"/>
  <c r="B44" i="13"/>
  <c r="G43" i="13"/>
  <c r="E43" i="13"/>
  <c r="C43" i="13"/>
  <c r="G42" i="13"/>
  <c r="E42" i="13"/>
  <c r="C42" i="13"/>
  <c r="H41" i="13"/>
  <c r="F41" i="13"/>
  <c r="D41" i="13"/>
  <c r="D47" i="13" s="1"/>
  <c r="B41" i="13"/>
  <c r="B47" i="13" s="1"/>
  <c r="G40" i="13"/>
  <c r="E40" i="13"/>
  <c r="C40" i="13"/>
  <c r="G39" i="13"/>
  <c r="E39" i="13"/>
  <c r="C39" i="13"/>
  <c r="H38" i="13"/>
  <c r="F38" i="13"/>
  <c r="D38" i="13"/>
  <c r="B38" i="13"/>
  <c r="G37" i="13"/>
  <c r="E37" i="13"/>
  <c r="C37" i="13"/>
  <c r="H36" i="13"/>
  <c r="H74" i="13" s="1"/>
  <c r="F36" i="13"/>
  <c r="F74" i="13" s="1"/>
  <c r="D36" i="13"/>
  <c r="B36" i="13"/>
  <c r="G35" i="13"/>
  <c r="E35" i="13"/>
  <c r="C35" i="13"/>
  <c r="G34" i="13"/>
  <c r="E34" i="13"/>
  <c r="C34" i="13"/>
  <c r="G33" i="13"/>
  <c r="E33" i="13"/>
  <c r="C33" i="13"/>
  <c r="F32" i="13"/>
  <c r="D32" i="13"/>
  <c r="B32" i="13"/>
  <c r="I28" i="13"/>
  <c r="G28" i="13"/>
  <c r="E28" i="13"/>
  <c r="C28" i="13"/>
  <c r="I27" i="13"/>
  <c r="G27" i="13"/>
  <c r="E27" i="13"/>
  <c r="C27" i="13"/>
  <c r="I24" i="13"/>
  <c r="G24" i="13"/>
  <c r="E24" i="13"/>
  <c r="C24" i="13"/>
  <c r="I22" i="13"/>
  <c r="G22" i="13"/>
  <c r="E22" i="13"/>
  <c r="C22" i="13"/>
  <c r="I21" i="13"/>
  <c r="G21" i="13"/>
  <c r="E21" i="13"/>
  <c r="C21" i="13"/>
  <c r="I20" i="13"/>
  <c r="G20" i="13"/>
  <c r="E20" i="13"/>
  <c r="C20" i="13"/>
  <c r="I19" i="13"/>
  <c r="G19" i="13"/>
  <c r="E19" i="13"/>
  <c r="C19" i="13"/>
  <c r="I18" i="13"/>
  <c r="G18" i="13"/>
  <c r="E18" i="13"/>
  <c r="C18" i="13"/>
  <c r="I17" i="13"/>
  <c r="G17" i="13"/>
  <c r="E17" i="13"/>
  <c r="C17" i="13"/>
  <c r="I15" i="13"/>
  <c r="G15" i="13"/>
  <c r="E15" i="13"/>
  <c r="C15" i="13"/>
  <c r="I14" i="13"/>
  <c r="G14" i="13"/>
  <c r="E14" i="13"/>
  <c r="C14" i="13"/>
  <c r="I12" i="13"/>
  <c r="G12" i="13"/>
  <c r="E12" i="13"/>
  <c r="C12" i="13"/>
  <c r="I11" i="13"/>
  <c r="G11" i="13"/>
  <c r="E11" i="13"/>
  <c r="C11" i="13"/>
  <c r="I10" i="13"/>
  <c r="G10" i="13"/>
  <c r="E10" i="13"/>
  <c r="C10" i="13"/>
  <c r="H8" i="13"/>
  <c r="H13" i="13" s="1"/>
  <c r="H78" i="13" s="1"/>
  <c r="F8" i="13"/>
  <c r="F13" i="13" s="1"/>
  <c r="F78" i="13" s="1"/>
  <c r="D8" i="13"/>
  <c r="B8" i="13"/>
  <c r="B13" i="13" s="1"/>
  <c r="G7" i="13"/>
  <c r="E7" i="13"/>
  <c r="C7" i="13"/>
  <c r="G6" i="13"/>
  <c r="E6" i="13"/>
  <c r="C6" i="13"/>
  <c r="G5" i="13"/>
  <c r="E5" i="13"/>
  <c r="C5" i="13"/>
  <c r="H104" i="12"/>
  <c r="F104" i="12"/>
  <c r="D104" i="12"/>
  <c r="B104" i="12"/>
  <c r="H98" i="12"/>
  <c r="F98" i="12"/>
  <c r="D98" i="12"/>
  <c r="B98" i="12"/>
  <c r="H94" i="12"/>
  <c r="F94" i="12"/>
  <c r="D94" i="12"/>
  <c r="B94" i="12"/>
  <c r="H93" i="12"/>
  <c r="F93" i="12"/>
  <c r="D93" i="12"/>
  <c r="B93" i="12"/>
  <c r="H92" i="12"/>
  <c r="F92" i="12"/>
  <c r="D92" i="12"/>
  <c r="B92" i="12"/>
  <c r="H91" i="12"/>
  <c r="F91" i="12"/>
  <c r="D91" i="12"/>
  <c r="B91" i="12"/>
  <c r="H90" i="12"/>
  <c r="F90" i="12"/>
  <c r="D90" i="12"/>
  <c r="B90" i="12"/>
  <c r="H89" i="12"/>
  <c r="F89" i="12"/>
  <c r="D89" i="12"/>
  <c r="B89" i="12"/>
  <c r="H88" i="12"/>
  <c r="F88" i="12"/>
  <c r="D88" i="12"/>
  <c r="B88" i="12"/>
  <c r="H82" i="12"/>
  <c r="F82" i="12"/>
  <c r="H81" i="12"/>
  <c r="F81" i="12"/>
  <c r="D81" i="12"/>
  <c r="B81" i="12"/>
  <c r="H71" i="12"/>
  <c r="F71" i="12"/>
  <c r="D71" i="12"/>
  <c r="B71" i="12"/>
  <c r="H70" i="12"/>
  <c r="F70" i="12"/>
  <c r="D70" i="12"/>
  <c r="B70" i="12"/>
  <c r="G64" i="12"/>
  <c r="E64" i="12"/>
  <c r="C64" i="12"/>
  <c r="G63" i="12"/>
  <c r="E63" i="12"/>
  <c r="C63" i="12"/>
  <c r="G62" i="12"/>
  <c r="E62" i="12"/>
  <c r="C62" i="12"/>
  <c r="H61" i="12"/>
  <c r="H99" i="12" s="1"/>
  <c r="F61" i="12"/>
  <c r="F99" i="12" s="1"/>
  <c r="D61" i="12"/>
  <c r="B61" i="12"/>
  <c r="G60" i="12"/>
  <c r="E60" i="12"/>
  <c r="C60" i="12"/>
  <c r="G59" i="12"/>
  <c r="E59" i="12"/>
  <c r="C59" i="12"/>
  <c r="G58" i="12"/>
  <c r="E58" i="12"/>
  <c r="C58" i="12"/>
  <c r="H57" i="12"/>
  <c r="H97" i="12" s="1"/>
  <c r="F57" i="12"/>
  <c r="F97" i="12" s="1"/>
  <c r="D57" i="12"/>
  <c r="B57" i="12"/>
  <c r="B69" i="12" s="1"/>
  <c r="G56" i="12"/>
  <c r="E56" i="12"/>
  <c r="C56" i="12"/>
  <c r="G55" i="12"/>
  <c r="E55" i="12"/>
  <c r="C55" i="12"/>
  <c r="G53" i="12"/>
  <c r="E53" i="12"/>
  <c r="C53" i="12"/>
  <c r="G52" i="12"/>
  <c r="E52" i="12"/>
  <c r="C52" i="12"/>
  <c r="G51" i="12"/>
  <c r="E51" i="12"/>
  <c r="C51" i="12"/>
  <c r="H50" i="12"/>
  <c r="F50" i="12"/>
  <c r="D50" i="12"/>
  <c r="B50" i="12"/>
  <c r="G49" i="12"/>
  <c r="E49" i="12"/>
  <c r="C49" i="12"/>
  <c r="G46" i="12"/>
  <c r="E46" i="12"/>
  <c r="C46" i="12"/>
  <c r="G45" i="12"/>
  <c r="E45" i="12"/>
  <c r="C45" i="12"/>
  <c r="H44" i="12"/>
  <c r="H100" i="12" s="1"/>
  <c r="F44" i="12"/>
  <c r="D44" i="12"/>
  <c r="B44" i="12"/>
  <c r="G43" i="12"/>
  <c r="E43" i="12"/>
  <c r="C43" i="12"/>
  <c r="G42" i="12"/>
  <c r="E42" i="12"/>
  <c r="C42" i="12"/>
  <c r="H41" i="12"/>
  <c r="F41" i="12"/>
  <c r="D41" i="12"/>
  <c r="B41" i="12"/>
  <c r="G40" i="12"/>
  <c r="E40" i="12"/>
  <c r="C40" i="12"/>
  <c r="G39" i="12"/>
  <c r="E39" i="12"/>
  <c r="C39" i="12"/>
  <c r="H38" i="12"/>
  <c r="F38" i="12"/>
  <c r="D38" i="12"/>
  <c r="B38" i="12"/>
  <c r="G37" i="12"/>
  <c r="E37" i="12"/>
  <c r="C37" i="12"/>
  <c r="H36" i="12"/>
  <c r="H74" i="12" s="1"/>
  <c r="F36" i="12"/>
  <c r="D36" i="12"/>
  <c r="D74" i="12" s="1"/>
  <c r="B36" i="12"/>
  <c r="G35" i="12"/>
  <c r="E35" i="12"/>
  <c r="C35" i="12"/>
  <c r="G34" i="12"/>
  <c r="E34" i="12"/>
  <c r="C34" i="12"/>
  <c r="G33" i="12"/>
  <c r="E33" i="12"/>
  <c r="C33" i="12"/>
  <c r="F32" i="12"/>
  <c r="D32" i="12"/>
  <c r="B32" i="12"/>
  <c r="I28" i="12"/>
  <c r="G28" i="12"/>
  <c r="E28" i="12"/>
  <c r="C28" i="12"/>
  <c r="I27" i="12"/>
  <c r="G27" i="12"/>
  <c r="E27" i="12"/>
  <c r="C27" i="12"/>
  <c r="I24" i="12"/>
  <c r="G24" i="12"/>
  <c r="E24" i="12"/>
  <c r="C24" i="12"/>
  <c r="I22" i="12"/>
  <c r="G22" i="12"/>
  <c r="E22" i="12"/>
  <c r="C22" i="12"/>
  <c r="I21" i="12"/>
  <c r="G21" i="12"/>
  <c r="E21" i="12"/>
  <c r="C21" i="12"/>
  <c r="I20" i="12"/>
  <c r="G20" i="12"/>
  <c r="E20" i="12"/>
  <c r="C20" i="12"/>
  <c r="I19" i="12"/>
  <c r="G19" i="12"/>
  <c r="E19" i="12"/>
  <c r="C19" i="12"/>
  <c r="I18" i="12"/>
  <c r="G18" i="12"/>
  <c r="E18" i="12"/>
  <c r="C18" i="12"/>
  <c r="I17" i="12"/>
  <c r="G17" i="12"/>
  <c r="E17" i="12"/>
  <c r="C17" i="12"/>
  <c r="I15" i="12"/>
  <c r="G15" i="12"/>
  <c r="E15" i="12"/>
  <c r="C15" i="12"/>
  <c r="I14" i="12"/>
  <c r="G14" i="12"/>
  <c r="E14" i="12"/>
  <c r="C14" i="12"/>
  <c r="I12" i="12"/>
  <c r="G12" i="12"/>
  <c r="E12" i="12"/>
  <c r="C12" i="12"/>
  <c r="I11" i="12"/>
  <c r="G11" i="12"/>
  <c r="E11" i="12"/>
  <c r="C11" i="12"/>
  <c r="I10" i="12"/>
  <c r="G10" i="12"/>
  <c r="E10" i="12"/>
  <c r="C10" i="12"/>
  <c r="H8" i="12"/>
  <c r="H13" i="12" s="1"/>
  <c r="H78" i="12" s="1"/>
  <c r="F8" i="12"/>
  <c r="F13" i="12" s="1"/>
  <c r="F78" i="12" s="1"/>
  <c r="D8" i="12"/>
  <c r="B8" i="12"/>
  <c r="B13" i="12" s="1"/>
  <c r="G7" i="12"/>
  <c r="E7" i="12"/>
  <c r="C7" i="12"/>
  <c r="G6" i="12"/>
  <c r="E6" i="12"/>
  <c r="C6" i="12"/>
  <c r="G5" i="12"/>
  <c r="E5" i="12"/>
  <c r="C5" i="12"/>
  <c r="A7" i="23" l="1"/>
  <c r="I8" i="23"/>
  <c r="Q8" i="23"/>
  <c r="G13" i="14"/>
  <c r="F78" i="14"/>
  <c r="F47" i="12"/>
  <c r="F47" i="13"/>
  <c r="F47" i="15"/>
  <c r="C13" i="12"/>
  <c r="B78" i="12"/>
  <c r="H47" i="12"/>
  <c r="C13" i="13"/>
  <c r="B78" i="13"/>
  <c r="H47" i="13"/>
  <c r="C13" i="14"/>
  <c r="B78" i="14"/>
  <c r="H47" i="14"/>
  <c r="C13" i="15"/>
  <c r="B78" i="15"/>
  <c r="H47" i="15"/>
  <c r="B47" i="12"/>
  <c r="B57" i="16"/>
  <c r="F50" i="16"/>
  <c r="D47" i="12"/>
  <c r="C63" i="16"/>
  <c r="G63" i="16"/>
  <c r="B47" i="15"/>
  <c r="C47" i="15" s="1"/>
  <c r="D48" i="14"/>
  <c r="E8" i="15"/>
  <c r="C38" i="15"/>
  <c r="G38" i="15"/>
  <c r="G47" i="15"/>
  <c r="B54" i="15"/>
  <c r="B65" i="15" s="1"/>
  <c r="E45" i="16"/>
  <c r="E51" i="16"/>
  <c r="E53" i="16"/>
  <c r="E55" i="16"/>
  <c r="E59" i="16"/>
  <c r="E63" i="16"/>
  <c r="C41" i="14"/>
  <c r="G41" i="14"/>
  <c r="C64" i="16"/>
  <c r="G64" i="16"/>
  <c r="F54" i="12"/>
  <c r="F65" i="12" s="1"/>
  <c r="E57" i="12"/>
  <c r="B54" i="12"/>
  <c r="B72" i="12" s="1"/>
  <c r="F54" i="13"/>
  <c r="F73" i="13" s="1"/>
  <c r="B54" i="13"/>
  <c r="B73" i="13" s="1"/>
  <c r="C36" i="14"/>
  <c r="G36" i="14"/>
  <c r="E38" i="14"/>
  <c r="E41" i="14"/>
  <c r="C44" i="14"/>
  <c r="G44" i="14"/>
  <c r="B54" i="14"/>
  <c r="B65" i="14" s="1"/>
  <c r="C6" i="16"/>
  <c r="G6" i="16"/>
  <c r="H38" i="16"/>
  <c r="E35" i="16"/>
  <c r="E37" i="16"/>
  <c r="E39" i="16"/>
  <c r="E43" i="16"/>
  <c r="E61" i="12"/>
  <c r="E8" i="13"/>
  <c r="C38" i="13"/>
  <c r="G38" i="13"/>
  <c r="C47" i="13"/>
  <c r="G47" i="13"/>
  <c r="F54" i="14"/>
  <c r="F65" i="14" s="1"/>
  <c r="F54" i="15"/>
  <c r="F72" i="15" s="1"/>
  <c r="D44" i="16"/>
  <c r="C45" i="16"/>
  <c r="G45" i="16"/>
  <c r="C49" i="16"/>
  <c r="G49" i="16"/>
  <c r="C51" i="16"/>
  <c r="C61" i="12"/>
  <c r="E8" i="12"/>
  <c r="C38" i="12"/>
  <c r="G38" i="12"/>
  <c r="G47" i="12"/>
  <c r="B99" i="13"/>
  <c r="C8" i="14"/>
  <c r="E8" i="14"/>
  <c r="G8" i="14"/>
  <c r="B99" i="14"/>
  <c r="B99" i="15"/>
  <c r="C59" i="16"/>
  <c r="G59" i="16"/>
  <c r="F69" i="12"/>
  <c r="D100" i="12"/>
  <c r="D54" i="12"/>
  <c r="D73" i="12" s="1"/>
  <c r="H54" i="12"/>
  <c r="H65" i="12" s="1"/>
  <c r="C57" i="12"/>
  <c r="G57" i="12"/>
  <c r="G61" i="12"/>
  <c r="B48" i="13"/>
  <c r="E47" i="13"/>
  <c r="D54" i="13"/>
  <c r="D65" i="13" s="1"/>
  <c r="H54" i="13"/>
  <c r="H73" i="13" s="1"/>
  <c r="C61" i="13"/>
  <c r="D54" i="14"/>
  <c r="D73" i="14" s="1"/>
  <c r="H54" i="14"/>
  <c r="H73" i="14" s="1"/>
  <c r="C61" i="14"/>
  <c r="B48" i="15"/>
  <c r="E47" i="15"/>
  <c r="D54" i="15"/>
  <c r="H54" i="15"/>
  <c r="H65" i="15" s="1"/>
  <c r="C61" i="15"/>
  <c r="G61" i="15"/>
  <c r="E6" i="16"/>
  <c r="F38" i="16"/>
  <c r="C35" i="16"/>
  <c r="G35" i="16"/>
  <c r="C37" i="16"/>
  <c r="G37" i="16"/>
  <c r="C39" i="16"/>
  <c r="G39" i="16"/>
  <c r="C42" i="16"/>
  <c r="G42" i="16"/>
  <c r="C43" i="16"/>
  <c r="G43" i="16"/>
  <c r="E49" i="16"/>
  <c r="G51" i="16"/>
  <c r="C53" i="16"/>
  <c r="G53" i="16"/>
  <c r="C55" i="16"/>
  <c r="G55" i="16"/>
  <c r="H57" i="16"/>
  <c r="H54" i="16" s="1"/>
  <c r="C60" i="16"/>
  <c r="G60" i="16"/>
  <c r="E64" i="16"/>
  <c r="G13" i="13"/>
  <c r="G13" i="15"/>
  <c r="C57" i="13"/>
  <c r="E57" i="13"/>
  <c r="G57" i="13"/>
  <c r="E61" i="13"/>
  <c r="G61" i="13"/>
  <c r="F69" i="13"/>
  <c r="H48" i="14"/>
  <c r="C57" i="14"/>
  <c r="E57" i="14"/>
  <c r="G57" i="14"/>
  <c r="E61" i="14"/>
  <c r="G61" i="14"/>
  <c r="F69" i="14"/>
  <c r="D13" i="15"/>
  <c r="D78" i="15" s="1"/>
  <c r="F48" i="15"/>
  <c r="C57" i="15"/>
  <c r="E57" i="15"/>
  <c r="G57" i="15"/>
  <c r="E61" i="15"/>
  <c r="E40" i="16"/>
  <c r="H50" i="16"/>
  <c r="G50" i="16" s="1"/>
  <c r="D13" i="12"/>
  <c r="D78" i="12" s="1"/>
  <c r="H73" i="12"/>
  <c r="D13" i="13"/>
  <c r="D78" i="13" s="1"/>
  <c r="F48" i="13"/>
  <c r="C8" i="12"/>
  <c r="G8" i="12"/>
  <c r="C36" i="12"/>
  <c r="G36" i="12"/>
  <c r="E38" i="12"/>
  <c r="C41" i="12"/>
  <c r="E41" i="12"/>
  <c r="G41" i="12"/>
  <c r="B100" i="12"/>
  <c r="G44" i="12"/>
  <c r="B97" i="12"/>
  <c r="B99" i="12"/>
  <c r="C8" i="13"/>
  <c r="G8" i="13"/>
  <c r="C41" i="13"/>
  <c r="E41" i="13"/>
  <c r="G41" i="13"/>
  <c r="D97" i="13"/>
  <c r="D99" i="13"/>
  <c r="B97" i="13"/>
  <c r="D97" i="14"/>
  <c r="D99" i="14"/>
  <c r="B97" i="14"/>
  <c r="C8" i="15"/>
  <c r="G8" i="15"/>
  <c r="C41" i="15"/>
  <c r="E41" i="15"/>
  <c r="G41" i="15"/>
  <c r="B97" i="15"/>
  <c r="H36" i="16"/>
  <c r="H74" i="16" s="1"/>
  <c r="B16" i="12"/>
  <c r="F16" i="12"/>
  <c r="H16" i="12"/>
  <c r="B48" i="12"/>
  <c r="D48" i="12"/>
  <c r="F48" i="12"/>
  <c r="H48" i="12"/>
  <c r="B74" i="12"/>
  <c r="F74" i="12"/>
  <c r="F100" i="12"/>
  <c r="F101" i="12" s="1"/>
  <c r="I13" i="13"/>
  <c r="H16" i="13"/>
  <c r="D74" i="13"/>
  <c r="E36" i="13"/>
  <c r="D100" i="13"/>
  <c r="E44" i="13"/>
  <c r="E50" i="13"/>
  <c r="H101" i="13"/>
  <c r="B100" i="13"/>
  <c r="B16" i="14"/>
  <c r="F16" i="14"/>
  <c r="C50" i="14"/>
  <c r="G50" i="14"/>
  <c r="B74" i="14"/>
  <c r="F100" i="14"/>
  <c r="F101" i="14" s="1"/>
  <c r="I13" i="15"/>
  <c r="H16" i="15"/>
  <c r="D74" i="15"/>
  <c r="E36" i="15"/>
  <c r="D100" i="15"/>
  <c r="E44" i="15"/>
  <c r="E50" i="15"/>
  <c r="E52" i="16"/>
  <c r="D50" i="16"/>
  <c r="E50" i="16" s="1"/>
  <c r="D71" i="16"/>
  <c r="D70" i="16"/>
  <c r="B98" i="16"/>
  <c r="E56" i="16"/>
  <c r="H98" i="16"/>
  <c r="H71" i="16"/>
  <c r="H70" i="16"/>
  <c r="E62" i="16"/>
  <c r="D61" i="16"/>
  <c r="G13" i="12"/>
  <c r="I13" i="12"/>
  <c r="E36" i="12"/>
  <c r="C44" i="12"/>
  <c r="E44" i="12"/>
  <c r="C50" i="12"/>
  <c r="E50" i="12"/>
  <c r="G50" i="12"/>
  <c r="D97" i="12"/>
  <c r="H101" i="12"/>
  <c r="D99" i="12"/>
  <c r="D69" i="12"/>
  <c r="H69" i="12"/>
  <c r="B16" i="13"/>
  <c r="F16" i="13"/>
  <c r="C36" i="13"/>
  <c r="G36" i="13"/>
  <c r="E38" i="13"/>
  <c r="C44" i="13"/>
  <c r="G44" i="13"/>
  <c r="D48" i="13"/>
  <c r="H48" i="13"/>
  <c r="C50" i="13"/>
  <c r="G50" i="13"/>
  <c r="B74" i="13"/>
  <c r="F100" i="13"/>
  <c r="F101" i="13" s="1"/>
  <c r="E13" i="14"/>
  <c r="I13" i="14"/>
  <c r="D16" i="14"/>
  <c r="H16" i="14"/>
  <c r="D74" i="14"/>
  <c r="E36" i="14"/>
  <c r="C38" i="14"/>
  <c r="G38" i="14"/>
  <c r="B47" i="14"/>
  <c r="C47" i="14" s="1"/>
  <c r="F47" i="14"/>
  <c r="G47" i="14" s="1"/>
  <c r="D100" i="14"/>
  <c r="E44" i="14"/>
  <c r="B48" i="14"/>
  <c r="F48" i="14"/>
  <c r="E50" i="14"/>
  <c r="H101" i="14"/>
  <c r="F74" i="14"/>
  <c r="B100" i="14"/>
  <c r="B16" i="15"/>
  <c r="F16" i="15"/>
  <c r="C36" i="15"/>
  <c r="G36" i="15"/>
  <c r="E38" i="15"/>
  <c r="C44" i="15"/>
  <c r="F100" i="15"/>
  <c r="G44" i="15"/>
  <c r="D48" i="15"/>
  <c r="H48" i="15"/>
  <c r="C50" i="15"/>
  <c r="G50" i="15"/>
  <c r="B74" i="15"/>
  <c r="B100" i="15"/>
  <c r="B81" i="16"/>
  <c r="B8" i="16"/>
  <c r="C5" i="16"/>
  <c r="F8" i="16"/>
  <c r="G5" i="16"/>
  <c r="D94" i="16"/>
  <c r="E7" i="16"/>
  <c r="C10" i="16"/>
  <c r="G10" i="16"/>
  <c r="C11" i="16"/>
  <c r="G11" i="16"/>
  <c r="C12" i="16"/>
  <c r="G12" i="16"/>
  <c r="C14" i="16"/>
  <c r="G14" i="16"/>
  <c r="C15" i="16"/>
  <c r="G15" i="16"/>
  <c r="B88" i="16"/>
  <c r="C17" i="16"/>
  <c r="F88" i="16"/>
  <c r="G17" i="16"/>
  <c r="B93" i="16"/>
  <c r="C18" i="16"/>
  <c r="F93" i="16"/>
  <c r="G18" i="16"/>
  <c r="C19" i="16"/>
  <c r="G19" i="16"/>
  <c r="C20" i="16"/>
  <c r="G20" i="16"/>
  <c r="C21" i="16"/>
  <c r="G21" i="16"/>
  <c r="B89" i="16"/>
  <c r="C22" i="16"/>
  <c r="F89" i="16"/>
  <c r="G22" i="16"/>
  <c r="B104" i="16"/>
  <c r="B92" i="16"/>
  <c r="C24" i="16"/>
  <c r="F104" i="16"/>
  <c r="F92" i="16"/>
  <c r="G24" i="16"/>
  <c r="B90" i="16"/>
  <c r="C27" i="16"/>
  <c r="F90" i="16"/>
  <c r="G27" i="16"/>
  <c r="B91" i="16"/>
  <c r="C28" i="16"/>
  <c r="F91" i="16"/>
  <c r="G28" i="16"/>
  <c r="C34" i="16"/>
  <c r="B36" i="16"/>
  <c r="B74" i="16" s="1"/>
  <c r="G34" i="16"/>
  <c r="F36" i="16"/>
  <c r="F74" i="16" s="1"/>
  <c r="B38" i="16"/>
  <c r="C46" i="16"/>
  <c r="B44" i="16"/>
  <c r="G46" i="16"/>
  <c r="F44" i="16"/>
  <c r="H69" i="13"/>
  <c r="H69" i="14"/>
  <c r="D97" i="15"/>
  <c r="H101" i="15"/>
  <c r="D99" i="15"/>
  <c r="H69" i="15"/>
  <c r="F97" i="15"/>
  <c r="F99" i="15"/>
  <c r="D81" i="16"/>
  <c r="D8" i="16"/>
  <c r="E5" i="16"/>
  <c r="H8" i="16"/>
  <c r="H13" i="16" s="1"/>
  <c r="H78" i="16" s="1"/>
  <c r="B94" i="16"/>
  <c r="C7" i="16"/>
  <c r="F94" i="16"/>
  <c r="G7" i="16"/>
  <c r="E10" i="16"/>
  <c r="I10" i="16"/>
  <c r="E11" i="16"/>
  <c r="I11" i="16"/>
  <c r="E12" i="16"/>
  <c r="I12" i="16"/>
  <c r="E14" i="16"/>
  <c r="I14" i="16"/>
  <c r="E15" i="16"/>
  <c r="I15" i="16"/>
  <c r="D88" i="16"/>
  <c r="E17" i="16"/>
  <c r="H88" i="16"/>
  <c r="I17" i="16"/>
  <c r="D93" i="16"/>
  <c r="E18" i="16"/>
  <c r="H93" i="16"/>
  <c r="I18" i="16"/>
  <c r="E19" i="16"/>
  <c r="I19" i="16"/>
  <c r="E20" i="16"/>
  <c r="I20" i="16"/>
  <c r="E21" i="16"/>
  <c r="I21" i="16"/>
  <c r="D89" i="16"/>
  <c r="E22" i="16"/>
  <c r="H89" i="16"/>
  <c r="I22" i="16"/>
  <c r="D104" i="16"/>
  <c r="D92" i="16"/>
  <c r="E24" i="16"/>
  <c r="H104" i="16"/>
  <c r="H92" i="16"/>
  <c r="I24" i="16"/>
  <c r="D90" i="16"/>
  <c r="E27" i="16"/>
  <c r="H90" i="16"/>
  <c r="I27" i="16"/>
  <c r="D91" i="16"/>
  <c r="E28" i="16"/>
  <c r="H91" i="16"/>
  <c r="I28" i="16"/>
  <c r="E34" i="16"/>
  <c r="D38" i="16"/>
  <c r="C40" i="16"/>
  <c r="G40" i="16"/>
  <c r="E42" i="16"/>
  <c r="E46" i="16"/>
  <c r="C52" i="16"/>
  <c r="G52" i="16"/>
  <c r="B71" i="16"/>
  <c r="B70" i="16"/>
  <c r="C56" i="16"/>
  <c r="D98" i="16"/>
  <c r="F98" i="16"/>
  <c r="F71" i="16"/>
  <c r="F70" i="16"/>
  <c r="G56" i="16"/>
  <c r="E58" i="16"/>
  <c r="D57" i="16"/>
  <c r="D74" i="16"/>
  <c r="B41" i="16"/>
  <c r="D41" i="16"/>
  <c r="F41" i="16"/>
  <c r="H41" i="16"/>
  <c r="B69" i="16"/>
  <c r="C58" i="16"/>
  <c r="G58" i="16"/>
  <c r="F57" i="16"/>
  <c r="E60" i="16"/>
  <c r="C62" i="16"/>
  <c r="B61" i="16"/>
  <c r="G62" i="16"/>
  <c r="F61" i="16"/>
  <c r="Q7" i="23" l="1"/>
  <c r="I7" i="23"/>
  <c r="A6" i="23"/>
  <c r="D3" i="22"/>
  <c r="E3" i="22" s="1"/>
  <c r="G3" i="22" s="1"/>
  <c r="C47" i="12"/>
  <c r="F72" i="12"/>
  <c r="B65" i="12"/>
  <c r="E47" i="12"/>
  <c r="B72" i="15"/>
  <c r="H69" i="16"/>
  <c r="B73" i="15"/>
  <c r="F72" i="14"/>
  <c r="C48" i="14"/>
  <c r="B73" i="14"/>
  <c r="F72" i="13"/>
  <c r="C54" i="15"/>
  <c r="H97" i="16"/>
  <c r="H101" i="16" s="1"/>
  <c r="G54" i="14"/>
  <c r="D73" i="15"/>
  <c r="G48" i="15"/>
  <c r="D72" i="13"/>
  <c r="H72" i="14"/>
  <c r="F73" i="12"/>
  <c r="G38" i="16"/>
  <c r="B72" i="13"/>
  <c r="B65" i="13"/>
  <c r="C65" i="13" s="1"/>
  <c r="F73" i="15"/>
  <c r="B73" i="12"/>
  <c r="G65" i="12"/>
  <c r="G54" i="12"/>
  <c r="H65" i="16"/>
  <c r="D72" i="15"/>
  <c r="E48" i="15"/>
  <c r="F73" i="14"/>
  <c r="H65" i="14"/>
  <c r="G65" i="14" s="1"/>
  <c r="G48" i="14"/>
  <c r="E54" i="13"/>
  <c r="D73" i="13"/>
  <c r="F65" i="13"/>
  <c r="E65" i="13" s="1"/>
  <c r="E48" i="13"/>
  <c r="H72" i="12"/>
  <c r="D65" i="15"/>
  <c r="B72" i="14"/>
  <c r="D101" i="13"/>
  <c r="E54" i="15"/>
  <c r="F65" i="15"/>
  <c r="D65" i="14"/>
  <c r="C65" i="14" s="1"/>
  <c r="H72" i="13"/>
  <c r="C54" i="13"/>
  <c r="E38" i="16"/>
  <c r="H72" i="15"/>
  <c r="B101" i="14"/>
  <c r="E13" i="12"/>
  <c r="E13" i="15"/>
  <c r="D72" i="14"/>
  <c r="E13" i="13"/>
  <c r="B101" i="15"/>
  <c r="C65" i="15"/>
  <c r="E65" i="14"/>
  <c r="B101" i="13"/>
  <c r="D16" i="13"/>
  <c r="D101" i="14"/>
  <c r="B101" i="12"/>
  <c r="G65" i="15"/>
  <c r="G54" i="13"/>
  <c r="H65" i="13"/>
  <c r="H73" i="15"/>
  <c r="C54" i="14"/>
  <c r="G48" i="13"/>
  <c r="D72" i="12"/>
  <c r="E54" i="12"/>
  <c r="D16" i="15"/>
  <c r="E54" i="14"/>
  <c r="E48" i="12"/>
  <c r="D16" i="12"/>
  <c r="C54" i="12"/>
  <c r="D65" i="12"/>
  <c r="G54" i="15"/>
  <c r="D97" i="16"/>
  <c r="F97" i="16"/>
  <c r="F69" i="16"/>
  <c r="G57" i="16"/>
  <c r="F54" i="16"/>
  <c r="H47" i="16"/>
  <c r="H48" i="16"/>
  <c r="D47" i="16"/>
  <c r="E41" i="16"/>
  <c r="D69" i="16"/>
  <c r="B97" i="16"/>
  <c r="E57" i="16"/>
  <c r="C57" i="16"/>
  <c r="I13" i="16"/>
  <c r="H16" i="16"/>
  <c r="D13" i="16"/>
  <c r="D78" i="16" s="1"/>
  <c r="E8" i="16"/>
  <c r="F100" i="16"/>
  <c r="G44" i="16"/>
  <c r="B100" i="16"/>
  <c r="C44" i="16"/>
  <c r="C38" i="16"/>
  <c r="G8" i="16"/>
  <c r="F13" i="16"/>
  <c r="F78" i="16" s="1"/>
  <c r="C8" i="16"/>
  <c r="B13" i="16"/>
  <c r="B78" i="16" s="1"/>
  <c r="G16" i="15"/>
  <c r="F23" i="15"/>
  <c r="F76" i="15"/>
  <c r="F75" i="15"/>
  <c r="H76" i="14"/>
  <c r="H75" i="14"/>
  <c r="I16" i="14"/>
  <c r="H23" i="14"/>
  <c r="C16" i="13"/>
  <c r="B76" i="13"/>
  <c r="B75" i="13"/>
  <c r="B23" i="13"/>
  <c r="B99" i="16"/>
  <c r="E61" i="16"/>
  <c r="H73" i="16"/>
  <c r="H72" i="16"/>
  <c r="D54" i="16"/>
  <c r="E44" i="16"/>
  <c r="H76" i="15"/>
  <c r="H75" i="15"/>
  <c r="I16" i="15"/>
  <c r="H23" i="15"/>
  <c r="E48" i="14"/>
  <c r="C16" i="14"/>
  <c r="B76" i="14"/>
  <c r="B75" i="14"/>
  <c r="B23" i="14"/>
  <c r="H76" i="13"/>
  <c r="H75" i="13"/>
  <c r="I16" i="13"/>
  <c r="H23" i="13"/>
  <c r="H76" i="12"/>
  <c r="H75" i="12"/>
  <c r="I16" i="12"/>
  <c r="H23" i="12"/>
  <c r="E47" i="14"/>
  <c r="D99" i="16"/>
  <c r="F99" i="16"/>
  <c r="G61" i="16"/>
  <c r="C61" i="16"/>
  <c r="B54" i="16"/>
  <c r="D18" i="22" s="1"/>
  <c r="E18" i="22" s="1"/>
  <c r="G18" i="22" s="1"/>
  <c r="F47" i="16"/>
  <c r="G41" i="16"/>
  <c r="B47" i="16"/>
  <c r="C41" i="16"/>
  <c r="F101" i="15"/>
  <c r="D101" i="15"/>
  <c r="D48" i="16"/>
  <c r="G36" i="16"/>
  <c r="F48" i="16"/>
  <c r="C36" i="16"/>
  <c r="B48" i="16"/>
  <c r="C16" i="15"/>
  <c r="B76" i="15"/>
  <c r="B75" i="15"/>
  <c r="B23" i="15"/>
  <c r="D76" i="14"/>
  <c r="D75" i="14"/>
  <c r="E16" i="14"/>
  <c r="D23" i="14"/>
  <c r="G16" i="13"/>
  <c r="F23" i="13"/>
  <c r="F76" i="13"/>
  <c r="F75" i="13"/>
  <c r="D101" i="12"/>
  <c r="C50" i="16"/>
  <c r="D100" i="16"/>
  <c r="E36" i="16"/>
  <c r="C48" i="15"/>
  <c r="G16" i="14"/>
  <c r="F76" i="14"/>
  <c r="F75" i="14"/>
  <c r="F23" i="14"/>
  <c r="C48" i="13"/>
  <c r="G48" i="12"/>
  <c r="C48" i="12"/>
  <c r="F76" i="12"/>
  <c r="G16" i="12"/>
  <c r="F75" i="12"/>
  <c r="F23" i="12"/>
  <c r="C16" i="12"/>
  <c r="B76" i="12"/>
  <c r="B75" i="12"/>
  <c r="B23" i="12"/>
  <c r="Q6" i="23" l="1"/>
  <c r="I6" i="23"/>
  <c r="A5" i="23"/>
  <c r="G65" i="13"/>
  <c r="E65" i="15"/>
  <c r="E16" i="12"/>
  <c r="H66" i="16"/>
  <c r="D76" i="12"/>
  <c r="D76" i="13"/>
  <c r="E16" i="15"/>
  <c r="E16" i="13"/>
  <c r="D76" i="15"/>
  <c r="D23" i="13"/>
  <c r="E23" i="13" s="1"/>
  <c r="D75" i="13"/>
  <c r="D23" i="15"/>
  <c r="E23" i="15" s="1"/>
  <c r="D75" i="15"/>
  <c r="E65" i="12"/>
  <c r="C65" i="12"/>
  <c r="D23" i="12"/>
  <c r="D25" i="12" s="1"/>
  <c r="D79" i="12" s="1"/>
  <c r="D75" i="12"/>
  <c r="E47" i="16"/>
  <c r="F101" i="16"/>
  <c r="G23" i="12"/>
  <c r="F25" i="12"/>
  <c r="F79" i="12" s="1"/>
  <c r="G23" i="14"/>
  <c r="F25" i="14"/>
  <c r="F79" i="14" s="1"/>
  <c r="C23" i="15"/>
  <c r="B25" i="15"/>
  <c r="B73" i="16"/>
  <c r="B72" i="16"/>
  <c r="C54" i="16"/>
  <c r="B65" i="16"/>
  <c r="B66" i="16" s="1"/>
  <c r="I23" i="13"/>
  <c r="H25" i="13"/>
  <c r="H79" i="13" s="1"/>
  <c r="C23" i="13"/>
  <c r="B25" i="13"/>
  <c r="B79" i="13" s="1"/>
  <c r="H76" i="16"/>
  <c r="H75" i="16"/>
  <c r="I16" i="16"/>
  <c r="H23" i="16"/>
  <c r="C23" i="12"/>
  <c r="B25" i="12"/>
  <c r="B79" i="12" s="1"/>
  <c r="G23" i="13"/>
  <c r="F25" i="13"/>
  <c r="F79" i="13" s="1"/>
  <c r="E23" i="14"/>
  <c r="D25" i="14"/>
  <c r="D79" i="14" s="1"/>
  <c r="C48" i="16"/>
  <c r="G48" i="16"/>
  <c r="E48" i="16"/>
  <c r="C47" i="16"/>
  <c r="G47" i="16"/>
  <c r="I23" i="12"/>
  <c r="H25" i="12"/>
  <c r="H79" i="12" s="1"/>
  <c r="C23" i="14"/>
  <c r="B25" i="14"/>
  <c r="B79" i="14" s="1"/>
  <c r="I23" i="15"/>
  <c r="H25" i="15"/>
  <c r="H79" i="15" s="1"/>
  <c r="D73" i="16"/>
  <c r="D72" i="16"/>
  <c r="E54" i="16"/>
  <c r="D65" i="16"/>
  <c r="D66" i="16" s="1"/>
  <c r="I23" i="14"/>
  <c r="H25" i="14"/>
  <c r="H79" i="14" s="1"/>
  <c r="G23" i="15"/>
  <c r="F25" i="15"/>
  <c r="F79" i="15" s="1"/>
  <c r="C13" i="16"/>
  <c r="B16" i="16"/>
  <c r="G13" i="16"/>
  <c r="F16" i="16"/>
  <c r="E13" i="16"/>
  <c r="D16" i="16"/>
  <c r="B101" i="16"/>
  <c r="F73" i="16"/>
  <c r="F72" i="16"/>
  <c r="G54" i="16"/>
  <c r="F65" i="16"/>
  <c r="G65" i="16" s="1"/>
  <c r="D101" i="16"/>
  <c r="I5" i="23" l="1"/>
  <c r="Q5" i="23"/>
  <c r="B26" i="15"/>
  <c r="B79" i="15"/>
  <c r="D8" i="22"/>
  <c r="E8" i="22" s="1"/>
  <c r="G8" i="22" s="1"/>
  <c r="D25" i="13"/>
  <c r="E23" i="12"/>
  <c r="D25" i="15"/>
  <c r="F66" i="16"/>
  <c r="C65" i="16"/>
  <c r="D76" i="16"/>
  <c r="D75" i="16"/>
  <c r="E16" i="16"/>
  <c r="D23" i="16"/>
  <c r="C4" i="8" s="1"/>
  <c r="B76" i="16"/>
  <c r="B75" i="16"/>
  <c r="C16" i="16"/>
  <c r="B23" i="16"/>
  <c r="B4" i="8" s="1"/>
  <c r="C25" i="13"/>
  <c r="B26" i="13"/>
  <c r="B80" i="13" s="1"/>
  <c r="B86" i="13"/>
  <c r="B96" i="13" s="1"/>
  <c r="B102" i="13" s="1"/>
  <c r="B106" i="13" s="1"/>
  <c r="H86" i="13"/>
  <c r="H96" i="13" s="1"/>
  <c r="H102" i="13" s="1"/>
  <c r="H106" i="13" s="1"/>
  <c r="I25" i="13"/>
  <c r="H26" i="13"/>
  <c r="H80" i="13" s="1"/>
  <c r="D86" i="12"/>
  <c r="D96" i="12" s="1"/>
  <c r="D102" i="12" s="1"/>
  <c r="D106" i="12" s="1"/>
  <c r="D82" i="12"/>
  <c r="E25" i="12"/>
  <c r="D26" i="12"/>
  <c r="D80" i="12" s="1"/>
  <c r="C25" i="15"/>
  <c r="B86" i="15"/>
  <c r="B96" i="15" s="1"/>
  <c r="B102" i="15" s="1"/>
  <c r="B106" i="15" s="1"/>
  <c r="G25" i="14"/>
  <c r="F86" i="14"/>
  <c r="F96" i="14" s="1"/>
  <c r="F102" i="14" s="1"/>
  <c r="F106" i="14" s="1"/>
  <c r="F26" i="14"/>
  <c r="F80" i="14" s="1"/>
  <c r="G25" i="12"/>
  <c r="F86" i="12"/>
  <c r="F96" i="12" s="1"/>
  <c r="F102" i="12" s="1"/>
  <c r="F106" i="12" s="1"/>
  <c r="F26" i="12"/>
  <c r="F80" i="12" s="1"/>
  <c r="F76" i="16"/>
  <c r="F75" i="16"/>
  <c r="G16" i="16"/>
  <c r="F23" i="16"/>
  <c r="F86" i="15"/>
  <c r="F96" i="15" s="1"/>
  <c r="F102" i="15" s="1"/>
  <c r="F106" i="15" s="1"/>
  <c r="G25" i="15"/>
  <c r="F26" i="15"/>
  <c r="F80" i="15" s="1"/>
  <c r="H86" i="14"/>
  <c r="H96" i="14" s="1"/>
  <c r="H102" i="14" s="1"/>
  <c r="H106" i="14" s="1"/>
  <c r="I25" i="14"/>
  <c r="H26" i="14"/>
  <c r="H80" i="14" s="1"/>
  <c r="E65" i="16"/>
  <c r="H86" i="15"/>
  <c r="H96" i="15" s="1"/>
  <c r="H102" i="15" s="1"/>
  <c r="H106" i="15" s="1"/>
  <c r="I25" i="15"/>
  <c r="H26" i="15"/>
  <c r="H80" i="15" s="1"/>
  <c r="C25" i="14"/>
  <c r="B86" i="14"/>
  <c r="B96" i="14" s="1"/>
  <c r="B102" i="14" s="1"/>
  <c r="B106" i="14" s="1"/>
  <c r="B82" i="14"/>
  <c r="B26" i="14"/>
  <c r="B80" i="14" s="1"/>
  <c r="H86" i="12"/>
  <c r="H96" i="12" s="1"/>
  <c r="H102" i="12" s="1"/>
  <c r="H106" i="12" s="1"/>
  <c r="I25" i="12"/>
  <c r="H26" i="12"/>
  <c r="H80" i="12" s="1"/>
  <c r="D86" i="14"/>
  <c r="D96" i="14" s="1"/>
  <c r="D102" i="14" s="1"/>
  <c r="D106" i="14" s="1"/>
  <c r="D82" i="14"/>
  <c r="E25" i="14"/>
  <c r="D26" i="14"/>
  <c r="D80" i="14" s="1"/>
  <c r="G25" i="13"/>
  <c r="F86" i="13"/>
  <c r="F96" i="13" s="1"/>
  <c r="F102" i="13" s="1"/>
  <c r="F106" i="13" s="1"/>
  <c r="F26" i="13"/>
  <c r="F80" i="13" s="1"/>
  <c r="B86" i="12"/>
  <c r="B96" i="12" s="1"/>
  <c r="B102" i="12" s="1"/>
  <c r="B106" i="12" s="1"/>
  <c r="C25" i="12"/>
  <c r="B82" i="12"/>
  <c r="B26" i="12"/>
  <c r="B80" i="12" s="1"/>
  <c r="I23" i="16"/>
  <c r="H25" i="16"/>
  <c r="H79" i="16" s="1"/>
  <c r="B82" i="13" l="1"/>
  <c r="D79" i="13"/>
  <c r="D82" i="15"/>
  <c r="D79" i="15"/>
  <c r="B29" i="15"/>
  <c r="B80" i="15"/>
  <c r="D82" i="13"/>
  <c r="E25" i="13"/>
  <c r="D86" i="15"/>
  <c r="D96" i="15" s="1"/>
  <c r="D102" i="15" s="1"/>
  <c r="D106" i="15" s="1"/>
  <c r="B82" i="15"/>
  <c r="D26" i="13"/>
  <c r="D80" i="13" s="1"/>
  <c r="D86" i="13"/>
  <c r="D96" i="13" s="1"/>
  <c r="D102" i="13" s="1"/>
  <c r="D106" i="13" s="1"/>
  <c r="D26" i="15"/>
  <c r="E25" i="15"/>
  <c r="H86" i="16"/>
  <c r="H96" i="16" s="1"/>
  <c r="H102" i="16" s="1"/>
  <c r="H106" i="16" s="1"/>
  <c r="I25" i="16"/>
  <c r="H26" i="16"/>
  <c r="H80" i="16" s="1"/>
  <c r="C26" i="12"/>
  <c r="B29" i="12"/>
  <c r="C29" i="12" s="1"/>
  <c r="G26" i="13"/>
  <c r="F29" i="13"/>
  <c r="G29" i="13" s="1"/>
  <c r="I26" i="12"/>
  <c r="H29" i="12"/>
  <c r="I29" i="12" s="1"/>
  <c r="C26" i="14"/>
  <c r="B29" i="14"/>
  <c r="C29" i="14" s="1"/>
  <c r="I26" i="14"/>
  <c r="H29" i="14"/>
  <c r="I29" i="14" s="1"/>
  <c r="G26" i="15"/>
  <c r="F29" i="15"/>
  <c r="G29" i="15" s="1"/>
  <c r="G23" i="16"/>
  <c r="F25" i="16"/>
  <c r="F79" i="16" s="1"/>
  <c r="E26" i="12"/>
  <c r="D29" i="12"/>
  <c r="E29" i="12" s="1"/>
  <c r="C26" i="13"/>
  <c r="B29" i="13"/>
  <c r="C29" i="13" s="1"/>
  <c r="C23" i="16"/>
  <c r="B25" i="16"/>
  <c r="B79" i="16" s="1"/>
  <c r="E26" i="14"/>
  <c r="D29" i="14"/>
  <c r="E29" i="14" s="1"/>
  <c r="I26" i="15"/>
  <c r="H29" i="15"/>
  <c r="I29" i="15" s="1"/>
  <c r="G26" i="12"/>
  <c r="F29" i="12"/>
  <c r="G29" i="12" s="1"/>
  <c r="G26" i="14"/>
  <c r="F29" i="14"/>
  <c r="G29" i="14" s="1"/>
  <c r="C26" i="15"/>
  <c r="C29" i="15"/>
  <c r="I26" i="13"/>
  <c r="H29" i="13"/>
  <c r="I29" i="13" s="1"/>
  <c r="E23" i="16"/>
  <c r="D25" i="16"/>
  <c r="D79" i="16" s="1"/>
  <c r="E26" i="15" l="1"/>
  <c r="D80" i="15"/>
  <c r="E26" i="13"/>
  <c r="D29" i="13"/>
  <c r="E29" i="13" s="1"/>
  <c r="D29" i="15"/>
  <c r="E29" i="15" s="1"/>
  <c r="D86" i="16"/>
  <c r="D96" i="16" s="1"/>
  <c r="D102" i="16" s="1"/>
  <c r="D106" i="16" s="1"/>
  <c r="D82" i="16"/>
  <c r="E25" i="16"/>
  <c r="D26" i="16"/>
  <c r="D80" i="16" s="1"/>
  <c r="I26" i="16"/>
  <c r="H29" i="16"/>
  <c r="I29" i="16" s="1"/>
  <c r="B86" i="16"/>
  <c r="B96" i="16" s="1"/>
  <c r="B102" i="16" s="1"/>
  <c r="B106" i="16" s="1"/>
  <c r="B82" i="16"/>
  <c r="C25" i="16"/>
  <c r="B26" i="16"/>
  <c r="B80" i="16" s="1"/>
  <c r="F86" i="16"/>
  <c r="F96" i="16" s="1"/>
  <c r="F102" i="16" s="1"/>
  <c r="F106" i="16" s="1"/>
  <c r="G25" i="16"/>
  <c r="F26" i="16"/>
  <c r="F80" i="16" s="1"/>
  <c r="G26" i="16" l="1"/>
  <c r="F29" i="16"/>
  <c r="G29" i="16" s="1"/>
  <c r="C26" i="16"/>
  <c r="B29" i="16"/>
  <c r="E26" i="16"/>
  <c r="D29" i="16"/>
  <c r="E29" i="16" s="1"/>
  <c r="C29" i="16" l="1"/>
  <c r="D13" i="22"/>
  <c r="E13" i="22" s="1"/>
  <c r="G13" i="22" s="1"/>
  <c r="G23" i="22" s="1"/>
  <c r="G19" i="9"/>
  <c r="F19" i="9"/>
  <c r="E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D19" i="9"/>
  <c r="C19" i="9"/>
  <c r="B19" i="9"/>
  <c r="F20" i="9" l="1"/>
  <c r="B20" i="4" s="1"/>
  <c r="F22" i="9"/>
  <c r="B17" i="4" s="1"/>
  <c r="B19" i="4" s="1"/>
  <c r="F48" i="8"/>
  <c r="F41" i="8"/>
  <c r="F40" i="8"/>
  <c r="F37" i="8"/>
  <c r="F43" i="8" s="1"/>
  <c r="F32" i="8"/>
  <c r="D27" i="8"/>
  <c r="F27" i="8" s="1"/>
  <c r="D26" i="8"/>
  <c r="F26" i="8" s="1"/>
  <c r="D25" i="8"/>
  <c r="F25" i="8" s="1"/>
  <c r="D24" i="8"/>
  <c r="F24" i="8" s="1"/>
  <c r="D23" i="8"/>
  <c r="F23" i="8" s="1"/>
  <c r="D22" i="8"/>
  <c r="F22" i="8" s="1"/>
  <c r="D21" i="8"/>
  <c r="F21" i="8" s="1"/>
  <c r="D20" i="8"/>
  <c r="F20" i="8" s="1"/>
  <c r="D19" i="8"/>
  <c r="F19" i="8" s="1"/>
  <c r="D18" i="8"/>
  <c r="F18" i="8" s="1"/>
  <c r="D17" i="8"/>
  <c r="F17" i="8" s="1"/>
  <c r="D16" i="8"/>
  <c r="F16" i="8" s="1"/>
  <c r="D15" i="8"/>
  <c r="F15" i="8" s="1"/>
  <c r="D14" i="8"/>
  <c r="F14" i="8" s="1"/>
  <c r="D13" i="8"/>
  <c r="F13" i="8" s="1"/>
  <c r="D12" i="8"/>
  <c r="F12" i="8" s="1"/>
  <c r="D11" i="8"/>
  <c r="F11" i="8" s="1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B24" i="4" l="1"/>
  <c r="B22" i="4"/>
  <c r="B77" i="16"/>
  <c r="B77" i="15"/>
  <c r="B77" i="14"/>
  <c r="B77" i="13"/>
  <c r="D77" i="12"/>
  <c r="H77" i="16"/>
  <c r="H77" i="15"/>
  <c r="H77" i="14"/>
  <c r="H77" i="13"/>
  <c r="B77" i="12"/>
  <c r="F77" i="15"/>
  <c r="F77" i="14"/>
  <c r="F77" i="13"/>
  <c r="H77" i="12"/>
  <c r="D77" i="16"/>
  <c r="D77" i="15"/>
  <c r="D77" i="14"/>
  <c r="D77" i="13"/>
  <c r="F77" i="12"/>
  <c r="F77" i="16"/>
  <c r="D28" i="8"/>
  <c r="F28" i="8" s="1"/>
  <c r="F29" i="8" s="1"/>
  <c r="F30" i="8" s="1"/>
  <c r="K5" i="9"/>
  <c r="F34" i="8" l="1"/>
  <c r="F38" i="8" s="1"/>
  <c r="F52" i="8" s="1"/>
  <c r="F44" i="8"/>
  <c r="F50" i="8" s="1"/>
  <c r="Z5" i="9"/>
  <c r="U5" i="9"/>
  <c r="P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Mahesh Shetty</author>
  </authors>
  <commentList>
    <comment ref="I3" authorId="0" shapeId="0" xr:uid="{A38CE239-0D6F-477C-9C27-D394E7E51635}">
      <text>
        <r>
          <rPr>
            <b/>
            <sz val="9"/>
            <color indexed="81"/>
            <rFont val="Tahoma"/>
            <family val="2"/>
          </rPr>
          <t>Exclusions includes:</t>
        </r>
        <r>
          <rPr>
            <sz val="9"/>
            <color indexed="81"/>
            <rFont val="Tahoma"/>
            <family val="2"/>
          </rPr>
          <t xml:space="preserve"> OUTWARD-RETURN, INWARD-RETURN, LOAN-CREDIT, EMI-RETURN, INTER-FIRM, REVERSED, TRANSACTION-MISSING, INVESTMENT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Devendra Mehta     /MP_DEPT/IBANK/BKC</author>
  </authors>
  <commentList>
    <comment ref="B2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Devendra Mehta     /MP_DEPT/IBANK/BKC:</t>
        </r>
        <r>
          <rPr>
            <sz val="9"/>
            <color indexed="81"/>
            <rFont val="Tahoma"/>
            <family val="2"/>
          </rPr>
          <t xml:space="preserve">
Need to check on the account vintage norm consideration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<sst xmlns="http://schemas.openxmlformats.org/spreadsheetml/2006/main" count="2813" uniqueCount="1198">
  <si>
    <t xml:space="preserve">LOAN DETAILS </t>
  </si>
  <si>
    <t xml:space="preserve">Input Sheet </t>
  </si>
  <si>
    <t xml:space="preserve">Location </t>
  </si>
  <si>
    <t xml:space="preserve">Profile </t>
  </si>
  <si>
    <t xml:space="preserve">Product Type </t>
  </si>
  <si>
    <t xml:space="preserve">Check for BT or Top up </t>
  </si>
  <si>
    <t>Bank/NBFC</t>
  </si>
  <si>
    <t>Principal Outstanding</t>
  </si>
  <si>
    <t>Pre-Closure Charges</t>
  </si>
  <si>
    <t>No of EMIS paid</t>
  </si>
  <si>
    <t>Current EMI</t>
  </si>
  <si>
    <t>Original Tenure - months</t>
  </si>
  <si>
    <t xml:space="preserve">Original Loan Amount </t>
  </si>
  <si>
    <t>ADDITIONAL DETAILS: BT (To be shown if BT)</t>
  </si>
  <si>
    <t xml:space="preserve">BT </t>
  </si>
  <si>
    <t xml:space="preserve">Existing Top up </t>
  </si>
  <si>
    <t>ADDITIONAL DETAILS: BT (To be shown if Product Type is Top-up)</t>
  </si>
  <si>
    <t>Particulars</t>
  </si>
  <si>
    <t xml:space="preserve">Click to view CAM </t>
  </si>
  <si>
    <t xml:space="preserve">Click </t>
  </si>
  <si>
    <t>Normal (LTV+FOIR)</t>
  </si>
  <si>
    <t xml:space="preserve">Loan Amount -RAAC </t>
  </si>
  <si>
    <t xml:space="preserve">GTP </t>
  </si>
  <si>
    <t xml:space="preserve">Express BT-HL </t>
  </si>
  <si>
    <t xml:space="preserve">Express BT Non-HL </t>
  </si>
  <si>
    <t xml:space="preserve">Banking Product </t>
  </si>
  <si>
    <t xml:space="preserve">Output: Loan Final Eligibility </t>
  </si>
  <si>
    <t xml:space="preserve">Amount </t>
  </si>
  <si>
    <t xml:space="preserve">Ratio Check </t>
  </si>
  <si>
    <t xml:space="preserve">RAAC Norm </t>
  </si>
  <si>
    <t>GTP-Loan Amount to Turnover%</t>
  </si>
  <si>
    <t xml:space="preserve">GTP to Normal Eligibility </t>
  </si>
  <si>
    <t>Debt Equity Ratio</t>
  </si>
  <si>
    <t xml:space="preserve">LTV </t>
  </si>
  <si>
    <t xml:space="preserve">Normal Eligibility </t>
  </si>
  <si>
    <t>&lt;Static&gt;</t>
  </si>
  <si>
    <t>RAAC Ratio</t>
  </si>
  <si>
    <t>Product</t>
  </si>
  <si>
    <t>Yes</t>
  </si>
  <si>
    <t xml:space="preserve">Loan Amount </t>
  </si>
  <si>
    <t>ADB-EMI Ratio</t>
  </si>
  <si>
    <t xml:space="preserve">Enter Recommended Loan Amount </t>
  </si>
  <si>
    <t xml:space="preserve">Same business premise for 5 years </t>
  </si>
  <si>
    <t xml:space="preserve">Office Landline- Available </t>
  </si>
  <si>
    <t xml:space="preserve">Office FI done </t>
  </si>
  <si>
    <t xml:space="preserve">Same Business for last 5 years </t>
  </si>
  <si>
    <t xml:space="preserve">Output: Loan Eligibility </t>
  </si>
  <si>
    <t>GAP between ITRs 9 months or more</t>
  </si>
  <si>
    <t xml:space="preserve">Turnover reflecting in bank statement </t>
  </si>
  <si>
    <t xml:space="preserve">Actual Ratio </t>
  </si>
  <si>
    <t xml:space="preserve">Other Credit checks </t>
  </si>
  <si>
    <t>NFA Level</t>
  </si>
  <si>
    <t>NFA  Level</t>
  </si>
  <si>
    <t>Decline in Turnover &gt;10%</t>
  </si>
  <si>
    <t>Decline in Net Profits &gt;10%</t>
  </si>
  <si>
    <t xml:space="preserve">Tenure </t>
  </si>
  <si>
    <t xml:space="preserve">ROI </t>
  </si>
  <si>
    <t xml:space="preserve">EMI </t>
  </si>
  <si>
    <t>Click to modify</t>
  </si>
  <si>
    <t xml:space="preserve">Click to modify property value </t>
  </si>
  <si>
    <t xml:space="preserve">CAM and Recommendation Summary </t>
  </si>
  <si>
    <t>Recommended Loan Amount (B6)</t>
  </si>
  <si>
    <t>Enter Values</t>
  </si>
  <si>
    <t>Ratio Check at recommended Loan Amount (B6)</t>
  </si>
  <si>
    <t xml:space="preserve">Click to view Eligibility Calculations </t>
  </si>
  <si>
    <t xml:space="preserve">Applicable Margin </t>
  </si>
  <si>
    <t xml:space="preserve">OD / CC Interest </t>
  </si>
  <si>
    <t xml:space="preserve">Particulars  </t>
  </si>
  <si>
    <t>Tax</t>
  </si>
  <si>
    <t>Gross Profit considered (Lower of A and B)</t>
  </si>
  <si>
    <t>Existing Obligations</t>
  </si>
  <si>
    <t>Case to be recommended to               (Highest NFA Level)</t>
  </si>
  <si>
    <r>
      <t xml:space="preserve">Actual Gross Profit </t>
    </r>
    <r>
      <rPr>
        <b/>
        <sz val="10"/>
        <color theme="1" tint="0.34998626667073579"/>
        <rFont val="Zurich BT"/>
        <family val="2"/>
      </rPr>
      <t>(A)</t>
    </r>
  </si>
  <si>
    <r>
      <t xml:space="preserve">Imputed Profit </t>
    </r>
    <r>
      <rPr>
        <b/>
        <sz val="10"/>
        <color theme="1" tint="0.34998626667073579"/>
        <rFont val="Zurich BT"/>
        <family val="2"/>
      </rPr>
      <t>(B)</t>
    </r>
  </si>
  <si>
    <t xml:space="preserve">Loan Amount at RAAC Norms </t>
  </si>
  <si>
    <t xml:space="preserve">Office Landline available </t>
  </si>
  <si>
    <t xml:space="preserve">Caution Profile </t>
  </si>
  <si>
    <t>Office set up available  (including resi cum office)</t>
  </si>
  <si>
    <t>If Inherited Property- Is it inherited within last 4 years</t>
  </si>
  <si>
    <t xml:space="preserve">Specialized Property </t>
  </si>
  <si>
    <t>ADB/EMI</t>
  </si>
  <si>
    <t xml:space="preserve">Credit Summation to Loan Amount </t>
  </si>
  <si>
    <t>Ratio Check at recommended Loan Amount (B8)</t>
  </si>
  <si>
    <t>No of inward cheque returns- Insufficient Funds</t>
  </si>
  <si>
    <t>Case to be recommended to  (Highest NFA Level)</t>
  </si>
  <si>
    <t xml:space="preserve">Location Limit- Breach </t>
  </si>
  <si>
    <t>Unsecured loan (LAP/Gold Loan etc taken in last 12 months)</t>
  </si>
  <si>
    <t xml:space="preserve">Loan Amount- with NFA </t>
  </si>
  <si>
    <t xml:space="preserve">Amounts as per Ratio Sheet Combined </t>
  </si>
  <si>
    <t xml:space="preserve">Credit Summation </t>
  </si>
  <si>
    <t>Average Daily Balance (ADB)</t>
  </si>
  <si>
    <t xml:space="preserve">Average Net Profits </t>
  </si>
  <si>
    <t>Applicable Credit Summation Ratio</t>
  </si>
  <si>
    <t>Credit Summation (CS)</t>
  </si>
  <si>
    <t>Loan Amount as per CS (A)</t>
  </si>
  <si>
    <t xml:space="preserve">Proposed EMI based on ADB/Factor </t>
  </si>
  <si>
    <t xml:space="preserve">Click to modify </t>
  </si>
  <si>
    <t xml:space="preserve">Property Value </t>
  </si>
  <si>
    <t xml:space="preserve">Applicable LTV </t>
  </si>
  <si>
    <t>Final Loan Eligibility - Lowest of A,B,C and D</t>
  </si>
  <si>
    <t>Conditions</t>
  </si>
  <si>
    <t>Main account</t>
  </si>
  <si>
    <t>Other account</t>
  </si>
  <si>
    <t>Number of Months Credits less than 3</t>
  </si>
  <si>
    <t>Number of Months with nil credits</t>
  </si>
  <si>
    <t>Number of Months Credits less than 3 (last 3 months)</t>
  </si>
  <si>
    <t>Number of Months with nil credits (last 3 months)</t>
  </si>
  <si>
    <t xml:space="preserve"> No of credits summary </t>
  </si>
  <si>
    <t>Total Number of Credits</t>
  </si>
  <si>
    <t xml:space="preserve">NFA at </t>
  </si>
  <si>
    <t xml:space="preserve">Click for summary </t>
  </si>
  <si>
    <t>Minimum account credit/transaction norms met</t>
  </si>
  <si>
    <t xml:space="preserve">Output: Loan Eligibility for Express BT-Home Loan </t>
  </si>
  <si>
    <t xml:space="preserve">Loan Amount- BT </t>
  </si>
  <si>
    <t xml:space="preserve">Loan Amount- Top up </t>
  </si>
  <si>
    <t>Ratio Check at recommended Loan Amount (B5)</t>
  </si>
  <si>
    <t xml:space="preserve">Top up </t>
  </si>
  <si>
    <t xml:space="preserve">4 years in same business </t>
  </si>
  <si>
    <t>No bounces in last 6 months, max 2 bounces in last 18 months</t>
  </si>
  <si>
    <t>Office set up available (including resi cum office)</t>
  </si>
  <si>
    <t>No Unsecured/LAP loan in last 12 months</t>
  </si>
  <si>
    <t>Never 30+ dpd and no current overdues</t>
  </si>
  <si>
    <t xml:space="preserve">Average Monthly Balance/EMI </t>
  </si>
  <si>
    <t xml:space="preserve">Loan Amount/ Normal Eligibility </t>
  </si>
  <si>
    <t xml:space="preserve">L1 if loan not being closed from Top up </t>
  </si>
  <si>
    <t>Ratio Checks</t>
  </si>
  <si>
    <t xml:space="preserve">Principal Outstanding </t>
  </si>
  <si>
    <t xml:space="preserve">BT Amount </t>
  </si>
  <si>
    <t xml:space="preserve">Loan Eligbility as per 1.5 times normal FOIR </t>
  </si>
  <si>
    <t>Loan Amount as per seasoning (A)</t>
  </si>
  <si>
    <t>Loan Amount as per EMI cap of 115% (B)</t>
  </si>
  <si>
    <t>Loan Amount as per INSR cap of 90% (C)</t>
  </si>
  <si>
    <t xml:space="preserve">Applicable % of Original Sanction basis seasoning </t>
  </si>
  <si>
    <t>Loan Amount as per Location cap (D)</t>
  </si>
  <si>
    <t>Loan Amount as per LTV  (E)</t>
  </si>
  <si>
    <t>Final Loan Eligibility - Lowest of A,B,C,D and E</t>
  </si>
  <si>
    <t>Top up Amount @ 1.25 times No of EMIs Paid*EMI Amt</t>
  </si>
  <si>
    <t xml:space="preserve">Loan Eligibility as per POS+Top up </t>
  </si>
  <si>
    <t>Loan Amount as LTV (C )</t>
  </si>
  <si>
    <t>Loan Amount as Location Cap (D )</t>
  </si>
  <si>
    <t>Final Loan eligibiltiy- Lower of A,B,C and D</t>
  </si>
  <si>
    <t>Loan Amount-GTP at RAAC norms (A)</t>
  </si>
  <si>
    <t>Loan Amount-Normal eligibility at 1.5 times normal FOIR (B)</t>
  </si>
  <si>
    <t>Click to modify Property Value</t>
  </si>
  <si>
    <t>Months</t>
  </si>
  <si>
    <t>Total</t>
  </si>
  <si>
    <t xml:space="preserve">Bank Name </t>
  </si>
  <si>
    <t xml:space="preserve">Account No </t>
  </si>
  <si>
    <t>Average Daily Balance across all accounts</t>
  </si>
  <si>
    <t>Average Daily Balance across all accounts for BT</t>
  </si>
  <si>
    <t xml:space="preserve">Daily Balance </t>
  </si>
  <si>
    <t>Credit summation for year across all accounts</t>
  </si>
  <si>
    <t xml:space="preserve">Account Type </t>
  </si>
  <si>
    <t>Additional Savings Account</t>
  </si>
  <si>
    <t xml:space="preserve">No of Business Credits </t>
  </si>
  <si>
    <t xml:space="preserve">For the month </t>
  </si>
  <si>
    <t>No of EMIs paid</t>
  </si>
  <si>
    <t>Index</t>
  </si>
  <si>
    <t xml:space="preserve">No of exisitng home loans </t>
  </si>
  <si>
    <t xml:space="preserve">Ratio Summary </t>
  </si>
  <si>
    <t xml:space="preserve">Property Details </t>
  </si>
  <si>
    <t xml:space="preserve">Sourcing Details </t>
  </si>
  <si>
    <t xml:space="preserve">Credit Remarks </t>
  </si>
  <si>
    <t xml:space="preserve">Fee Amount </t>
  </si>
  <si>
    <t>Financier</t>
  </si>
  <si>
    <t>Loan Type</t>
  </si>
  <si>
    <t>Sanction Amount</t>
  </si>
  <si>
    <t>POS</t>
  </si>
  <si>
    <t xml:space="preserve">Seasoning </t>
  </si>
  <si>
    <t xml:space="preserve">Total Tenure </t>
  </si>
  <si>
    <t xml:space="preserve">Balance Tenure </t>
  </si>
  <si>
    <t>EMI Amount</t>
  </si>
  <si>
    <t xml:space="preserve">Considered for Eligbility </t>
  </si>
  <si>
    <t xml:space="preserve">Yes/No </t>
  </si>
  <si>
    <t>Property Address</t>
  </si>
  <si>
    <t xml:space="preserve">S No </t>
  </si>
  <si>
    <t xml:space="preserve">Applicant and CIBIL Summary </t>
  </si>
  <si>
    <t xml:space="preserve">Applicant Type </t>
  </si>
  <si>
    <t xml:space="preserve">Applicant Name </t>
  </si>
  <si>
    <t xml:space="preserve">Relationship with Applicant </t>
  </si>
  <si>
    <t xml:space="preserve">Current Age </t>
  </si>
  <si>
    <t xml:space="preserve">Age at Maturity </t>
  </si>
  <si>
    <t>Income Considered (Y/N)</t>
  </si>
  <si>
    <t xml:space="preserve">CIBIL Score </t>
  </si>
  <si>
    <t xml:space="preserve">Remarks </t>
  </si>
  <si>
    <t>Sales</t>
  </si>
  <si>
    <t>PAT</t>
  </si>
  <si>
    <t>Actual Cash Profit</t>
  </si>
  <si>
    <t>Total Networth</t>
  </si>
  <si>
    <t xml:space="preserve">Long Term Loans from Banks/FI </t>
  </si>
  <si>
    <t>Working Capital Limits from Banks/FI's</t>
  </si>
  <si>
    <t xml:space="preserve">Average Collection Period </t>
  </si>
  <si>
    <t xml:space="preserve">Current Ratio </t>
  </si>
  <si>
    <t xml:space="preserve">Liquidity Ratio </t>
  </si>
  <si>
    <t xml:space="preserve">Debt Equity Ratio </t>
  </si>
  <si>
    <t xml:space="preserve">Interest Coverage Ratio </t>
  </si>
  <si>
    <t xml:space="preserve">Gross Profit Margin Ratio </t>
  </si>
  <si>
    <t xml:space="preserve">Net Profit Margin Ratio </t>
  </si>
  <si>
    <t>Year 1</t>
  </si>
  <si>
    <t>Year 2</t>
  </si>
  <si>
    <t>Year 3</t>
  </si>
  <si>
    <t xml:space="preserve">Other Income </t>
  </si>
  <si>
    <t>Financials Snapshot</t>
  </si>
  <si>
    <t>RAAC Norm- HL&amp; NRP/ RAAC Norm LAP</t>
  </si>
  <si>
    <t xml:space="preserve">Within norms- Yes/No </t>
  </si>
  <si>
    <t>Financial Summary  (Loan Type)</t>
  </si>
  <si>
    <t xml:space="preserve">NFA Level </t>
  </si>
  <si>
    <t xml:space="preserve">Cash Profit Trend </t>
  </si>
  <si>
    <t>Debt Service Coverage Ratio(DSCR)</t>
  </si>
  <si>
    <t xml:space="preserve">Net Profit Margin </t>
  </si>
  <si>
    <t>Case to be recommended to</t>
  </si>
  <si>
    <t>Any Unsecured/LAP loan in last 12 months</t>
  </si>
  <si>
    <t>Eligibility(Rs. In lacs)</t>
  </si>
  <si>
    <t xml:space="preserve">Average </t>
  </si>
  <si>
    <t>Eligibility</t>
  </si>
  <si>
    <t xml:space="preserve">Eligible Income </t>
  </si>
  <si>
    <t>Profile</t>
  </si>
  <si>
    <t>PBT</t>
  </si>
  <si>
    <t>Depreciation</t>
  </si>
  <si>
    <t>Director Remuneration/Partners Salary</t>
  </si>
  <si>
    <t>Interest Expenses paid to partners/director</t>
  </si>
  <si>
    <t>Interest on loans</t>
  </si>
  <si>
    <t>Rent income</t>
  </si>
  <si>
    <t>Agricultural Income</t>
  </si>
  <si>
    <t>Interets on FD/Dividends</t>
  </si>
  <si>
    <t>Other income</t>
  </si>
  <si>
    <t>One time Income (exceptional)</t>
  </si>
  <si>
    <t>One time Expense (exceptional)</t>
  </si>
  <si>
    <t>Tax on Director remenuration/salary to partners</t>
  </si>
  <si>
    <t>Tax on interest paid to partners</t>
  </si>
  <si>
    <t>Any Additional income (editable)</t>
  </si>
  <si>
    <t xml:space="preserve">Total          </t>
  </si>
  <si>
    <t xml:space="preserve">Appraised Monthly Income          </t>
  </si>
  <si>
    <t>If Topup, Click here to enter</t>
  </si>
  <si>
    <t xml:space="preserve">Appraised Obligations          </t>
  </si>
  <si>
    <t xml:space="preserve">Max FOIR(for a combined LTV and FOIR of 130)          </t>
  </si>
  <si>
    <t xml:space="preserve">Max EMI          </t>
  </si>
  <si>
    <t xml:space="preserve">Tenor (Months)          </t>
  </si>
  <si>
    <t xml:space="preserve">Rate Of Interest          </t>
  </si>
  <si>
    <t xml:space="preserve">EMI Factor          </t>
  </si>
  <si>
    <t>Normal Eligibility(Rs. In lacs)</t>
  </si>
  <si>
    <t xml:space="preserve">RECOMMENDATION          </t>
  </si>
  <si>
    <t xml:space="preserve">ROI          </t>
  </si>
  <si>
    <t>Loan Amt(Rs. In lacs)</t>
  </si>
  <si>
    <t xml:space="preserve">EMI          </t>
  </si>
  <si>
    <t xml:space="preserve">Actual FOIR          </t>
  </si>
  <si>
    <t xml:space="preserve">Max LTV as per policy          </t>
  </si>
  <si>
    <t xml:space="preserve">Property Value          </t>
  </si>
  <si>
    <t>LTV on incremental exposure</t>
  </si>
  <si>
    <t>Combined LTV</t>
  </si>
  <si>
    <t xml:space="preserve">FOIR + LTV          </t>
  </si>
  <si>
    <t xml:space="preserve">Loan Amount -Head Credit </t>
  </si>
  <si>
    <t xml:space="preserve">Loan Amount -Head CPG </t>
  </si>
  <si>
    <t xml:space="preserve">Obligations Summary </t>
  </si>
  <si>
    <t xml:space="preserve">Gross  Turnover </t>
  </si>
  <si>
    <t xml:space="preserve">NFA </t>
  </si>
  <si>
    <t xml:space="preserve">Banking </t>
  </si>
  <si>
    <t>Credits</t>
  </si>
  <si>
    <t>Cheque bounces</t>
  </si>
  <si>
    <t>Express BT-HL</t>
  </si>
  <si>
    <t xml:space="preserve">Express BT-LAP </t>
  </si>
  <si>
    <t xml:space="preserve">MOD </t>
  </si>
  <si>
    <t xml:space="preserve">Loan against Specialized Property </t>
  </si>
  <si>
    <t xml:space="preserve">Empower HL </t>
  </si>
  <si>
    <t xml:space="preserve">LRD </t>
  </si>
  <si>
    <t xml:space="preserve">LRD-Warehouse </t>
  </si>
  <si>
    <t>Eligible Products</t>
  </si>
  <si>
    <t xml:space="preserve">Loan for Comm/Ind Plots </t>
  </si>
  <si>
    <t xml:space="preserve">Home Loan </t>
  </si>
  <si>
    <t xml:space="preserve">LAP-Resi </t>
  </si>
  <si>
    <t>LAP-Comm</t>
  </si>
  <si>
    <t>NRP-Self occ</t>
  </si>
  <si>
    <t>NRP-Non Self-occ</t>
  </si>
  <si>
    <t xml:space="preserve">HL-Top-up </t>
  </si>
  <si>
    <t xml:space="preserve">LAP-Top-up </t>
  </si>
  <si>
    <t>LRD</t>
  </si>
  <si>
    <t>BT-LRD</t>
  </si>
  <si>
    <t>Commercial Plot+Cons</t>
  </si>
  <si>
    <t>Indstrial Plot+Cons</t>
  </si>
  <si>
    <t xml:space="preserve">Pragat </t>
  </si>
  <si>
    <t xml:space="preserve">HL-Top-up upto 12 months seasoning </t>
  </si>
  <si>
    <t xml:space="preserve">HL-Top-up &gt; 12 months seasoning </t>
  </si>
  <si>
    <t xml:space="preserve">HL-Top-up &gt; 12 and upto 24 months seasoning </t>
  </si>
  <si>
    <t xml:space="preserve">HL-Top-up &gt; 24 months seasoning </t>
  </si>
  <si>
    <t xml:space="preserve">NRP Top-up </t>
  </si>
  <si>
    <t xml:space="preserve">NRP-Top-up </t>
  </si>
  <si>
    <t xml:space="preserve">HL- &gt;30 Lakhs and upto 75 Lakhs </t>
  </si>
  <si>
    <t xml:space="preserve">HL&gt;75 Lakhs </t>
  </si>
  <si>
    <t xml:space="preserve">HL- upto 30 Lakhs </t>
  </si>
  <si>
    <t>NA</t>
  </si>
  <si>
    <t>LAP-MOD</t>
  </si>
  <si>
    <t>LAP- BT</t>
  </si>
  <si>
    <t xml:space="preserve">LAP- BT </t>
  </si>
  <si>
    <t>BT of Commercial Plot+Cons</t>
  </si>
  <si>
    <t>BT of Industrial Plot+Cons</t>
  </si>
  <si>
    <t>Mortgage Guarantee- Variant 1</t>
  </si>
  <si>
    <t>Mortgage Guarantee- Variant 2</t>
  </si>
  <si>
    <t>Mortgage Guarantee- Variant 3</t>
  </si>
  <si>
    <t>Mortgage Guarantee- Variant 4</t>
  </si>
  <si>
    <t xml:space="preserve">HL-Top-up upto 6 months seasoning </t>
  </si>
  <si>
    <t xml:space="preserve">HL-Top-up &gt;6 motnhs and upto 12 months seasoning </t>
  </si>
  <si>
    <t>Profit &amp; Loss Account</t>
  </si>
  <si>
    <t>31.03.2013</t>
  </si>
  <si>
    <t>% Growth</t>
  </si>
  <si>
    <t>31.03.2012</t>
  </si>
  <si>
    <t>31.03.2011</t>
  </si>
  <si>
    <t>31.03.2010</t>
  </si>
  <si>
    <t>Rs. lacs</t>
  </si>
  <si>
    <t>In 2013</t>
  </si>
  <si>
    <t>In 2012</t>
  </si>
  <si>
    <t>In 2011</t>
  </si>
  <si>
    <t>Other Income (incidental to Business/Business income)</t>
  </si>
  <si>
    <t>Other Income (Non Business income)</t>
  </si>
  <si>
    <t>Total Income</t>
  </si>
  <si>
    <t>Raw Material Cost</t>
  </si>
  <si>
    <t>Manufacturing expenses</t>
  </si>
  <si>
    <t>Wages &amp; employee cost</t>
  </si>
  <si>
    <t>Gross Profit</t>
  </si>
  <si>
    <t>Administrative Expenses</t>
  </si>
  <si>
    <t>Selling &amp; Distribution Expenses</t>
  </si>
  <si>
    <t>PBDIT</t>
  </si>
  <si>
    <t>Interest on Term Loan from Banks</t>
  </si>
  <si>
    <t>Interest on Term Loan from Relatives</t>
  </si>
  <si>
    <t>Interest on unsecured loans from others</t>
  </si>
  <si>
    <t>Interest on CC/OD</t>
  </si>
  <si>
    <t>Non cash expenses written off</t>
  </si>
  <si>
    <t>Profit Before Tax</t>
  </si>
  <si>
    <t>Tax as per ITR</t>
  </si>
  <si>
    <t>Cash Profits</t>
  </si>
  <si>
    <t>Salary to Partner/Director</t>
  </si>
  <si>
    <t>.</t>
  </si>
  <si>
    <t xml:space="preserve">Balance Sheet </t>
  </si>
  <si>
    <t xml:space="preserve">Proprietorship Capital </t>
  </si>
  <si>
    <t>Reserves &amp; Surplus(excluding revaluation reserve)</t>
  </si>
  <si>
    <t>Revaluation Reserve</t>
  </si>
  <si>
    <t>Adjusted Networth</t>
  </si>
  <si>
    <t>Total Borrowings from banks/FI/NBFC's</t>
  </si>
  <si>
    <t>Unsecured loans  (others)</t>
  </si>
  <si>
    <t>Unsecured loans from partners/shareholders</t>
  </si>
  <si>
    <t>Current Liabilities &amp; Provisions</t>
  </si>
  <si>
    <t>Provision for taxation</t>
  </si>
  <si>
    <t>Other Liabilities</t>
  </si>
  <si>
    <t>Total Liabilities to outsiders</t>
  </si>
  <si>
    <t>Balance Sheet Total</t>
  </si>
  <si>
    <t>Fixed Assets less depreciation</t>
  </si>
  <si>
    <t>Investments</t>
  </si>
  <si>
    <t>Liquid/Marketable Investments</t>
  </si>
  <si>
    <t>Group Co. Investments</t>
  </si>
  <si>
    <t>Unquoted/Dead Investments</t>
  </si>
  <si>
    <t>Current Assets:</t>
  </si>
  <si>
    <t>Deferred Tax Asset</t>
  </si>
  <si>
    <t>Inventories</t>
  </si>
  <si>
    <t>Receivables / Debtors</t>
  </si>
  <si>
    <t xml:space="preserve"> Debtors &gt; 6 months</t>
  </si>
  <si>
    <t xml:space="preserve"> Debtors &lt; 6 months</t>
  </si>
  <si>
    <t>Cash and Bank</t>
  </si>
  <si>
    <t>Loans &amp; Advances</t>
  </si>
  <si>
    <t>Loans &amp; Advances given to directors/partners etc</t>
  </si>
  <si>
    <t>Loans and Advances given to others</t>
  </si>
  <si>
    <t>Misc Expenses (DRE+Preop+Preliminary+Acc P&amp;L)</t>
  </si>
  <si>
    <t xml:space="preserve">Ratios    </t>
  </si>
  <si>
    <t xml:space="preserve">Average Collection Period    </t>
  </si>
  <si>
    <t xml:space="preserve">Average Days in Inventory    </t>
  </si>
  <si>
    <t xml:space="preserve">Inventory to Cost of Goods Sold    </t>
  </si>
  <si>
    <t xml:space="preserve">Current Ratio    </t>
  </si>
  <si>
    <t xml:space="preserve">Liquidity Ratio    </t>
  </si>
  <si>
    <t xml:space="preserve">Debt Equity Ratio    </t>
  </si>
  <si>
    <t xml:space="preserve">Interest Coverage Ratio    </t>
  </si>
  <si>
    <t xml:space="preserve">DSCR    </t>
  </si>
  <si>
    <t xml:space="preserve">DSCR after the proposed Loan    </t>
  </si>
  <si>
    <t xml:space="preserve">Gross Profit Margin Ratio    </t>
  </si>
  <si>
    <t xml:space="preserve">Net Profit Margin Ratio    </t>
  </si>
  <si>
    <t xml:space="preserve">Cash Profit Ratio    </t>
  </si>
  <si>
    <t xml:space="preserve">Growth in Sales    </t>
  </si>
  <si>
    <t xml:space="preserve">Growth in Net Profits    </t>
  </si>
  <si>
    <t xml:space="preserve">Cash Flow Statement    </t>
  </si>
  <si>
    <t xml:space="preserve">Net Profit After Tax    </t>
  </si>
  <si>
    <t xml:space="preserve">Add :    </t>
  </si>
  <si>
    <t xml:space="preserve">Depreciation    </t>
  </si>
  <si>
    <t xml:space="preserve">Misc expenses written off/non cash expenses    </t>
  </si>
  <si>
    <t xml:space="preserve">Salary paid to promoter/partners    </t>
  </si>
  <si>
    <t xml:space="preserve">Interest paid to promoters    </t>
  </si>
  <si>
    <t xml:space="preserve">Provision for tax    </t>
  </si>
  <si>
    <t xml:space="preserve">Interest    </t>
  </si>
  <si>
    <t xml:space="preserve">Less : Other income (non business income)    </t>
  </si>
  <si>
    <t xml:space="preserve">Operating cash profit/(Loss ) before working capital changes    </t>
  </si>
  <si>
    <t xml:space="preserve">Trade and other receivables    </t>
  </si>
  <si>
    <t xml:space="preserve">Inventories    </t>
  </si>
  <si>
    <t xml:space="preserve">Loans &amp; Advances    </t>
  </si>
  <si>
    <t xml:space="preserve">other current liabilities    </t>
  </si>
  <si>
    <t xml:space="preserve">Total    </t>
  </si>
  <si>
    <t xml:space="preserve">Cash Generated from operations    </t>
  </si>
  <si>
    <t xml:space="preserve">Less taxes paid    </t>
  </si>
  <si>
    <t xml:space="preserve">Net Cash from Operations    </t>
  </si>
  <si>
    <t>Loan Amount-GST with NFAs</t>
  </si>
  <si>
    <t>GST-Bank Borrowing to Sales%</t>
  </si>
  <si>
    <t xml:space="preserve">GST Turnover </t>
  </si>
  <si>
    <t>Final Loan Eligibility</t>
  </si>
  <si>
    <t>Loan Amount-GST at RAAC norms</t>
  </si>
  <si>
    <t>Average delay in servicing &lt;=10 days in last 12 months</t>
  </si>
  <si>
    <t>No. of days where account is overdrawn &lt;=10 days in 12 months</t>
  </si>
  <si>
    <t>Inward check return &lt;=2% of no. of cheques issued in last 12 months</t>
  </si>
  <si>
    <t>No cheque bounce due to insuffucient funds in last 6 months</t>
  </si>
  <si>
    <t>Eligibility at RAAC LTV + FOIR</t>
  </si>
  <si>
    <t xml:space="preserve">Loan Amount -RAAC norms </t>
  </si>
  <si>
    <t>Loan Amount - with NFAs</t>
  </si>
  <si>
    <t xml:space="preserve">Loan Amount-at RAAC norms </t>
  </si>
  <si>
    <t>Imputed income</t>
  </si>
  <si>
    <t>School</t>
  </si>
  <si>
    <t>Marriage Garden</t>
  </si>
  <si>
    <t>Low LTV Banking</t>
  </si>
  <si>
    <t>Specialised Property</t>
  </si>
  <si>
    <t>GTP</t>
  </si>
  <si>
    <t>Parameter</t>
  </si>
  <si>
    <t>RCM</t>
  </si>
  <si>
    <t>ZCM</t>
  </si>
  <si>
    <t>RCH</t>
  </si>
  <si>
    <t>ZCH</t>
  </si>
  <si>
    <t>CH</t>
  </si>
  <si>
    <t>FOIR &gt; 65% with RAAC LTV</t>
  </si>
  <si>
    <t>Debt To Equity more than</t>
  </si>
  <si>
    <t>LTV for LAP residential - &gt; 60 but &lt; 65%</t>
  </si>
  <si>
    <t>LTV for LAP commercial - &gt; 55 but &lt; 60%</t>
  </si>
  <si>
    <t>Actual</t>
  </si>
  <si>
    <t>Deviation</t>
  </si>
  <si>
    <t>LTV for NRP Self Occupied</t>
  </si>
  <si>
    <t>LTV for NRP Non Self Occupied</t>
  </si>
  <si>
    <t>LTV for LAP residential &gt; 65%</t>
  </si>
  <si>
    <t>LTV for LAP commercial &gt; 60%</t>
  </si>
  <si>
    <t>LTV for NRP Self Occupied &gt; 70%</t>
  </si>
  <si>
    <t>LTV for NRP Non Self Occupied &gt; 60%</t>
  </si>
  <si>
    <t>Loan Amount &gt; 30 and &lt; 40 Million</t>
  </si>
  <si>
    <t>Loan Amount &gt; 40 and &lt; 50 Million</t>
  </si>
  <si>
    <t>Tenure for LAP/Top/NRP &gt; 15 years</t>
  </si>
  <si>
    <t>Min Turnover for loan of 15 - 30 million upto 2 times</t>
  </si>
  <si>
    <t>Min AQB / Total EMI for loan of 15 - 30 million upto 1.5 times</t>
  </si>
  <si>
    <t>Margins - Traders &gt; 7%</t>
  </si>
  <si>
    <t>Margins - Manufacturers &amp; Services &gt; 10%</t>
  </si>
  <si>
    <t>Turnover Dip &gt; 10%</t>
  </si>
  <si>
    <t>Turnover &gt; 6 million</t>
  </si>
  <si>
    <t>BT + Top Up: FOIR of 130% for eligibility upto 1 time the normal eligibility, LTV Cap</t>
  </si>
  <si>
    <t>For approach 1: LTV for LAP residential - &gt; 60 but &lt; 65%</t>
  </si>
  <si>
    <t>For approach 2: LTV for LAP residential - &gt; 60 but &lt; 65%</t>
  </si>
  <si>
    <t>For approach 1: LTV for LAP residential &gt; 65%</t>
  </si>
  <si>
    <t>For approach 1: LTV for NRP Self Occupied &gt; 70%</t>
  </si>
  <si>
    <t>For approach 1: LTV for NRP Non Self Occupied &gt; 60%</t>
  </si>
  <si>
    <t>For approach 1:LTV for NRP Self Occupied &gt; 65 but &lt; 70</t>
  </si>
  <si>
    <t>For approach 1:LTV for NRP Non Self Occupied &gt; 55 but &lt;60</t>
  </si>
  <si>
    <t>For approach 2:LTV for NRP Self Occupied &gt; 65 but &lt; 70</t>
  </si>
  <si>
    <t>For approach 2:LTV for NRP Non Self Occupied &gt; 55 but &lt;60</t>
  </si>
  <si>
    <t>For approach 2:LTV for NRP Self Occupied &gt; 70 but &lt; 75 - RBP</t>
  </si>
  <si>
    <t>For approach 2:LTV for NRP Non Self Occupied &gt; 60 but &lt;65</t>
  </si>
  <si>
    <t>For approach 2: LTV for LAP residential - &gt; 65 but &lt; 70% - RBP - Self Occupied</t>
  </si>
  <si>
    <t>For approach 2:LTV for LAP commercial - &gt; 60 but &lt; 65% - RBP - Self Occupied</t>
  </si>
  <si>
    <t>For approach 2: LTV for LAP residential - &gt; 70 but &lt; 75% - RBP - Self Occupied</t>
  </si>
  <si>
    <t>For approach 2:LTV for NRP Self Occupied &gt; 75 but &lt; 80 - RBP</t>
  </si>
  <si>
    <t>For approach 2:LTV for NRP Non Self Occupied &gt; 65 but &lt;70</t>
  </si>
  <si>
    <t>Express BT - NHL</t>
  </si>
  <si>
    <t>For approach 1:LTV for LAP commercial - &gt; 50 but &lt; 55%</t>
  </si>
  <si>
    <t>For approach 1: LTV for LAP commercial &gt; 55%</t>
  </si>
  <si>
    <t>For approach 2:LTV for LAP commercial - &gt; 50 but &lt; 55%</t>
  </si>
  <si>
    <t>For approach 2:LTV for LAP commercial - &gt; 55 but &lt; 60% - RBP - Self Occupied</t>
  </si>
  <si>
    <t>Business Vintage less than 4 years</t>
  </si>
  <si>
    <t>Banking</t>
  </si>
  <si>
    <t>Credit Summation &gt; = 2 times of loan amount for all except services sector</t>
  </si>
  <si>
    <t>Credit Summation &gt; = 1 times of loan amount for services sector</t>
  </si>
  <si>
    <t>RCF1</t>
  </si>
  <si>
    <t>LTV for Home Loan more than 75%</t>
  </si>
  <si>
    <t>LTV for NRP- Self-occupied Property  more than 70%</t>
  </si>
  <si>
    <t>No credit in only 1 month (not in last 3 months) but 36 in last 12 months</t>
  </si>
  <si>
    <t>LTV for Home Loan more than 70% and upto 75%,  but within RBI norms</t>
  </si>
  <si>
    <t>LTV for LAP- Resi more than 60% and upto 65%</t>
  </si>
  <si>
    <t>LTV for LAP- Comm more than 50% and upto 55%</t>
  </si>
  <si>
    <t>LTV for NRP- Self-occupied Property  more than 65% and upto 70%</t>
  </si>
  <si>
    <t>Credit Entries: Main account &lt; 3 in 1 month but 1 in month, 9 in quarter and 36 in year</t>
  </si>
  <si>
    <t>Credit Entries: Other CA &lt; 1 in 3 months but not in last 3 months, 12 in last 12 months</t>
  </si>
  <si>
    <t>Credit Entries: SA &lt; 3 in 3 months but 36 in last 12 months</t>
  </si>
  <si>
    <t>Cheque Bounces: &lt; = 2 in last 12 months but 0 in last 3 months</t>
  </si>
  <si>
    <t>Cheque Bounces: = 1 in last 12 months but 0 in last 3 months</t>
  </si>
  <si>
    <r>
      <t xml:space="preserve">Cheque Bounce in last 3 months &gt; 0 </t>
    </r>
    <r>
      <rPr>
        <b/>
        <sz val="11"/>
        <color theme="1"/>
        <rFont val="Calibri"/>
        <family val="2"/>
        <scheme val="minor"/>
      </rPr>
      <t>(No NFA)</t>
    </r>
  </si>
  <si>
    <t>Tenure for HL &gt; 20 years</t>
  </si>
  <si>
    <t>Express BT - HL</t>
  </si>
  <si>
    <t xml:space="preserve">Loan Amount: &gt; 130% of original sanction for self-employed; seasoning &gt; 24 months </t>
  </si>
  <si>
    <t xml:space="preserve">Loan Amount: &gt; 110% of original sanction for self-employed; seasoning  12 - 18 months </t>
  </si>
  <si>
    <t xml:space="preserve">Loan Amount: &gt; 110% of original sanction for self-employed; seasoning  18 - 24 months </t>
  </si>
  <si>
    <t xml:space="preserve">Loan Amount: &gt; 100% of original sanction for salaried; seasoning between 12-18 months </t>
  </si>
  <si>
    <t xml:space="preserve">Loan Amount: &gt; 120% of original sanction for salaried; seasoning between 18-24 months </t>
  </si>
  <si>
    <t xml:space="preserve">Loan Amount: &gt; 130% of original sanction for salaried; seasoning between &gt; 24 months </t>
  </si>
  <si>
    <t xml:space="preserve">Loan Amount: For &lt;=36 months, New EMI is &gt; 115% of existing EMI </t>
  </si>
  <si>
    <t xml:space="preserve">Loan Amount: For &gt;36 months, New EMI is &gt; 125% of existing EMI </t>
  </si>
  <si>
    <t>Minimum Seasoning &lt; 12 months</t>
  </si>
  <si>
    <t>Salaried: &lt;=30 lakhs - LTV 90% - 95%, subject to RBI norms</t>
  </si>
  <si>
    <t>Salaried: 30 - 75 lakhs - LTV 80% - 85%, subject to RBI norms</t>
  </si>
  <si>
    <t>Salaried: &lt;=30 lakhs - LTV 75% - 80%, subject to RBI norms</t>
  </si>
  <si>
    <t>Self Employed: &lt; = 75 lakhs - LTV 80% - 85%, subject to RBI norms</t>
  </si>
  <si>
    <t>Self Employed: &gt; 75 lakhs - LTV 75% - 80%, subject to RBI norms</t>
  </si>
  <si>
    <t>Other Financiers Salaried &gt; 75% - 80%</t>
  </si>
  <si>
    <t>Other Financiers Self Employed &gt; 70% - 75%</t>
  </si>
  <si>
    <t>Salaried: &lt;=30 lakhs - LTV &gt; 95%, subject to RBI norms</t>
  </si>
  <si>
    <t>Salaried: 30 - 75 lakhs - LTV 85%, subject to RBI norms</t>
  </si>
  <si>
    <t>Salaried: &lt;=30 lakhs - LTV 80%, subject to RBI norms</t>
  </si>
  <si>
    <t>Self Employed: &lt; = 75 lakhs - LTV 85%, subject to RBI norms</t>
  </si>
  <si>
    <t>Self Employed: &gt; 75 lakhs - LTV 80%, subject to RBI norms</t>
  </si>
  <si>
    <t>Other Financiers Salaried &gt; 80%</t>
  </si>
  <si>
    <t>Other Financiers Self Employed &gt; 75%</t>
  </si>
  <si>
    <t>Tenure for NRP &gt; 15 years</t>
  </si>
  <si>
    <t>Tenure for HEL/Top Up &gt; 10 years</t>
  </si>
  <si>
    <t>HEL/Top Up - ADB/EMI &lt; 1.5 times</t>
  </si>
  <si>
    <t>HL / NRP: Loan &lt; 7.5 million - ADB/EMI &lt; 1.5 times</t>
  </si>
  <si>
    <t>HL / NRP: Loan &lt; 10.0 million - ADB/EMI &lt; 1.5 times</t>
  </si>
  <si>
    <t>HL / NRP: Loan &gt; 10.0 million - ADB/EMI &lt; 2.0 times</t>
  </si>
  <si>
    <t>HL/NRP: CA/SA Vintage - main account &lt; 12 months</t>
  </si>
  <si>
    <t>HL/NRP: CA/SA Vintage - other accounts &lt; 6 months</t>
  </si>
  <si>
    <t>HL / NRP: Loan Amount &gt; 30 and &lt; 40 Million</t>
  </si>
  <si>
    <t>HL / NRP: Loan Amount &gt; 40 and &lt; 50 Million</t>
  </si>
  <si>
    <t>Credit Entries: Main account &lt; 3 in 1 month</t>
  </si>
  <si>
    <t>Credit Entries: Other CA &lt; 1 in 3 months</t>
  </si>
  <si>
    <t>Credit Entries: SA &lt; 3 in 1 month</t>
  </si>
  <si>
    <t>Cheque Bounces: &lt; = 2 in last 12 months</t>
  </si>
  <si>
    <t>Cheque Bounces: = 1 in last 12 months</t>
  </si>
  <si>
    <t>MOD for Salaried</t>
  </si>
  <si>
    <t>Loan Amount &gt; 10 and &lt; 30 Million</t>
  </si>
  <si>
    <t>CPG Head</t>
  </si>
  <si>
    <t>Loan Amount &gt; 10</t>
  </si>
  <si>
    <t>Pratham (Pragati)</t>
  </si>
  <si>
    <t>ADB for SE: ADB to EMI &lt; 0.5 with LTV lower by 5%</t>
  </si>
  <si>
    <t>Loan Amount: upto 5.5 Million</t>
  </si>
  <si>
    <t>FOIR: Salaried non PMAY Income &lt; 20,000 to be 50% instead of 45%</t>
  </si>
  <si>
    <t>FOIR: Salaried non PMAY Income &gt; 20,000 to be 55% instead of 50%</t>
  </si>
  <si>
    <t>FOIR: Salaried PMAY case - FOIR to be 60% instead of 55%</t>
  </si>
  <si>
    <t>INSR: Salaried non PMAY Income &lt; 20,000 to be 55% instead of 50%</t>
  </si>
  <si>
    <t>INSR: Salaried non PMAY Income &gt; 20,000 to be 60% instead of 55%</t>
  </si>
  <si>
    <t>INSR: Salaried PMAY case - FOIR to be 65% instead of 60%</t>
  </si>
  <si>
    <t>FOIR: Self Employed - LIP to be 70% instead of 65%</t>
  </si>
  <si>
    <t>FOIR: Self Employed - ITR to be 105% instead of 100%</t>
  </si>
  <si>
    <t>Bank Statements min of 6 months instead of 12 months</t>
  </si>
  <si>
    <t>LAP for Specialized Properties</t>
  </si>
  <si>
    <t>Nursing Homes upto 50 beds</t>
  </si>
  <si>
    <t>Land + Construction</t>
  </si>
  <si>
    <t>Loan Amount for Plot Purchase &gt; 20.0 million</t>
  </si>
  <si>
    <t>Loan Amount for Construction &gt; 10.0 million</t>
  </si>
  <si>
    <t>Loan Amount for Land + Construction &gt; 30.0 million</t>
  </si>
  <si>
    <t>GST</t>
  </si>
  <si>
    <t>Business Vintage less than 3 years</t>
  </si>
  <si>
    <t>Bank Borrowing to Sales max of 50%</t>
  </si>
  <si>
    <t>Minimum Turnover - 5.0 million</t>
  </si>
  <si>
    <t>Collateral Plus Secured</t>
  </si>
  <si>
    <t>Loan Amount &gt; 7.5 million &lt; 10.0 Million</t>
  </si>
  <si>
    <t>Simplified BT for HNI</t>
  </si>
  <si>
    <t>Tenure for NHL &gt; 15 years</t>
  </si>
  <si>
    <t>Express RTF</t>
  </si>
  <si>
    <t>LTV SORP / SOCP to be 55% instead of 50%</t>
  </si>
  <si>
    <t>LTV SORP / SOCP to be &gt; 55%</t>
  </si>
  <si>
    <t>Tenure of Loan &gt; 10 years</t>
  </si>
  <si>
    <t>Loan Amount &gt; 100 Million</t>
  </si>
  <si>
    <t>Loan Amount &gt; 50.0 million &lt; 100 million</t>
  </si>
  <si>
    <t>Business Vintage less than 5 years</t>
  </si>
  <si>
    <t>NRP</t>
  </si>
  <si>
    <t>31.03.2021</t>
  </si>
  <si>
    <t>31.03.2020</t>
  </si>
  <si>
    <t>31.03.2019</t>
  </si>
  <si>
    <t>31.03.2018</t>
  </si>
  <si>
    <t>In 2021</t>
  </si>
  <si>
    <t>In 2020</t>
  </si>
  <si>
    <t>In 2019</t>
  </si>
  <si>
    <t>Cost % of sales of 2021</t>
  </si>
  <si>
    <t>Cost % of sales of 2020</t>
  </si>
  <si>
    <t>Cost % of sales of 2019</t>
  </si>
  <si>
    <t>Cost % of sales of 2018</t>
  </si>
  <si>
    <t xml:space="preserve">Input Sheet - Multi-Variant Calculator </t>
  </si>
  <si>
    <t>Loan Amount required (Rs. Millions)</t>
  </si>
  <si>
    <t>Salaried</t>
  </si>
  <si>
    <t>Self Employed - Professionals</t>
  </si>
  <si>
    <t>Self Employed - Non Professionals</t>
  </si>
  <si>
    <t>Base Products</t>
  </si>
  <si>
    <t>Home Loan</t>
  </si>
  <si>
    <t>LAP - Residential</t>
  </si>
  <si>
    <t>LAP - Commercial</t>
  </si>
  <si>
    <t>Land Loan</t>
  </si>
  <si>
    <t>Fresh Case or BT+Top Up Case</t>
  </si>
  <si>
    <t>Fresh Case</t>
  </si>
  <si>
    <t>Balance Transfer + Top Up</t>
  </si>
  <si>
    <t>Top Up on Home Loan</t>
  </si>
  <si>
    <t>Top Up on Land Loan</t>
  </si>
  <si>
    <t>Top Up on LAP - Residential</t>
  </si>
  <si>
    <t>Top Up on LAP - Commercial</t>
  </si>
  <si>
    <t>Top Up on NRP</t>
  </si>
  <si>
    <t>Top Up on LRD</t>
  </si>
  <si>
    <t>Top Up on Land + Construction</t>
  </si>
  <si>
    <t>if Product Type contains Top up then  "Seasoning of Base Loan" (no. of months)</t>
  </si>
  <si>
    <t>Turnover as per GST returns of last 12 months (in Millions)</t>
  </si>
  <si>
    <t>Total EMI of Loans taken within last 12 months  (in Millions)</t>
  </si>
  <si>
    <t>Principal Outstanding (in Millions)</t>
  </si>
  <si>
    <t>Original Loan Amount (in Millions)</t>
  </si>
  <si>
    <t>Pre-Closure Charges (in Millions)</t>
  </si>
  <si>
    <t>Current EMI (in Lakhs)</t>
  </si>
  <si>
    <t>2020-21</t>
  </si>
  <si>
    <t>2019-20</t>
  </si>
  <si>
    <t>LTV</t>
  </si>
  <si>
    <t>Leverage (FOIR)</t>
  </si>
  <si>
    <t>Leverage (FOIR); appraised monthly income &lt;= 50,000</t>
  </si>
  <si>
    <t>Leverage (FOIR); appraised monthly income &gt; 50,000</t>
  </si>
  <si>
    <t>LTV+Leverage (FOIR)</t>
  </si>
  <si>
    <t>&gt; 20%</t>
  </si>
  <si>
    <t>Provide Inputs in Green Cells:</t>
  </si>
  <si>
    <t>Interest Rate</t>
  </si>
  <si>
    <t>To be based on Product Type selected</t>
  </si>
  <si>
    <t>Tenure (in months)</t>
  </si>
  <si>
    <t>LTV - for Doctors</t>
  </si>
  <si>
    <t>LTV - for Others</t>
  </si>
  <si>
    <t>LTV - Others</t>
  </si>
  <si>
    <t>LTV - Doctors (Loan &lt;= 30 lakhs)</t>
  </si>
  <si>
    <t>LTV - Doctors (Loan &gt; 30 Lakhs &amp; &lt;= 75 lakhs)</t>
  </si>
  <si>
    <t>LTV - Doctors (Loan &gt; 75 Lakhs)</t>
  </si>
  <si>
    <t>LTV - Others - Self Occupied CIBIL &lt;= 750</t>
  </si>
  <si>
    <t>LTV - Others - Self Occupied CIBIL &gt; 750</t>
  </si>
  <si>
    <t>LAP - Specialized</t>
  </si>
  <si>
    <t>Property Type</t>
  </si>
  <si>
    <t>Residential</t>
  </si>
  <si>
    <t>Commercial</t>
  </si>
  <si>
    <t>Industrial</t>
  </si>
  <si>
    <t>Warehouse</t>
  </si>
  <si>
    <t>Hospital/Nursing Home</t>
  </si>
  <si>
    <t>Hotels</t>
  </si>
  <si>
    <t>Banquet Halls</t>
  </si>
  <si>
    <t>Marriage Gardens</t>
  </si>
  <si>
    <t>Vacant Land - Residential</t>
  </si>
  <si>
    <t>Vacant Land - Commercial</t>
  </si>
  <si>
    <t>Industrial - LTV</t>
  </si>
  <si>
    <t>Warehouse - LTV</t>
  </si>
  <si>
    <t>Hospital / Nursing Home - LTV</t>
  </si>
  <si>
    <t>School - LTV</t>
  </si>
  <si>
    <t>Hotels - LTV</t>
  </si>
  <si>
    <t>Banquet Halls - LTV</t>
  </si>
  <si>
    <t>Marriage Gardens - LTV</t>
  </si>
  <si>
    <t>5th</t>
  </si>
  <si>
    <t>15th</t>
  </si>
  <si>
    <t>25th</t>
  </si>
  <si>
    <t>Date</t>
  </si>
  <si>
    <t>ADB / EMI Ratio</t>
  </si>
  <si>
    <t>&lt; 3</t>
  </si>
  <si>
    <t>LTV for Home Loan</t>
  </si>
  <si>
    <t>LTV for Home Loan more than 70% and upto 80%,  but within RBI norms</t>
  </si>
  <si>
    <t>LTV for LAP- Residential</t>
  </si>
  <si>
    <t>LTV for LAP- Resi more than 60% and upto 70%</t>
  </si>
  <si>
    <t>LTV for LAP- Comm more than 50% and upto 60%</t>
  </si>
  <si>
    <t>LTV for LAP- Commercial</t>
  </si>
  <si>
    <t>LTV for NRP- Self-occupied Property</t>
  </si>
  <si>
    <t>LTV for NRP- Self-occupied Property more than 65% and upto 70%</t>
  </si>
  <si>
    <t>LTV for NRP- Self-occupied Property more than 65% and upto 75%</t>
  </si>
  <si>
    <t>Applicable ADB/EMI Factor (3 times)</t>
  </si>
  <si>
    <t>Applicable ADB/EMI Factor (1.5 times)</t>
  </si>
  <si>
    <t>Obligations</t>
  </si>
  <si>
    <t>Loan Amount as per ADB/EMI of 3 times (B)</t>
  </si>
  <si>
    <t>Loan Amount as per ADB/EMI of 1.5 times (C)</t>
  </si>
  <si>
    <t>Loan Amount as per LTV (E)</t>
  </si>
  <si>
    <t>Final Loan Eligibility - For CIBIL &gt; 725 (Lowest of A, D and E)</t>
  </si>
  <si>
    <t>Final Loan Eligibility - For CIBIL &lt;= 725 (Lowest of A, B and E)</t>
  </si>
  <si>
    <t>Loan Amount (D) - Higher of (B) and (C)</t>
  </si>
  <si>
    <t>A</t>
  </si>
  <si>
    <t>B</t>
  </si>
  <si>
    <t>Highest of A &amp; B</t>
  </si>
  <si>
    <t>LTV for Loan &lt; = 30 Lakhs</t>
  </si>
  <si>
    <t>LTV for Loan &gt; 30 Lakhs and &lt; = 75 Lakhs</t>
  </si>
  <si>
    <t>LTV for Loan &gt; 75 Lakhs</t>
  </si>
  <si>
    <t>Leverage (FOIR) for all loan amounts</t>
  </si>
  <si>
    <t>LTV - Direct Allotment (Authority) Loan Amount &lt; = 75 Lakhs</t>
  </si>
  <si>
    <t>LTV - Direct Allotment (Authority) Loan Amount &gt; 75 Lakhs</t>
  </si>
  <si>
    <t>LTV - Direct Allotment (Society/Builder) All Loan Amounts</t>
  </si>
  <si>
    <t>LTV - Others including Resale -  All Loan Amounts</t>
  </si>
  <si>
    <t>Customer Profile</t>
  </si>
  <si>
    <t>Industry Segment</t>
  </si>
  <si>
    <t>Manufacturers</t>
  </si>
  <si>
    <t>Service</t>
  </si>
  <si>
    <t>Retailer</t>
  </si>
  <si>
    <t>Wholesaler</t>
  </si>
  <si>
    <t>Sl No</t>
  </si>
  <si>
    <t>Industry</t>
  </si>
  <si>
    <t>Industry Impact during COVID</t>
  </si>
  <si>
    <t>Recovery time Post COVID</t>
  </si>
  <si>
    <t>Self Employed - Impact</t>
  </si>
  <si>
    <t>Margins (%)</t>
  </si>
  <si>
    <t>Mfg</t>
  </si>
  <si>
    <t>Wholesaler Trade</t>
  </si>
  <si>
    <t>Retail</t>
  </si>
  <si>
    <t>Cotton Textiles</t>
  </si>
  <si>
    <t>Jute Textiles</t>
  </si>
  <si>
    <t>Textile-Others (eg. Wool, Silk &amp; Incl Textiles)</t>
  </si>
  <si>
    <t>Man-Made Fibers( eg. Synthetic, Rayon)</t>
  </si>
  <si>
    <t>Wearing Apparel (incl Garment, Fashion Items)</t>
  </si>
  <si>
    <t>Handloom Cooperative</t>
  </si>
  <si>
    <t>Dyes</t>
  </si>
  <si>
    <t>Advertising &amp; Marketing</t>
  </si>
  <si>
    <t>Photography</t>
  </si>
  <si>
    <t>Public Relation</t>
  </si>
  <si>
    <t>Media &amp; Entertainment (including Entertainment)</t>
  </si>
  <si>
    <t>Airline (incl Aviation &amp; Airport)</t>
  </si>
  <si>
    <t>Travel Agents</t>
  </si>
  <si>
    <t>Hotels (incl Hospitality)</t>
  </si>
  <si>
    <t>As Below</t>
  </si>
  <si>
    <t>13a</t>
  </si>
  <si>
    <t>Premium</t>
  </si>
  <si>
    <t>13b</t>
  </si>
  <si>
    <t>Other than Premium</t>
  </si>
  <si>
    <t>13c</t>
  </si>
  <si>
    <t>Restaurants</t>
  </si>
  <si>
    <t>NBFC - ACCEPTING PUBLIC DEPOSITS</t>
  </si>
  <si>
    <t>NBFC-NOT ACCEPTING PUBLIC DEPOSITS</t>
  </si>
  <si>
    <t>Services - Finance (incl Banking and Retail Finance)</t>
  </si>
  <si>
    <t>Micro Finance Institutions(incl Micro Credit)</t>
  </si>
  <si>
    <t>Mutual Fund</t>
  </si>
  <si>
    <t>Insurance</t>
  </si>
  <si>
    <t>Insurance Agent</t>
  </si>
  <si>
    <t>Asset Reconstruction (incl securitisation receipts)</t>
  </si>
  <si>
    <t>Brokerage Services</t>
  </si>
  <si>
    <t>Venture Capital Funds</t>
  </si>
  <si>
    <t>SSI (incl small scale business and service)</t>
  </si>
  <si>
    <t>Cottage Industry</t>
  </si>
  <si>
    <t>KVI(incl village industry)</t>
  </si>
  <si>
    <t>Supply Of Inputs To Artisans Village And Cottage Industries</t>
  </si>
  <si>
    <t>Marketing Of Outputs Of Artisans Village And Cottage Industries</t>
  </si>
  <si>
    <t>Agriculture(incl Harvesting)</t>
  </si>
  <si>
    <t>Farm Industry</t>
  </si>
  <si>
    <t>Fertilisers</t>
  </si>
  <si>
    <t>Pesticides</t>
  </si>
  <si>
    <t>Dairy And Dairy Products (incl Agri Allied activities of dairy)</t>
  </si>
  <si>
    <t xml:space="preserve"> </t>
  </si>
  <si>
    <t>Sugar</t>
  </si>
  <si>
    <t>Tea</t>
  </si>
  <si>
    <t>Vegetable Oils</t>
  </si>
  <si>
    <t>Floriculture</t>
  </si>
  <si>
    <t>Horticulture</t>
  </si>
  <si>
    <t>Poultry(incl agri &amp; allied act of poultry)</t>
  </si>
  <si>
    <t>Seeds</t>
  </si>
  <si>
    <t>Sericulture</t>
  </si>
  <si>
    <t>Self Help Groups</t>
  </si>
  <si>
    <t>Agricultural Allied Activities Of Fishery ( included aquaculture and fishing)</t>
  </si>
  <si>
    <t>Agricultural Allied Activities Of Animal Husbandry, Piggery, Bee-Keeping Etc</t>
  </si>
  <si>
    <t xml:space="preserve">Real Estate (incl construction, land developers, land developer, builder and developer, industrial estate, building contractor and realty civil contractor) </t>
  </si>
  <si>
    <t>44a</t>
  </si>
  <si>
    <t>Paints</t>
  </si>
  <si>
    <t>44b</t>
  </si>
  <si>
    <t>Building material</t>
  </si>
  <si>
    <t>Electrical Equipment</t>
  </si>
  <si>
    <t>Educational Institutions</t>
  </si>
  <si>
    <t>Sports</t>
  </si>
  <si>
    <t>47a</t>
  </si>
  <si>
    <t>Outdoor Sports</t>
  </si>
  <si>
    <t>Food &amp; Beverages (incl Beverages)</t>
  </si>
  <si>
    <t>48a</t>
  </si>
  <si>
    <t xml:space="preserve">   Food &amp; Beverages</t>
  </si>
  <si>
    <t>48b</t>
  </si>
  <si>
    <t xml:space="preserve">   Food Processing</t>
  </si>
  <si>
    <t>48c</t>
  </si>
  <si>
    <t xml:space="preserve">   Packaging of Food Processing</t>
  </si>
  <si>
    <t>48d</t>
  </si>
  <si>
    <t xml:space="preserve">   Technical Assistance to Food Process</t>
  </si>
  <si>
    <t>Gems and Jewellery</t>
  </si>
  <si>
    <t>49a</t>
  </si>
  <si>
    <t xml:space="preserve">   Gems and Jewellery</t>
  </si>
  <si>
    <t>49b</t>
  </si>
  <si>
    <t xml:space="preserve">   Cut and Polished Diamonds</t>
  </si>
  <si>
    <t>Glass and Glass Products</t>
  </si>
  <si>
    <t>Leather and Leather Products</t>
  </si>
  <si>
    <t>Mining</t>
  </si>
  <si>
    <t>52a</t>
  </si>
  <si>
    <t xml:space="preserve">   Coal</t>
  </si>
  <si>
    <t>52b</t>
  </si>
  <si>
    <t xml:space="preserve">   Others</t>
  </si>
  <si>
    <t>Metal and Metal Products</t>
  </si>
  <si>
    <t>Paper and Paper Products (incl Paper Manufacturer)</t>
  </si>
  <si>
    <t>Plastic and Plastic Prodcuts</t>
  </si>
  <si>
    <t>Rubber and Rubber Products</t>
  </si>
  <si>
    <t>Iron/Steel Products</t>
  </si>
  <si>
    <t>Tobacco &amp; Tobacco Products</t>
  </si>
  <si>
    <t>Trader</t>
  </si>
  <si>
    <t>60a</t>
  </si>
  <si>
    <t xml:space="preserve">   Hardware stores</t>
  </si>
  <si>
    <t>60b</t>
  </si>
  <si>
    <t xml:space="preserve">   Provision stores</t>
  </si>
  <si>
    <t>60c</t>
  </si>
  <si>
    <t xml:space="preserve">   Stockist/ Dealer (incl wholesale trader/ trader/ shopkeeper)</t>
  </si>
  <si>
    <t>As below</t>
  </si>
  <si>
    <t>60c(i)</t>
  </si>
  <si>
    <t xml:space="preserve">       a. Essential Commodity</t>
  </si>
  <si>
    <t>60c(ii)</t>
  </si>
  <si>
    <t xml:space="preserve">       b. Non-essentail commodity</t>
  </si>
  <si>
    <t>60d</t>
  </si>
  <si>
    <t xml:space="preserve">   Retail Stores (incl retail trade and other trading)</t>
  </si>
  <si>
    <t>60e</t>
  </si>
  <si>
    <t xml:space="preserve">   Watches/Clocks</t>
  </si>
  <si>
    <t>60f</t>
  </si>
  <si>
    <t xml:space="preserve">   Department Store or Supermarkets</t>
  </si>
  <si>
    <t>CONSULTANCY</t>
  </si>
  <si>
    <t>Impact on salaried</t>
  </si>
  <si>
    <t>BOUTIQUE</t>
  </si>
  <si>
    <t>DRY-CLEANERS</t>
  </si>
  <si>
    <t>HOME INTERIORS</t>
  </si>
  <si>
    <t>FMCG</t>
  </si>
  <si>
    <t>COURIER</t>
  </si>
  <si>
    <t xml:space="preserve"> Agencies as a whole</t>
  </si>
  <si>
    <t>IMPORT EXPORT</t>
  </si>
  <si>
    <t>Agencies as a whole</t>
  </si>
  <si>
    <t>BPO</t>
  </si>
  <si>
    <t>BPO Companies</t>
  </si>
  <si>
    <t>NGO</t>
  </si>
  <si>
    <t>NGOs</t>
  </si>
  <si>
    <t>HANDICRAFTS OR ANTIQUES</t>
  </si>
  <si>
    <t>Footwear</t>
  </si>
  <si>
    <t>CEMENT</t>
  </si>
  <si>
    <t>WOOD AND WOOD PRODUCTS</t>
  </si>
  <si>
    <t>OTHER SERVICES-NON FINANCIAL (services like electricians, mobile, AC repair services etc., mostly self employe), other service centers)</t>
  </si>
  <si>
    <t>PRINTING</t>
  </si>
  <si>
    <t>HIRING</t>
  </si>
  <si>
    <t>SECURITY SERVICES</t>
  </si>
  <si>
    <t>Governmet and Govt agencies like Defence, Railways, Excise, RTO, Railways, Sewage, Sanitation, Waste Disposal, Waterworks</t>
  </si>
  <si>
    <t>Ports</t>
  </si>
  <si>
    <t>Road</t>
  </si>
  <si>
    <t>Electricity (Incl Power and Energy)</t>
  </si>
  <si>
    <t>81a</t>
  </si>
  <si>
    <t>Generation</t>
  </si>
  <si>
    <t>81b</t>
  </si>
  <si>
    <t>Distribution</t>
  </si>
  <si>
    <t>81c</t>
  </si>
  <si>
    <t>Renewable Energy</t>
  </si>
  <si>
    <t>PETROCHEMICALS</t>
  </si>
  <si>
    <t>OIL GAS PETROLEUM AND REFINING (Incl Petrolium and Refining)</t>
  </si>
  <si>
    <t>As Under</t>
  </si>
  <si>
    <t>OFFSHORE DRILLING</t>
  </si>
  <si>
    <t>Chemicals</t>
  </si>
  <si>
    <t>Telecommunication (Other than Government)
Private Players like Airtel, Vodafone, Jio etc</t>
  </si>
  <si>
    <t>Information Technology</t>
  </si>
  <si>
    <t>87a</t>
  </si>
  <si>
    <t>SOFTWARE INDUSTRY (Incl Dot Com)</t>
  </si>
  <si>
    <t>87b</t>
  </si>
  <si>
    <t>COMPUTERS AND PERIPHERALS</t>
  </si>
  <si>
    <t xml:space="preserve">DRUGS AND PHARMACEUTICALS </t>
  </si>
  <si>
    <t>88a</t>
  </si>
  <si>
    <t>CHEMISTS</t>
  </si>
  <si>
    <t>HEALTH CARE AND PERSONAL HYGIENE (other than Hospitals)</t>
  </si>
  <si>
    <t>HOSPITALS</t>
  </si>
  <si>
    <t>CONSUMER DURABLES</t>
  </si>
  <si>
    <t>ELECTRONICS</t>
  </si>
  <si>
    <t>92a</t>
  </si>
  <si>
    <t>Automotive</t>
  </si>
  <si>
    <t>As per Auto Ancilliary</t>
  </si>
  <si>
    <t>92b</t>
  </si>
  <si>
    <t>Communication Equipment</t>
  </si>
  <si>
    <t>As per Telecom (Private)</t>
  </si>
  <si>
    <t>92c</t>
  </si>
  <si>
    <t>Enterprise System</t>
  </si>
  <si>
    <t>As per IT (Hardware)</t>
  </si>
  <si>
    <t>92d</t>
  </si>
  <si>
    <t>Industrial Electronics</t>
  </si>
  <si>
    <t>92e</t>
  </si>
  <si>
    <t>Personal Electronics</t>
  </si>
  <si>
    <t>As perConsumer Durables</t>
  </si>
  <si>
    <t>92e (i)</t>
  </si>
  <si>
    <t>Mobiles</t>
  </si>
  <si>
    <t>FURNITURE AND FURNISHINGS</t>
  </si>
  <si>
    <t>SHIPPING</t>
  </si>
  <si>
    <t>Shipping Cos owning ships</t>
  </si>
  <si>
    <t>The shipping Cos who book freight on a ship - more like commission agents MLO in truck transportation business</t>
  </si>
  <si>
    <t>TRANSPORTATION AND LOGISTICS</t>
  </si>
  <si>
    <t>Renting of Machinery and Equipments</t>
  </si>
  <si>
    <t>AUTOMOBILES</t>
  </si>
  <si>
    <t>AUTO ANCILLARIES</t>
  </si>
  <si>
    <t>TRAVEL/TOURISM</t>
  </si>
  <si>
    <t>TAXI SERVICE</t>
  </si>
  <si>
    <t>Ride hailing services like Ola, Uber etc</t>
  </si>
  <si>
    <t>Individual taxi operators</t>
  </si>
  <si>
    <t>INFRASTRUCTURE (Incl Other Infra / Urban Development projects)</t>
  </si>
  <si>
    <t>Large Contractors</t>
  </si>
  <si>
    <t xml:space="preserve"> Sub Contractors / MSME Govt Contractors</t>
  </si>
  <si>
    <t>Hirers</t>
  </si>
  <si>
    <t>Manpower Supply Services</t>
  </si>
  <si>
    <t>102 a</t>
  </si>
  <si>
    <t>Wage labour</t>
  </si>
  <si>
    <t xml:space="preserve"> Agencies</t>
  </si>
  <si>
    <t>102 b</t>
  </si>
  <si>
    <t>Office Staffing</t>
  </si>
  <si>
    <t>GST Margin</t>
  </si>
  <si>
    <t>To be populated from GST Margin sheet. Applicable for GST product</t>
  </si>
  <si>
    <t>To be in line with product category and its norms</t>
  </si>
  <si>
    <t>Minimum Turnover</t>
  </si>
  <si>
    <t>LTV as per CGTMSE</t>
  </si>
  <si>
    <t>Loan as per CGTMSE Policy</t>
  </si>
  <si>
    <t>Final Eligibility as per CGTMSE</t>
  </si>
  <si>
    <t>CGTMSE
(LTV+FOIR)</t>
  </si>
  <si>
    <t>Loan Amount - ZCM</t>
  </si>
  <si>
    <t>Loan Amount - ZCH</t>
  </si>
  <si>
    <t>Loan Amount - RCH</t>
  </si>
  <si>
    <t>Sheets to be populated from existing NC CAM</t>
  </si>
  <si>
    <t>NC-RTR</t>
  </si>
  <si>
    <t>Obligation Sheet</t>
  </si>
  <si>
    <t>Details of obligations covered in existing CAM's eligibility sheet</t>
  </si>
  <si>
    <t>Analysis - Debit</t>
  </si>
  <si>
    <t>Analysis - Credit</t>
  </si>
  <si>
    <t>Business Profile</t>
  </si>
  <si>
    <t>ITR</t>
  </si>
  <si>
    <t>ROC</t>
  </si>
  <si>
    <t>KYC</t>
  </si>
  <si>
    <t>If &lt;=85%, then RAAC, otherwise RCH</t>
  </si>
  <si>
    <t>In this case, the eligible EMI will be after substracting the obligations</t>
  </si>
  <si>
    <t>Credit</t>
  </si>
  <si>
    <t>CGTMSE Scorecard</t>
  </si>
  <si>
    <t>Range</t>
  </si>
  <si>
    <t>Scale</t>
  </si>
  <si>
    <t>Value</t>
  </si>
  <si>
    <t>Score</t>
  </si>
  <si>
    <t>Weight</t>
  </si>
  <si>
    <t>Final Score</t>
  </si>
  <si>
    <t>Remarks (Guidelines for Value (Column D))</t>
  </si>
  <si>
    <t>Sales Growth</t>
  </si>
  <si>
    <t>&gt;25%</t>
  </si>
  <si>
    <t>To be populated from Combined ratios Sheet as below:
Formula: (Total Income for Latest Year [Row 8 Column B] / Total Income for Previous Year [Row 8, Column D]) - 1</t>
  </si>
  <si>
    <t>20% - 25%</t>
  </si>
  <si>
    <t>10%-20%</t>
  </si>
  <si>
    <t>0% - 10%</t>
  </si>
  <si>
    <t>&lt;0%</t>
  </si>
  <si>
    <t>Operating Profit Growth</t>
  </si>
  <si>
    <t>To be populated from Combined ratios Sheet as below:
Formula: (PBDIT for Latest Year [Row 16 Column B] / PBDIT for Previous Year [Row 16, Column D]) - 1</t>
  </si>
  <si>
    <t>Actual Cash Profit Growth</t>
  </si>
  <si>
    <t>To be populated from Combined ratios Sheet as below:
Formula: (Actual Cash Profit for Latest Year [Row 29 Column B] / Actual Cash Profit for Previous Year [Row 29, Column D]) - 1</t>
  </si>
  <si>
    <t>Current Ratio</t>
  </si>
  <si>
    <t>&gt;=1.75</t>
  </si>
  <si>
    <t>To be populated from Combined ratios Sheet as below:
Current Assets (Row 54 Column B) / Current Liabilities &amp; Provisions (Row 44 Column B)</t>
  </si>
  <si>
    <t>&gt;=1.25 &lt; 1.75</t>
  </si>
  <si>
    <t>&gt;=1.00 &lt; 1.25</t>
  </si>
  <si>
    <t>&gt;=0.75 &lt; 1.00</t>
  </si>
  <si>
    <t>&lt; 0.75</t>
  </si>
  <si>
    <t>Out Of</t>
  </si>
  <si>
    <t xml:space="preserve">Automation </t>
  </si>
  <si>
    <t>Automation part</t>
  </si>
  <si>
    <t>Financials Existing cam</t>
  </si>
  <si>
    <t>Banking cam through Macros</t>
  </si>
  <si>
    <t>Services</t>
  </si>
  <si>
    <t xml:space="preserve">Banking of </t>
  </si>
  <si>
    <t>Number of Accounts considered</t>
  </si>
  <si>
    <t>Number of Months</t>
  </si>
  <si>
    <t>Credit Summation</t>
  </si>
  <si>
    <t>Exclusions:</t>
  </si>
  <si>
    <t>Number of credits in the Current Account &amp; number of transactions in Savings account</t>
  </si>
  <si>
    <t>Account 5</t>
  </si>
  <si>
    <t>Current Account</t>
  </si>
  <si>
    <t>Savings Account</t>
  </si>
  <si>
    <t>Sum</t>
  </si>
  <si>
    <t>Net off enties</t>
  </si>
  <si>
    <t>Number of Credits</t>
  </si>
  <si>
    <t>Account 1</t>
  </si>
  <si>
    <t>One</t>
  </si>
  <si>
    <t>Count of Zero</t>
  </si>
  <si>
    <t>Less than 3</t>
  </si>
  <si>
    <t>Sum of Credits</t>
  </si>
  <si>
    <t>Number of Months Credits less than 3/Less than 1(other account)</t>
  </si>
  <si>
    <t>Account 2</t>
  </si>
  <si>
    <t>Two</t>
  </si>
  <si>
    <t>Account 3</t>
  </si>
  <si>
    <t>Three</t>
  </si>
  <si>
    <t>Not Applicable</t>
  </si>
  <si>
    <t>Quarter Minimum 9 credits</t>
  </si>
  <si>
    <t>Cannot be done</t>
  </si>
  <si>
    <t>Approval at Head Secured Credit - one month has nil credits</t>
  </si>
  <si>
    <t>Action</t>
  </si>
  <si>
    <t>ok</t>
  </si>
  <si>
    <t>Allowed</t>
  </si>
  <si>
    <t>Account to Be considred</t>
  </si>
  <si>
    <t>Not Allowed - Sum</t>
  </si>
  <si>
    <t>Allowed - Sum</t>
  </si>
  <si>
    <t>Not Allowed</t>
  </si>
  <si>
    <r>
      <t>Eligibility (</t>
    </r>
    <r>
      <rPr>
        <b/>
        <sz val="11"/>
        <color indexed="9"/>
        <rFont val="Rupee Foradian"/>
        <family val="2"/>
      </rPr>
      <t>`</t>
    </r>
    <r>
      <rPr>
        <b/>
        <sz val="11"/>
        <color indexed="9"/>
        <rFont val="Zurich BT"/>
        <family val="2"/>
      </rPr>
      <t xml:space="preserve"> in lacs) - RAAC</t>
    </r>
  </si>
  <si>
    <r>
      <t>Eligibility (</t>
    </r>
    <r>
      <rPr>
        <b/>
        <sz val="11"/>
        <color indexed="9"/>
        <rFont val="Rupee Foradian"/>
        <family val="2"/>
      </rPr>
      <t>`</t>
    </r>
    <r>
      <rPr>
        <b/>
        <sz val="11"/>
        <color indexed="9"/>
        <rFont val="Zurich BT"/>
        <family val="2"/>
      </rPr>
      <t xml:space="preserve"> in lacs) - ZCH</t>
    </r>
  </si>
  <si>
    <r>
      <t>Eligibility (</t>
    </r>
    <r>
      <rPr>
        <b/>
        <sz val="11"/>
        <color indexed="9"/>
        <rFont val="Rupee Foradian"/>
        <family val="2"/>
      </rPr>
      <t>`</t>
    </r>
    <r>
      <rPr>
        <b/>
        <sz val="11"/>
        <color indexed="9"/>
        <rFont val="Zurich BT"/>
        <family val="2"/>
      </rPr>
      <t xml:space="preserve"> in lacs) - L1</t>
    </r>
  </si>
  <si>
    <t>Eligibility (` in lacs) - Head Secured Credit</t>
  </si>
  <si>
    <r>
      <t>Eligibility (</t>
    </r>
    <r>
      <rPr>
        <b/>
        <sz val="11"/>
        <color indexed="9"/>
        <rFont val="Rupee Foradian"/>
        <family val="2"/>
      </rPr>
      <t>`</t>
    </r>
    <r>
      <rPr>
        <b/>
        <sz val="11"/>
        <color indexed="9"/>
        <rFont val="Zurich BT"/>
        <family val="2"/>
      </rPr>
      <t xml:space="preserve"> in lacs) - Head CPG</t>
    </r>
  </si>
  <si>
    <t>Empower HL &amp; NRP</t>
  </si>
  <si>
    <t>Final Output</t>
  </si>
  <si>
    <r>
      <t>Eligibility (</t>
    </r>
    <r>
      <rPr>
        <b/>
        <sz val="11"/>
        <color indexed="9"/>
        <rFont val="Rupee Foradian"/>
        <family val="2"/>
      </rPr>
      <t>`</t>
    </r>
    <r>
      <rPr>
        <b/>
        <sz val="11"/>
        <color indexed="9"/>
        <rFont val="Zurich BT"/>
        <family val="2"/>
      </rPr>
      <t xml:space="preserve"> in lacs) - ZCM</t>
    </r>
  </si>
  <si>
    <t>Regular Debits Transaction</t>
  </si>
  <si>
    <t>Payment-Track</t>
  </si>
  <si>
    <t>Sl.No</t>
  </si>
  <si>
    <t>Favouring</t>
  </si>
  <si>
    <t>Amount</t>
  </si>
  <si>
    <t>Classification</t>
  </si>
  <si>
    <t>Bank Name</t>
  </si>
  <si>
    <t>Last 12 Months</t>
  </si>
  <si>
    <t>Remarks (Bounces)</t>
  </si>
  <si>
    <t>Count</t>
  </si>
  <si>
    <t>Charges Debit</t>
  </si>
  <si>
    <t>Charges-Track</t>
  </si>
  <si>
    <t>Charges type</t>
  </si>
  <si>
    <t>Last 6 Months</t>
  </si>
  <si>
    <t>Charges</t>
  </si>
  <si>
    <t>Bulk Debits</t>
  </si>
  <si>
    <t>Business Credits</t>
  </si>
  <si>
    <t>Bulk Credits</t>
  </si>
  <si>
    <t>Received from</t>
  </si>
  <si>
    <t>Credit Information Report</t>
  </si>
  <si>
    <t>Applicant</t>
  </si>
  <si>
    <t>Co-Applicant 1</t>
  </si>
  <si>
    <t>Co-Applicant 2</t>
  </si>
  <si>
    <t>Co-Applicant 3</t>
  </si>
  <si>
    <t>Co-Applicant 4</t>
  </si>
  <si>
    <t>Co-Applicant 5</t>
  </si>
  <si>
    <t>Credit Information Company</t>
  </si>
  <si>
    <t>Name</t>
  </si>
  <si>
    <t>DOB/DOI</t>
  </si>
  <si>
    <t>PAN No</t>
  </si>
  <si>
    <t>Credit Score</t>
  </si>
  <si>
    <t>No of Loan Accounts</t>
  </si>
  <si>
    <t>No of Active Loans</t>
  </si>
  <si>
    <t>Principal Outstanding (POS) as per Credit Report</t>
  </si>
  <si>
    <t>High Credit as per Credit Report</t>
  </si>
  <si>
    <t>POS to High Credit (%)</t>
  </si>
  <si>
    <t>Wilful Defaulter\Suit Filed</t>
  </si>
  <si>
    <t>SMA\SUB\DBT\LSS accounts</t>
  </si>
  <si>
    <t>No of Enquiries - No of Loans Sanctioned in Last 30 Days</t>
  </si>
  <si>
    <t>No of Enquiries - No of Loans Sanctioned in Last 3 Months</t>
  </si>
  <si>
    <t>No of Enquiries - No of Loans Sanctioned in Last 6 Months</t>
  </si>
  <si>
    <t>No of Enquiries - No of Loans Sanctioned in Last 12 Months</t>
  </si>
  <si>
    <t>No of Enquiries - No of Loans Sanctioned in Last 24 Months</t>
  </si>
  <si>
    <t>Remarks</t>
  </si>
  <si>
    <t>Loan Details</t>
  </si>
  <si>
    <t>Repayment-Track</t>
  </si>
  <si>
    <t>Sl. No</t>
  </si>
  <si>
    <t>Loan Type - Ownership</t>
  </si>
  <si>
    <t>Financier/Source</t>
  </si>
  <si>
    <t>Loan Credit/ Sanction Amt</t>
  </si>
  <si>
    <t>Loan Debit</t>
  </si>
  <si>
    <t>EMI</t>
  </si>
  <si>
    <t>Start on</t>
  </si>
  <si>
    <t>Outstanding Bal</t>
  </si>
  <si>
    <t>Tenor</t>
  </si>
  <si>
    <t>Tenor Left</t>
  </si>
  <si>
    <t>EMI Obligation</t>
  </si>
  <si>
    <t>Bank Name (EMI running)</t>
  </si>
  <si>
    <t>Remarks (Bounces/ DPD etc)</t>
  </si>
  <si>
    <t>EMI Paid</t>
  </si>
  <si>
    <t>EMI Bounce</t>
  </si>
  <si>
    <t>EMI Amt Paid</t>
  </si>
  <si>
    <t>Avg Previous Day Balance</t>
  </si>
  <si>
    <t>Previous Day Balance</t>
  </si>
  <si>
    <t>Previous Bal</t>
  </si>
  <si>
    <t>NC Reference ID</t>
  </si>
  <si>
    <t>ICICI Reference ID</t>
  </si>
  <si>
    <t>Case Name</t>
  </si>
  <si>
    <t>Name as per PAN document</t>
  </si>
  <si>
    <t>Name as per NSDL database</t>
  </si>
  <si>
    <t>PAN</t>
  </si>
  <si>
    <t>Verified on</t>
  </si>
  <si>
    <t>GSTIN</t>
  </si>
  <si>
    <t>Status</t>
  </si>
  <si>
    <t>Date of Incorporation</t>
  </si>
  <si>
    <t>Vintage</t>
  </si>
  <si>
    <t>Constitution</t>
  </si>
  <si>
    <t>Nature of Business</t>
  </si>
  <si>
    <t>CIN</t>
  </si>
  <si>
    <t>Authorised Capital</t>
  </si>
  <si>
    <t>Paid up Capital</t>
  </si>
  <si>
    <t>Registered Address</t>
  </si>
  <si>
    <t>Ownership Pattern</t>
  </si>
  <si>
    <t>Equity Shareholders</t>
  </si>
  <si>
    <t>No. of Shares</t>
  </si>
  <si>
    <t>% of Holding</t>
  </si>
  <si>
    <t>Others</t>
  </si>
  <si>
    <t>Preference Shareholders</t>
  </si>
  <si>
    <t>Debentures Holders</t>
  </si>
  <si>
    <t>Partnership / Profit Sharing</t>
  </si>
  <si>
    <t>Relation</t>
  </si>
  <si>
    <t>Address</t>
  </si>
  <si>
    <t>Source</t>
  </si>
  <si>
    <t>Credit Rating</t>
  </si>
  <si>
    <t>Agency</t>
  </si>
  <si>
    <t>Report Date:</t>
  </si>
  <si>
    <t>Credit Rating Long term:</t>
  </si>
  <si>
    <t>Credit Rating Short term:</t>
  </si>
  <si>
    <t>Rating Rationale</t>
  </si>
  <si>
    <t>As per documents uploaded by ICICI</t>
  </si>
  <si>
    <t>CA Membership</t>
  </si>
  <si>
    <t>Name as per document</t>
  </si>
  <si>
    <t>CA Membership No.</t>
  </si>
  <si>
    <t>Name as per ICAI database</t>
  </si>
  <si>
    <t>Location</t>
  </si>
  <si>
    <t>ITR-Verification</t>
  </si>
  <si>
    <t>Year</t>
  </si>
  <si>
    <t>Acknowledgement Number</t>
  </si>
  <si>
    <t>Filed On</t>
  </si>
  <si>
    <t>Verified On</t>
  </si>
  <si>
    <t>Company Profile</t>
  </si>
  <si>
    <t xml:space="preserve">CIN </t>
  </si>
  <si>
    <t>Company Name</t>
  </si>
  <si>
    <t>ROC Code</t>
  </si>
  <si>
    <t>Registration Number</t>
  </si>
  <si>
    <t>Company Category</t>
  </si>
  <si>
    <t>Company SubCategory</t>
  </si>
  <si>
    <t xml:space="preserve">Class of Company </t>
  </si>
  <si>
    <t>Authorised Capital (Rs)</t>
  </si>
  <si>
    <t>Paid up Capital (Rs)</t>
  </si>
  <si>
    <t>Number of Members(If Co. w/o Share Capital)</t>
  </si>
  <si>
    <t>Vintage:</t>
  </si>
  <si>
    <t xml:space="preserve">Registered Address </t>
  </si>
  <si>
    <t>Address other than R/o where all or any books of account and papers are maintained</t>
  </si>
  <si>
    <t>Email Id</t>
  </si>
  <si>
    <t>Whether Listed or not</t>
  </si>
  <si>
    <t>ACTIVE compliance</t>
  </si>
  <si>
    <t>Suspended at stock exchange</t>
  </si>
  <si>
    <t>Date of last AGM</t>
  </si>
  <si>
    <t>Date of Balance Sheet</t>
  </si>
  <si>
    <t>Company Status(for efiling)</t>
  </si>
  <si>
    <t>Active Loans</t>
  </si>
  <si>
    <t>Closed Loans</t>
  </si>
  <si>
    <t>Charges Registered</t>
  </si>
  <si>
    <t>SRN</t>
  </si>
  <si>
    <t>Charge Id</t>
  </si>
  <si>
    <t>Charge Holder Name</t>
  </si>
  <si>
    <t>Date of Creation</t>
  </si>
  <si>
    <t>Date of Modification</t>
  </si>
  <si>
    <t>Date of Satisfaction</t>
  </si>
  <si>
    <t>Signatory / Director Details</t>
  </si>
  <si>
    <t>DIN</t>
  </si>
  <si>
    <t>Position</t>
  </si>
  <si>
    <t>Registration Date</t>
  </si>
  <si>
    <t>DSC Registered</t>
  </si>
  <si>
    <t>Expiry Date</t>
  </si>
  <si>
    <t>Associated Companies</t>
  </si>
  <si>
    <t>Goods &amp; Service Tax</t>
  </si>
  <si>
    <t>GSTIN/UIN</t>
  </si>
  <si>
    <t>Legal Name of Business</t>
  </si>
  <si>
    <t>Trade Name</t>
  </si>
  <si>
    <t>Effective Date of registration</t>
  </si>
  <si>
    <t>Constitution of Business</t>
  </si>
  <si>
    <t>GSTIN / UIN Status</t>
  </si>
  <si>
    <t>Taxpayer Type</t>
  </si>
  <si>
    <t>Principal Place of Business</t>
  </si>
  <si>
    <t>Administrative Office</t>
  </si>
  <si>
    <t>Other Office</t>
  </si>
  <si>
    <t>Effective Date of Cancellation</t>
  </si>
  <si>
    <t>Return Type</t>
  </si>
  <si>
    <t>Financial Year</t>
  </si>
  <si>
    <t>Tax Period</t>
  </si>
  <si>
    <t>Date of filing</t>
  </si>
  <si>
    <t>GST Returns</t>
  </si>
  <si>
    <t>Legal Name</t>
  </si>
  <si>
    <t>GST Return Type:</t>
  </si>
  <si>
    <t>GSTIN:</t>
  </si>
  <si>
    <t>Return Type:</t>
  </si>
  <si>
    <t>Month</t>
  </si>
  <si>
    <t>Outward Supplies</t>
  </si>
  <si>
    <t xml:space="preserve">Total </t>
  </si>
  <si>
    <t>Taxable</t>
  </si>
  <si>
    <t>Zero Rated</t>
  </si>
  <si>
    <t>Nil Rated / Exempted</t>
  </si>
  <si>
    <t>Grand Total</t>
  </si>
  <si>
    <t>Average</t>
  </si>
  <si>
    <t>Individual Verification</t>
  </si>
  <si>
    <t>Firm / Company Name</t>
  </si>
  <si>
    <t>No. of Individuals</t>
  </si>
  <si>
    <t>Individual Name</t>
  </si>
  <si>
    <t>DL</t>
  </si>
  <si>
    <t>Voter ID</t>
  </si>
  <si>
    <t>Document</t>
  </si>
  <si>
    <t>Not Available</t>
  </si>
  <si>
    <t>Name as per Document</t>
  </si>
  <si>
    <t>ID No.</t>
  </si>
  <si>
    <t>Name as per Database</t>
  </si>
  <si>
    <t>DOB / Age</t>
  </si>
  <si>
    <t>Issued Date</t>
  </si>
  <si>
    <t>Total Revenue - 1900</t>
  </si>
  <si>
    <t>Net Profit - 1900</t>
  </si>
  <si>
    <t>-</t>
  </si>
  <si>
    <t>Account 4</t>
  </si>
  <si>
    <t>D- TPCAPFRST IDFC FIRST-510206251</t>
  </si>
  <si>
    <t>EMI 93710839 S937108390151 12209371 839</t>
  </si>
  <si>
    <t>EMI 8158244 S81582440061 122081582 44</t>
  </si>
  <si>
    <t>EMI 117012640 S11701264014 032111701 2640</t>
  </si>
  <si>
    <t>PAID-MICTS-CH-ICICI BANK LTD</t>
  </si>
  <si>
    <t>707/21 EMI 8158244 S81582440131 072181582</t>
  </si>
  <si>
    <t>No</t>
  </si>
  <si>
    <t>BLANCO STEEL DETAILING SERVICES PVT LTD</t>
  </si>
  <si>
    <t>Main Account</t>
  </si>
  <si>
    <t>Monthly Credit</t>
  </si>
  <si>
    <t>Qrtly Credit</t>
  </si>
  <si>
    <t>MA</t>
  </si>
  <si>
    <t>OA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</si>
  <si>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</si>
  <si>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</si>
  <si>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</si>
  <si>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</si>
  <si>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</si>
  <si>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</si>
  <si>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</si>
  <si>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</si>
  <si>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</si>
  <si>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</si>
  <si>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</si>
  <si>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</si>
  <si>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Cond 1</t>
  </si>
  <si>
    <t>Cond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</si>
</sst>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5" formatCode="&quot;₹&quot;\ #,##0;&quot;₹&quot;\ \-#,##0"/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#,##0\ ;&quot; (&quot;#,##0\);&quot; -&quot;#\ ;@\ "/>
    <numFmt numFmtId="168" formatCode="#,##0.00\ ;&quot; (&quot;#,##0.00\);&quot; -&quot;#\ ;@\ "/>
    <numFmt numFmtId="169" formatCode="0.000000"/>
    <numFmt numFmtId="170" formatCode="0.0000"/>
    <numFmt numFmtId="171" formatCode="0.0"/>
    <numFmt numFmtId="172" formatCode="0.0%"/>
    <numFmt numFmtId="173" formatCode="mmmm/yyyy"/>
    <numFmt numFmtId="174" formatCode="\ #,##0;\ \-#,##0;\-"/>
    <numFmt numFmtId="175" formatCode="0;;;@"/>
    <numFmt numFmtId="176" formatCode="dd/mmm/yyyy"/>
    <numFmt numFmtId="177" formatCode="General;General;\-"/>
    <numFmt numFmtId="178" formatCode="&quot;₹&quot;\ #,##0;&quot;₹&quot;\ \-#,##0;\-"/>
    <numFmt numFmtId="179" formatCode="yyyy;yyyy;\-"/>
    <numFmt numFmtId="180" formatCode="0%;\-0%;\-"/>
    <numFmt numFmtId="181" formatCode="_-* dd/mm/yyyy\ hh:mm;\-*dd/mm/yyyy\ hh:mm;\-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0"/>
      <color theme="0"/>
      <name val="Zurich BT"/>
      <family val="2"/>
    </font>
    <font>
      <b/>
      <sz val="10"/>
      <color theme="0"/>
      <name val="Zurich BT"/>
      <family val="2"/>
    </font>
    <font>
      <sz val="10"/>
      <color theme="1" tint="0.34998626667073579"/>
      <name val="Zurich BT"/>
      <family val="2"/>
    </font>
    <font>
      <sz val="11"/>
      <name val="Zurich BT"/>
      <family val="2"/>
    </font>
    <font>
      <sz val="10"/>
      <name val="Arial"/>
      <family val="2"/>
    </font>
    <font>
      <b/>
      <sz val="10"/>
      <color theme="1" tint="0.34998626667073579"/>
      <name val="Zurich BT"/>
      <family val="2"/>
    </font>
    <font>
      <sz val="10"/>
      <name val="Zurich BT"/>
      <family val="2"/>
    </font>
    <font>
      <sz val="10"/>
      <color theme="1"/>
      <name val="Calibri"/>
      <family val="2"/>
      <scheme val="minor"/>
    </font>
    <font>
      <sz val="10"/>
      <color theme="1"/>
      <name val="Zurich BT"/>
      <family val="2"/>
    </font>
    <font>
      <b/>
      <sz val="11"/>
      <color theme="1"/>
      <name val="Calibri"/>
      <family val="2"/>
      <scheme val="minor"/>
    </font>
    <font>
      <b/>
      <sz val="11"/>
      <name val="Zurich BT"/>
      <family val="2"/>
    </font>
    <font>
      <b/>
      <sz val="10"/>
      <color indexed="9"/>
      <name val="Zurich BT"/>
      <family val="2"/>
    </font>
    <font>
      <sz val="11"/>
      <color theme="1"/>
      <name val="Zurich BT"/>
      <family val="2"/>
    </font>
    <font>
      <b/>
      <sz val="10"/>
      <color theme="0"/>
      <name val="Zurich BT"/>
      <family val="2"/>
      <charset val="1"/>
    </font>
    <font>
      <u/>
      <sz val="11"/>
      <color theme="10"/>
      <name val="Zurich BT"/>
      <family val="2"/>
    </font>
    <font>
      <b/>
      <sz val="10"/>
      <color theme="1"/>
      <name val="Zurich BT"/>
      <family val="2"/>
    </font>
    <font>
      <b/>
      <sz val="10"/>
      <name val="Zurich BT"/>
      <family val="2"/>
    </font>
    <font>
      <sz val="11"/>
      <color theme="0"/>
      <name val="Calibri"/>
      <family val="2"/>
      <scheme val="minor"/>
    </font>
    <font>
      <b/>
      <sz val="13"/>
      <color indexed="8"/>
      <name val="Arial"/>
      <family val="2"/>
    </font>
    <font>
      <sz val="11"/>
      <name val="Zurich BT"/>
    </font>
    <font>
      <sz val="14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.5"/>
      <color theme="0"/>
      <name val="Zurich BT"/>
      <family val="2"/>
    </font>
    <font>
      <b/>
      <sz val="10"/>
      <color rgb="FFFF0000"/>
      <name val="Zurich BT"/>
      <family val="2"/>
    </font>
    <font>
      <sz val="10.5"/>
      <color theme="1"/>
      <name val="Zurich BT"/>
      <family val="2"/>
    </font>
    <font>
      <i/>
      <sz val="10.5"/>
      <color theme="1"/>
      <name val="Zurich BT"/>
      <family val="2"/>
    </font>
    <font>
      <sz val="10"/>
      <color theme="0"/>
      <name val="Zurich BT"/>
      <family val="2"/>
    </font>
    <font>
      <sz val="10"/>
      <color rgb="FF000000"/>
      <name val="Zurich BT"/>
      <family val="2"/>
    </font>
    <font>
      <sz val="10"/>
      <color rgb="FFFF0000"/>
      <name val="Zurich BT"/>
      <family val="2"/>
    </font>
    <font>
      <i/>
      <sz val="11"/>
      <color theme="1"/>
      <name val="Zurich BT"/>
      <family val="2"/>
    </font>
    <font>
      <b/>
      <sz val="10"/>
      <color rgb="FF000000"/>
      <name val="Zurich BT1"/>
    </font>
    <font>
      <sz val="10"/>
      <color rgb="FF000000"/>
      <name val="Zurich BT1"/>
    </font>
    <font>
      <sz val="10"/>
      <color indexed="9"/>
      <name val="Zurich BT"/>
      <family val="2"/>
    </font>
    <font>
      <sz val="11"/>
      <color theme="0"/>
      <name val="Zurich BT"/>
      <family val="2"/>
    </font>
    <font>
      <b/>
      <sz val="11"/>
      <color theme="0"/>
      <name val="Zurich BT"/>
      <family val="2"/>
    </font>
    <font>
      <b/>
      <sz val="11"/>
      <color indexed="9"/>
      <name val="Rupee Foradian"/>
      <family val="2"/>
    </font>
    <font>
      <b/>
      <sz val="11"/>
      <color indexed="9"/>
      <name val="Zurich BT"/>
      <family val="2"/>
    </font>
    <font>
      <sz val="10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3"/>
      <color theme="0"/>
      <name val="Arial"/>
      <family val="2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"/>
      <family val="2"/>
    </font>
    <font>
      <sz val="10"/>
      <name val="MS Sans Serif"/>
      <family val="2"/>
    </font>
    <font>
      <b/>
      <sz val="14"/>
      <color rgb="FFFFFFFF"/>
      <name val="Arial"/>
      <family val="2"/>
    </font>
    <font>
      <sz val="11"/>
      <color rgb="FF333333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E77817"/>
        <bgColor indexed="64"/>
      </patternFill>
    </fill>
    <fill>
      <patternFill patternType="solid">
        <fgColor rgb="FF97291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53C6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FFC00000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theme="9" tint="0.39997558519241921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31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rgb="FF002060"/>
        <bgColor indexed="31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theme="0" tint="-0.499984740745262"/>
        <bgColor indexed="3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A6"/>
        <bgColor indexed="64"/>
      </patternFill>
    </fill>
    <fill>
      <patternFill patternType="solid">
        <fgColor rgb="FF729FC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DF1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 style="medium">
        <color indexed="64"/>
      </left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theme="0" tint="-0.499984740745262"/>
      </bottom>
      <diagonal/>
    </border>
    <border>
      <left style="double">
        <color theme="0" tint="-0.499984740745262"/>
      </left>
      <right style="medium">
        <color indexed="64"/>
      </right>
      <top style="double">
        <color theme="0" tint="-0.499984740745262"/>
      </top>
      <bottom style="double">
        <color theme="0" tint="-0.499984740745262"/>
      </bottom>
      <diagonal/>
    </border>
    <border>
      <left style="medium">
        <color indexed="64"/>
      </left>
      <right style="double">
        <color theme="0" tint="-0.499984740745262"/>
      </right>
      <top style="double">
        <color theme="0" tint="-0.499984740745262"/>
      </top>
      <bottom style="medium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 style="medium">
        <color indexed="64"/>
      </bottom>
      <diagonal/>
    </border>
    <border>
      <left style="double">
        <color theme="0" tint="-0.499984740745262"/>
      </left>
      <right style="medium">
        <color indexed="64"/>
      </right>
      <top style="double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theme="0" tint="-0.499984740745262"/>
      </top>
      <bottom style="double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double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double">
        <color theme="0" tint="-0.499984740745262"/>
      </bottom>
      <diagonal/>
    </border>
    <border>
      <left style="medium">
        <color indexed="64"/>
      </left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 style="medium">
        <color indexed="64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theme="0" tint="-0.499984740745262"/>
      </right>
      <top/>
      <bottom/>
      <diagonal/>
    </border>
    <border>
      <left/>
      <right/>
      <top style="medium">
        <color indexed="64"/>
      </top>
      <bottom style="double">
        <color theme="0" tint="-0.499984740745262"/>
      </bottom>
      <diagonal/>
    </border>
    <border>
      <left/>
      <right/>
      <top style="double">
        <color theme="0" tint="-0.499984740745262"/>
      </top>
      <bottom style="double">
        <color theme="0" tint="-0.4999847407452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medium">
        <color indexed="64"/>
      </right>
      <top style="double">
        <color theme="0" tint="-0.499984740745262"/>
      </top>
      <bottom style="medium">
        <color indexed="64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0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0" fontId="16" fillId="0" borderId="0" applyNumberFormat="0" applyFill="0" applyBorder="0" applyAlignment="0" applyProtection="0"/>
    <xf numFmtId="0" fontId="21" fillId="0" borderId="0"/>
    <xf numFmtId="168" fontId="5" fillId="0" borderId="0" applyFill="0" applyAlignment="0" applyProtection="0"/>
    <xf numFmtId="168" fontId="5" fillId="0" borderId="0" applyFill="0" applyAlignment="0" applyProtection="0"/>
    <xf numFmtId="0" fontId="5" fillId="0" borderId="0"/>
    <xf numFmtId="0" fontId="1" fillId="0" borderId="0"/>
    <xf numFmtId="9" fontId="6" fillId="0" borderId="0" applyFill="0" applyBorder="0" applyAlignment="0" applyProtection="0"/>
    <xf numFmtId="0" fontId="60" fillId="0" borderId="0"/>
    <xf numFmtId="0" fontId="6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6" fillId="0" borderId="0"/>
  </cellStyleXfs>
  <cellXfs count="975">
    <xf numFmtId="0" fontId="0" fillId="0" borderId="0" xfId="0"/>
    <xf numFmtId="0" fontId="4" fillId="4" borderId="4" xfId="0" applyFont="1" applyFill="1" applyBorder="1" applyProtection="1"/>
    <xf numFmtId="0" fontId="4" fillId="4" borderId="4" xfId="0" applyFont="1" applyFill="1" applyBorder="1" applyAlignment="1" applyProtection="1">
      <alignment wrapText="1"/>
    </xf>
    <xf numFmtId="0" fontId="3" fillId="3" borderId="2" xfId="0" applyFont="1" applyFill="1" applyBorder="1" applyAlignment="1" applyProtection="1">
      <alignment horizontal="left"/>
    </xf>
    <xf numFmtId="0" fontId="3" fillId="3" borderId="3" xfId="0" applyFont="1" applyFill="1" applyBorder="1" applyAlignment="1" applyProtection="1">
      <alignment horizontal="left"/>
    </xf>
    <xf numFmtId="0" fontId="3" fillId="3" borderId="10" xfId="0" applyFont="1" applyFill="1" applyBorder="1" applyAlignment="1" applyProtection="1">
      <alignment horizontal="left"/>
    </xf>
    <xf numFmtId="0" fontId="4" fillId="4" borderId="12" xfId="0" applyFont="1" applyFill="1" applyBorder="1" applyAlignment="1" applyProtection="1">
      <alignment wrapText="1"/>
    </xf>
    <xf numFmtId="0" fontId="3" fillId="3" borderId="15" xfId="0" applyFont="1" applyFill="1" applyBorder="1" applyAlignment="1" applyProtection="1">
      <alignment wrapText="1"/>
    </xf>
    <xf numFmtId="165" fontId="3" fillId="5" borderId="11" xfId="1" applyNumberFormat="1" applyFont="1" applyFill="1" applyBorder="1" applyAlignment="1" applyProtection="1">
      <alignment horizontal="right"/>
      <protection locked="0"/>
    </xf>
    <xf numFmtId="165" fontId="3" fillId="5" borderId="5" xfId="1" applyNumberFormat="1" applyFont="1" applyFill="1" applyBorder="1" applyAlignment="1" applyProtection="1">
      <protection locked="0"/>
    </xf>
    <xf numFmtId="0" fontId="4" fillId="4" borderId="1" xfId="0" applyFont="1" applyFill="1" applyBorder="1" applyAlignment="1" applyProtection="1">
      <alignment wrapText="1"/>
    </xf>
    <xf numFmtId="0" fontId="3" fillId="3" borderId="2" xfId="0" applyFont="1" applyFill="1" applyBorder="1" applyAlignment="1" applyProtection="1">
      <alignment horizontal="left"/>
    </xf>
    <xf numFmtId="0" fontId="3" fillId="3" borderId="3" xfId="0" applyFont="1" applyFill="1" applyBorder="1" applyAlignment="1" applyProtection="1">
      <alignment horizontal="left"/>
    </xf>
    <xf numFmtId="165" fontId="3" fillId="5" borderId="14" xfId="1" applyNumberFormat="1" applyFont="1" applyFill="1" applyBorder="1" applyAlignment="1" applyProtection="1">
      <alignment horizontal="right"/>
      <protection locked="0"/>
    </xf>
    <xf numFmtId="165" fontId="3" fillId="7" borderId="11" xfId="1" applyNumberFormat="1" applyFont="1" applyFill="1" applyBorder="1" applyAlignment="1" applyProtection="1">
      <alignment horizontal="right"/>
      <protection locked="0"/>
    </xf>
    <xf numFmtId="0" fontId="5" fillId="0" borderId="0" xfId="0" applyFont="1" applyBorder="1" applyProtection="1"/>
    <xf numFmtId="0" fontId="4" fillId="4" borderId="21" xfId="0" applyFont="1" applyFill="1" applyBorder="1" applyAlignment="1" applyProtection="1">
      <alignment wrapText="1"/>
    </xf>
    <xf numFmtId="0" fontId="3" fillId="3" borderId="18" xfId="0" applyFont="1" applyFill="1" applyBorder="1" applyAlignment="1" applyProtection="1">
      <alignment wrapText="1"/>
    </xf>
    <xf numFmtId="0" fontId="3" fillId="3" borderId="19" xfId="0" applyFont="1" applyFill="1" applyBorder="1" applyAlignment="1" applyProtection="1">
      <alignment wrapText="1"/>
    </xf>
    <xf numFmtId="0" fontId="7" fillId="4" borderId="4" xfId="0" applyFont="1" applyFill="1" applyBorder="1" applyAlignment="1" applyProtection="1">
      <alignment wrapText="1"/>
    </xf>
    <xf numFmtId="0" fontId="8" fillId="0" borderId="0" xfId="0" applyFont="1" applyBorder="1" applyProtection="1"/>
    <xf numFmtId="0" fontId="9" fillId="0" borderId="0" xfId="0" applyFont="1"/>
    <xf numFmtId="0" fontId="8" fillId="0" borderId="0" xfId="0" applyFont="1" applyBorder="1" applyAlignment="1" applyProtection="1">
      <alignment wrapText="1"/>
    </xf>
    <xf numFmtId="165" fontId="3" fillId="5" borderId="5" xfId="1" applyNumberFormat="1" applyFont="1" applyFill="1" applyBorder="1" applyAlignment="1" applyProtection="1">
      <alignment horizontal="right"/>
      <protection locked="0"/>
    </xf>
    <xf numFmtId="0" fontId="3" fillId="10" borderId="12" xfId="0" applyFont="1" applyFill="1" applyBorder="1" applyAlignment="1" applyProtection="1">
      <alignment wrapText="1"/>
    </xf>
    <xf numFmtId="165" fontId="3" fillId="10" borderId="11" xfId="1" applyNumberFormat="1" applyFont="1" applyFill="1" applyBorder="1" applyAlignment="1" applyProtection="1">
      <alignment horizontal="right"/>
      <protection locked="0"/>
    </xf>
    <xf numFmtId="165" fontId="3" fillId="5" borderId="26" xfId="1" applyNumberFormat="1" applyFont="1" applyFill="1" applyBorder="1" applyAlignment="1" applyProtection="1">
      <protection locked="0"/>
    </xf>
    <xf numFmtId="166" fontId="3" fillId="5" borderId="11" xfId="1" applyNumberFormat="1" applyFont="1" applyFill="1" applyBorder="1" applyAlignment="1" applyProtection="1">
      <alignment horizontal="right"/>
      <protection locked="0"/>
    </xf>
    <xf numFmtId="164" fontId="3" fillId="5" borderId="11" xfId="1" applyNumberFormat="1" applyFont="1" applyFill="1" applyBorder="1" applyAlignment="1" applyProtection="1">
      <alignment horizontal="right"/>
      <protection locked="0"/>
    </xf>
    <xf numFmtId="165" fontId="3" fillId="5" borderId="11" xfId="1" applyNumberFormat="1" applyFont="1" applyFill="1" applyBorder="1" applyAlignment="1" applyProtection="1">
      <alignment horizontal="left" wrapText="1"/>
      <protection locked="0"/>
    </xf>
    <xf numFmtId="165" fontId="3" fillId="7" borderId="14" xfId="1" applyNumberFormat="1" applyFont="1" applyFill="1" applyBorder="1" applyAlignment="1" applyProtection="1">
      <alignment horizontal="right"/>
      <protection locked="0"/>
    </xf>
    <xf numFmtId="0" fontId="3" fillId="10" borderId="4" xfId="0" applyFont="1" applyFill="1" applyBorder="1" applyAlignment="1" applyProtection="1">
      <alignment wrapText="1"/>
    </xf>
    <xf numFmtId="0" fontId="0" fillId="10" borderId="0" xfId="0" applyFill="1"/>
    <xf numFmtId="0" fontId="7" fillId="4" borderId="12" xfId="0" applyFont="1" applyFill="1" applyBorder="1" applyAlignment="1" applyProtection="1">
      <alignment wrapText="1"/>
    </xf>
    <xf numFmtId="0" fontId="3" fillId="14" borderId="18" xfId="0" applyFont="1" applyFill="1" applyBorder="1" applyAlignment="1" applyProtection="1">
      <alignment wrapText="1"/>
    </xf>
    <xf numFmtId="0" fontId="5" fillId="7" borderId="20" xfId="0" applyFont="1" applyFill="1" applyBorder="1" applyAlignment="1" applyProtection="1">
      <alignment horizontal="center"/>
      <protection locked="0"/>
    </xf>
    <xf numFmtId="0" fontId="0" fillId="0" borderId="0" xfId="0" applyAlignment="1">
      <alignment wrapText="1"/>
    </xf>
    <xf numFmtId="0" fontId="14" fillId="0" borderId="0" xfId="0" applyFont="1"/>
    <xf numFmtId="0" fontId="5" fillId="7" borderId="52" xfId="0" applyFont="1" applyFill="1" applyBorder="1" applyAlignment="1" applyProtection="1">
      <alignment horizontal="center"/>
      <protection locked="0"/>
    </xf>
    <xf numFmtId="0" fontId="3" fillId="11" borderId="41" xfId="2" applyFont="1" applyFill="1" applyBorder="1" applyAlignment="1" applyProtection="1">
      <alignment wrapText="1"/>
    </xf>
    <xf numFmtId="0" fontId="11" fillId="0" borderId="0" xfId="0" applyFont="1"/>
    <xf numFmtId="0" fontId="0" fillId="0" borderId="20" xfId="0" applyBorder="1"/>
    <xf numFmtId="3" fontId="15" fillId="16" borderId="49" xfId="0" applyNumberFormat="1" applyFont="1" applyFill="1" applyBorder="1" applyAlignment="1" applyProtection="1">
      <alignment horizontal="center" wrapText="1"/>
      <protection locked="0"/>
    </xf>
    <xf numFmtId="3" fontId="15" fillId="16" borderId="50" xfId="0" applyNumberFormat="1" applyFont="1" applyFill="1" applyBorder="1" applyAlignment="1" applyProtection="1">
      <alignment horizontal="center" wrapText="1"/>
      <protection locked="0"/>
    </xf>
    <xf numFmtId="3" fontId="15" fillId="16" borderId="51" xfId="0" applyNumberFormat="1" applyFont="1" applyFill="1" applyBorder="1" applyAlignment="1" applyProtection="1">
      <alignment horizontal="center" wrapText="1"/>
      <protection locked="0"/>
    </xf>
    <xf numFmtId="0" fontId="0" fillId="0" borderId="24" xfId="0" applyBorder="1"/>
    <xf numFmtId="0" fontId="0" fillId="0" borderId="52" xfId="0" applyBorder="1"/>
    <xf numFmtId="0" fontId="0" fillId="0" borderId="41" xfId="0" applyBorder="1"/>
    <xf numFmtId="0" fontId="0" fillId="0" borderId="42" xfId="0" applyBorder="1"/>
    <xf numFmtId="0" fontId="0" fillId="0" borderId="55" xfId="0" applyBorder="1"/>
    <xf numFmtId="0" fontId="3" fillId="9" borderId="24" xfId="0" applyFont="1" applyFill="1" applyBorder="1" applyAlignment="1">
      <alignment wrapText="1"/>
    </xf>
    <xf numFmtId="0" fontId="3" fillId="9" borderId="20" xfId="0" applyFont="1" applyFill="1" applyBorder="1" applyAlignment="1">
      <alignment wrapText="1"/>
    </xf>
    <xf numFmtId="0" fontId="3" fillId="9" borderId="52" xfId="0" applyFont="1" applyFill="1" applyBorder="1" applyAlignment="1">
      <alignment wrapText="1"/>
    </xf>
    <xf numFmtId="0" fontId="10" fillId="0" borderId="59" xfId="0" applyFont="1" applyBorder="1" applyAlignment="1">
      <alignment horizontal="center" vertical="center" wrapText="1"/>
    </xf>
    <xf numFmtId="0" fontId="3" fillId="9" borderId="59" xfId="0" applyFont="1" applyFill="1" applyBorder="1" applyAlignment="1">
      <alignment vertical="center" wrapText="1"/>
    </xf>
    <xf numFmtId="0" fontId="3" fillId="9" borderId="59" xfId="0" applyFont="1" applyFill="1" applyBorder="1" applyAlignment="1">
      <alignment horizontal="center" vertical="center" wrapText="1"/>
    </xf>
    <xf numFmtId="0" fontId="3" fillId="8" borderId="49" xfId="0" applyFont="1" applyFill="1" applyBorder="1" applyAlignment="1" applyProtection="1">
      <alignment wrapText="1"/>
    </xf>
    <xf numFmtId="0" fontId="3" fillId="8" borderId="60" xfId="0" applyFont="1" applyFill="1" applyBorder="1" applyAlignment="1" applyProtection="1">
      <alignment wrapText="1"/>
    </xf>
    <xf numFmtId="165" fontId="3" fillId="10" borderId="14" xfId="1" applyNumberFormat="1" applyFont="1" applyFill="1" applyBorder="1" applyAlignment="1" applyProtection="1">
      <alignment horizontal="right"/>
      <protection locked="0"/>
    </xf>
    <xf numFmtId="0" fontId="3" fillId="9" borderId="63" xfId="0" applyFont="1" applyFill="1" applyBorder="1" applyAlignment="1">
      <alignment horizontal="center" vertical="center" wrapText="1"/>
    </xf>
    <xf numFmtId="0" fontId="3" fillId="9" borderId="64" xfId="0" applyFont="1" applyFill="1" applyBorder="1" applyAlignment="1">
      <alignment horizontal="center" vertical="center" wrapText="1"/>
    </xf>
    <xf numFmtId="0" fontId="3" fillId="9" borderId="65" xfId="0" applyFont="1" applyFill="1" applyBorder="1" applyAlignment="1">
      <alignment horizontal="center" vertical="center" wrapText="1"/>
    </xf>
    <xf numFmtId="167" fontId="12" fillId="15" borderId="56" xfId="1" applyNumberFormat="1" applyFont="1" applyFill="1" applyBorder="1" applyAlignment="1" applyProtection="1">
      <alignment horizontal="center" vertical="top"/>
    </xf>
    <xf numFmtId="167" fontId="12" fillId="18" borderId="56" xfId="1" applyNumberFormat="1" applyFont="1" applyFill="1" applyBorder="1" applyAlignment="1" applyProtection="1">
      <alignment horizontal="center" vertical="top"/>
      <protection locked="0"/>
    </xf>
    <xf numFmtId="167" fontId="12" fillId="19" borderId="56" xfId="1" applyNumberFormat="1" applyFont="1" applyFill="1" applyBorder="1" applyAlignment="1" applyProtection="1">
      <alignment horizontal="center" vertical="top"/>
    </xf>
    <xf numFmtId="9" fontId="12" fillId="19" borderId="56" xfId="1" applyNumberFormat="1" applyFont="1" applyFill="1" applyBorder="1" applyAlignment="1" applyProtection="1">
      <alignment horizontal="center" vertical="top"/>
    </xf>
    <xf numFmtId="167" fontId="12" fillId="19" borderId="56" xfId="1" applyNumberFormat="1" applyFont="1" applyFill="1" applyBorder="1" applyAlignment="1" applyProtection="1">
      <alignment horizontal="center" vertical="top" wrapText="1"/>
    </xf>
    <xf numFmtId="167" fontId="12" fillId="15" borderId="56" xfId="1" applyNumberFormat="1" applyFont="1" applyFill="1" applyBorder="1" applyAlignment="1" applyProtection="1">
      <alignment horizontal="left" vertical="top"/>
    </xf>
    <xf numFmtId="0" fontId="5" fillId="0" borderId="56" xfId="0" applyFont="1" applyBorder="1" applyAlignment="1" applyProtection="1">
      <alignment horizontal="left" wrapText="1"/>
    </xf>
    <xf numFmtId="1" fontId="5" fillId="12" borderId="56" xfId="0" applyNumberFormat="1" applyFont="1" applyFill="1" applyBorder="1" applyAlignment="1" applyProtection="1">
      <alignment horizontal="right" wrapText="1"/>
    </xf>
    <xf numFmtId="167" fontId="5" fillId="21" borderId="56" xfId="1" applyNumberFormat="1" applyFont="1" applyFill="1" applyBorder="1" applyAlignment="1" applyProtection="1">
      <alignment vertical="top"/>
    </xf>
    <xf numFmtId="9" fontId="5" fillId="21" borderId="56" xfId="0" applyNumberFormat="1" applyFont="1" applyFill="1" applyBorder="1" applyAlignment="1" applyProtection="1">
      <alignment horizontal="center" vertical="top" wrapText="1"/>
    </xf>
    <xf numFmtId="167" fontId="5" fillId="21" borderId="56" xfId="0" applyNumberFormat="1" applyFont="1" applyFill="1" applyBorder="1" applyAlignment="1" applyProtection="1">
      <alignment horizontal="right" vertical="top" wrapText="1"/>
    </xf>
    <xf numFmtId="1" fontId="5" fillId="7" borderId="56" xfId="0" applyNumberFormat="1" applyFont="1" applyFill="1" applyBorder="1" applyAlignment="1" applyProtection="1">
      <alignment horizontal="right" wrapText="1"/>
      <protection locked="0"/>
    </xf>
    <xf numFmtId="9" fontId="5" fillId="7" borderId="56" xfId="1" applyNumberFormat="1" applyFont="1" applyFill="1" applyBorder="1" applyAlignment="1" applyProtection="1">
      <alignment horizontal="center" vertical="top"/>
      <protection locked="0"/>
    </xf>
    <xf numFmtId="1" fontId="5" fillId="7" borderId="56" xfId="0" applyNumberFormat="1" applyFont="1" applyFill="1" applyBorder="1" applyAlignment="1" applyProtection="1">
      <alignment horizontal="left" wrapText="1"/>
      <protection locked="0"/>
    </xf>
    <xf numFmtId="167" fontId="8" fillId="0" borderId="56" xfId="0" applyNumberFormat="1" applyFont="1" applyFill="1" applyBorder="1" applyAlignment="1" applyProtection="1">
      <alignment horizontal="left"/>
    </xf>
    <xf numFmtId="167" fontId="5" fillId="0" borderId="56" xfId="1" applyNumberFormat="1" applyFont="1" applyFill="1" applyBorder="1" applyAlignment="1" applyProtection="1">
      <alignment horizontal="left" vertical="top"/>
    </xf>
    <xf numFmtId="167" fontId="16" fillId="0" borderId="56" xfId="5" applyNumberFormat="1" applyFill="1" applyBorder="1" applyAlignment="1" applyProtection="1">
      <alignment horizontal="left" vertical="top"/>
    </xf>
    <xf numFmtId="164" fontId="5" fillId="12" borderId="56" xfId="1" applyFont="1" applyFill="1" applyBorder="1" applyAlignment="1" applyProtection="1">
      <alignment vertical="top"/>
      <protection locked="0"/>
    </xf>
    <xf numFmtId="167" fontId="5" fillId="0" borderId="56" xfId="1" applyNumberFormat="1" applyFont="1" applyFill="1" applyBorder="1" applyAlignment="1" applyProtection="1">
      <alignment horizontal="left" vertical="top" wrapText="1"/>
    </xf>
    <xf numFmtId="10" fontId="5" fillId="7" borderId="56" xfId="1" applyNumberFormat="1" applyFont="1" applyFill="1" applyBorder="1" applyAlignment="1" applyProtection="1">
      <alignment horizontal="right" vertical="top"/>
      <protection locked="0"/>
    </xf>
    <xf numFmtId="167" fontId="5" fillId="15" borderId="56" xfId="1" applyNumberFormat="1" applyFont="1" applyFill="1" applyBorder="1" applyAlignment="1" applyProtection="1">
      <alignment horizontal="right" vertical="top"/>
    </xf>
    <xf numFmtId="167" fontId="5" fillId="7" borderId="56" xfId="1" applyNumberFormat="1" applyFont="1" applyFill="1" applyBorder="1" applyAlignment="1" applyProtection="1">
      <alignment horizontal="right" vertical="top"/>
      <protection locked="0"/>
    </xf>
    <xf numFmtId="164" fontId="5" fillId="15" borderId="56" xfId="1" applyFont="1" applyFill="1" applyBorder="1" applyAlignment="1" applyProtection="1">
      <alignment horizontal="right" vertical="top"/>
    </xf>
    <xf numFmtId="167" fontId="12" fillId="0" borderId="56" xfId="1" applyNumberFormat="1" applyFont="1" applyFill="1" applyBorder="1" applyAlignment="1" applyProtection="1">
      <alignment horizontal="left" vertical="top"/>
    </xf>
    <xf numFmtId="167" fontId="5" fillId="15" borderId="56" xfId="1" applyNumberFormat="1" applyFont="1" applyFill="1" applyBorder="1" applyAlignment="1" applyProtection="1">
      <alignment vertical="top"/>
    </xf>
    <xf numFmtId="10" fontId="5" fillId="15" borderId="56" xfId="1" applyNumberFormat="1" applyFont="1" applyFill="1" applyBorder="1" applyAlignment="1" applyProtection="1">
      <alignment vertical="top"/>
    </xf>
    <xf numFmtId="164" fontId="5" fillId="7" borderId="56" xfId="1" applyFont="1" applyFill="1" applyBorder="1" applyAlignment="1" applyProtection="1">
      <alignment vertical="top"/>
      <protection locked="0"/>
    </xf>
    <xf numFmtId="10" fontId="8" fillId="15" borderId="56" xfId="3" applyNumberFormat="1" applyFont="1" applyFill="1" applyBorder="1" applyAlignment="1" applyProtection="1">
      <alignment horizontal="right" vertical="top"/>
    </xf>
    <xf numFmtId="164" fontId="5" fillId="0" borderId="56" xfId="1" applyFont="1" applyFill="1" applyBorder="1" applyAlignment="1" applyProtection="1">
      <alignment horizontal="left" vertical="top"/>
    </xf>
    <xf numFmtId="10" fontId="5" fillId="22" borderId="56" xfId="4" applyNumberFormat="1" applyFont="1" applyFill="1" applyBorder="1" applyAlignment="1" applyProtection="1">
      <alignment horizontal="right" vertical="top"/>
    </xf>
    <xf numFmtId="0" fontId="3" fillId="11" borderId="49" xfId="2" applyFont="1" applyFill="1" applyBorder="1" applyAlignment="1" applyProtection="1">
      <alignment wrapText="1"/>
    </xf>
    <xf numFmtId="0" fontId="3" fillId="11" borderId="24" xfId="2" applyFont="1" applyFill="1" applyBorder="1" applyAlignment="1" applyProtection="1">
      <alignment wrapText="1"/>
    </xf>
    <xf numFmtId="0" fontId="3" fillId="6" borderId="20" xfId="2" applyFont="1" applyFill="1" applyBorder="1" applyAlignment="1" applyProtection="1">
      <alignment horizontal="center" wrapText="1"/>
      <protection locked="0"/>
    </xf>
    <xf numFmtId="0" fontId="3" fillId="6" borderId="31" xfId="2" applyFont="1" applyFill="1" applyBorder="1" applyAlignment="1" applyProtection="1">
      <alignment horizontal="center" wrapText="1"/>
      <protection locked="0"/>
    </xf>
    <xf numFmtId="0" fontId="3" fillId="6" borderId="52" xfId="2" applyFont="1" applyFill="1" applyBorder="1" applyAlignment="1" applyProtection="1">
      <alignment horizontal="center" wrapText="1"/>
      <protection locked="0"/>
    </xf>
    <xf numFmtId="0" fontId="3" fillId="11" borderId="20" xfId="2" applyFont="1" applyFill="1" applyBorder="1" applyAlignment="1" applyProtection="1">
      <alignment horizontal="center" wrapText="1"/>
    </xf>
    <xf numFmtId="0" fontId="3" fillId="23" borderId="42" xfId="1" applyNumberFormat="1" applyFont="1" applyFill="1" applyBorder="1" applyAlignment="1" applyProtection="1">
      <alignment horizontal="center" vertical="top"/>
    </xf>
    <xf numFmtId="0" fontId="0" fillId="0" borderId="20" xfId="0" applyBorder="1" applyAlignment="1">
      <alignment wrapText="1"/>
    </xf>
    <xf numFmtId="0" fontId="19" fillId="6" borderId="20" xfId="0" applyFont="1" applyFill="1" applyBorder="1"/>
    <xf numFmtId="0" fontId="19" fillId="6" borderId="20" xfId="0" applyFont="1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20" xfId="0" applyFill="1" applyBorder="1"/>
    <xf numFmtId="0" fontId="19" fillId="10" borderId="20" xfId="0" applyFont="1" applyFill="1" applyBorder="1"/>
    <xf numFmtId="1" fontId="0" fillId="0" borderId="20" xfId="0" applyNumberFormat="1" applyFill="1" applyBorder="1"/>
    <xf numFmtId="9" fontId="0" fillId="0" borderId="20" xfId="0" applyNumberFormat="1" applyFill="1" applyBorder="1"/>
    <xf numFmtId="1" fontId="0" fillId="24" borderId="20" xfId="0" applyNumberFormat="1" applyFill="1" applyBorder="1"/>
    <xf numFmtId="9" fontId="0" fillId="24" borderId="20" xfId="0" applyNumberFormat="1" applyFill="1" applyBorder="1"/>
    <xf numFmtId="1" fontId="0" fillId="0" borderId="20" xfId="0" applyNumberFormat="1" applyBorder="1"/>
    <xf numFmtId="0" fontId="0" fillId="0" borderId="0" xfId="0" applyBorder="1" applyAlignment="1">
      <alignment horizontal="center" wrapText="1"/>
    </xf>
    <xf numFmtId="0" fontId="22" fillId="0" borderId="0" xfId="6" applyFont="1" applyBorder="1" applyProtection="1"/>
    <xf numFmtId="0" fontId="24" fillId="0" borderId="56" xfId="6" applyNumberFormat="1" applyFont="1" applyBorder="1" applyAlignment="1" applyProtection="1">
      <alignment horizontal="center"/>
      <protection locked="0"/>
    </xf>
    <xf numFmtId="0" fontId="24" fillId="0" borderId="56" xfId="6" applyFont="1" applyBorder="1" applyAlignment="1" applyProtection="1">
      <alignment horizontal="center"/>
    </xf>
    <xf numFmtId="0" fontId="24" fillId="0" borderId="0" xfId="6" applyFont="1" applyFill="1" applyBorder="1" applyAlignment="1" applyProtection="1">
      <alignment horizontal="center"/>
    </xf>
    <xf numFmtId="2" fontId="6" fillId="0" borderId="56" xfId="6" applyNumberFormat="1" applyFont="1" applyBorder="1" applyAlignment="1" applyProtection="1">
      <alignment vertical="center" wrapText="1"/>
    </xf>
    <xf numFmtId="2" fontId="6" fillId="0" borderId="56" xfId="7" applyNumberFormat="1" applyFont="1" applyFill="1" applyBorder="1" applyAlignment="1" applyProtection="1">
      <alignment horizontal="right"/>
      <protection locked="0"/>
    </xf>
    <xf numFmtId="2" fontId="6" fillId="0" borderId="56" xfId="7" applyNumberFormat="1" applyFont="1" applyFill="1" applyBorder="1" applyAlignment="1" applyProtection="1">
      <alignment horizontal="right"/>
    </xf>
    <xf numFmtId="2" fontId="6" fillId="0" borderId="56" xfId="8" applyNumberFormat="1" applyFont="1" applyFill="1" applyBorder="1" applyAlignment="1" applyProtection="1">
      <alignment horizontal="right"/>
      <protection locked="0"/>
    </xf>
    <xf numFmtId="0" fontId="6" fillId="0" borderId="0" xfId="6" applyFont="1" applyFill="1" applyBorder="1" applyAlignment="1" applyProtection="1">
      <alignment horizontal="left"/>
    </xf>
    <xf numFmtId="2" fontId="6" fillId="0" borderId="56" xfId="6" applyNumberFormat="1" applyFont="1" applyBorder="1" applyAlignment="1" applyProtection="1">
      <alignment horizontal="left" wrapText="1"/>
    </xf>
    <xf numFmtId="2" fontId="24" fillId="15" borderId="56" xfId="6" applyNumberFormat="1" applyFont="1" applyFill="1" applyBorder="1" applyAlignment="1" applyProtection="1">
      <alignment wrapText="1"/>
    </xf>
    <xf numFmtId="2" fontId="24" fillId="15" borderId="56" xfId="7" applyNumberFormat="1" applyFont="1" applyFill="1" applyBorder="1" applyAlignment="1" applyProtection="1">
      <alignment horizontal="right"/>
    </xf>
    <xf numFmtId="0" fontId="24" fillId="15" borderId="56" xfId="7" applyNumberFormat="1" applyFont="1" applyFill="1" applyBorder="1" applyAlignment="1" applyProtection="1">
      <alignment horizontal="right" vertical="center" wrapText="1"/>
      <protection locked="0"/>
    </xf>
    <xf numFmtId="2" fontId="24" fillId="15" borderId="56" xfId="7" applyNumberFormat="1" applyFont="1" applyFill="1" applyBorder="1" applyAlignment="1" applyProtection="1">
      <alignment horizontal="center"/>
    </xf>
    <xf numFmtId="0" fontId="24" fillId="15" borderId="68" xfId="7" applyNumberFormat="1" applyFont="1" applyFill="1" applyBorder="1" applyAlignment="1" applyProtection="1">
      <alignment horizontal="right" vertical="center" wrapText="1"/>
      <protection locked="0"/>
    </xf>
    <xf numFmtId="2" fontId="6" fillId="0" borderId="56" xfId="6" applyNumberFormat="1" applyFont="1" applyFill="1" applyBorder="1" applyAlignment="1" applyProtection="1">
      <alignment wrapText="1"/>
    </xf>
    <xf numFmtId="2" fontId="6" fillId="0" borderId="68" xfId="7" applyNumberFormat="1" applyFont="1" applyFill="1" applyBorder="1" applyAlignment="1" applyProtection="1">
      <alignment horizontal="right"/>
    </xf>
    <xf numFmtId="0" fontId="6" fillId="0" borderId="0" xfId="6" applyFont="1" applyBorder="1" applyProtection="1"/>
    <xf numFmtId="2" fontId="25" fillId="15" borderId="56" xfId="6" applyNumberFormat="1" applyFont="1" applyFill="1" applyBorder="1" applyAlignment="1" applyProtection="1">
      <alignment wrapText="1"/>
    </xf>
    <xf numFmtId="2" fontId="23" fillId="15" borderId="56" xfId="7" applyNumberFormat="1" applyFont="1" applyFill="1" applyBorder="1" applyAlignment="1" applyProtection="1">
      <alignment horizontal="right"/>
    </xf>
    <xf numFmtId="2" fontId="25" fillId="25" borderId="56" xfId="6" applyNumberFormat="1" applyFont="1" applyFill="1" applyBorder="1" applyAlignment="1" applyProtection="1">
      <alignment wrapText="1"/>
    </xf>
    <xf numFmtId="2" fontId="6" fillId="0" borderId="56" xfId="6" applyNumberFormat="1" applyFont="1" applyBorder="1" applyAlignment="1" applyProtection="1">
      <alignment wrapText="1"/>
    </xf>
    <xf numFmtId="0" fontId="22" fillId="0" borderId="0" xfId="6" applyFont="1" applyFill="1" applyBorder="1" applyProtection="1"/>
    <xf numFmtId="2" fontId="6" fillId="15" borderId="56" xfId="6" applyNumberFormat="1" applyFont="1" applyFill="1" applyBorder="1" applyAlignment="1" applyProtection="1">
      <alignment wrapText="1"/>
    </xf>
    <xf numFmtId="2" fontId="6" fillId="15" borderId="56" xfId="7" applyNumberFormat="1" applyFont="1" applyFill="1" applyBorder="1" applyAlignment="1" applyProtection="1">
      <alignment horizontal="right"/>
    </xf>
    <xf numFmtId="169" fontId="26" fillId="0" borderId="0" xfId="6" applyNumberFormat="1" applyFont="1" applyBorder="1" applyProtection="1"/>
    <xf numFmtId="2" fontId="24" fillId="15" borderId="56" xfId="6" applyNumberFormat="1" applyFont="1" applyFill="1" applyBorder="1" applyAlignment="1" applyProtection="1">
      <alignment horizontal="left" wrapText="1"/>
    </xf>
    <xf numFmtId="2" fontId="24" fillId="0" borderId="56" xfId="7" applyNumberFormat="1" applyFont="1" applyFill="1" applyBorder="1" applyAlignment="1" applyProtection="1">
      <alignment horizontal="right"/>
    </xf>
    <xf numFmtId="2" fontId="22" fillId="0" borderId="0" xfId="6" applyNumberFormat="1" applyFont="1" applyBorder="1" applyProtection="1"/>
    <xf numFmtId="2" fontId="6" fillId="25" borderId="56" xfId="6" applyNumberFormat="1" applyFont="1" applyFill="1" applyBorder="1" applyAlignment="1" applyProtection="1">
      <alignment wrapText="1"/>
    </xf>
    <xf numFmtId="2" fontId="24" fillId="15" borderId="56" xfId="6" applyNumberFormat="1" applyFont="1" applyFill="1" applyBorder="1" applyProtection="1"/>
    <xf numFmtId="2" fontId="24" fillId="15" borderId="56" xfId="6" applyNumberFormat="1" applyFont="1" applyFill="1" applyBorder="1" applyAlignment="1" applyProtection="1">
      <alignment horizontal="right"/>
    </xf>
    <xf numFmtId="2" fontId="24" fillId="0" borderId="68" xfId="7" applyNumberFormat="1" applyFont="1" applyFill="1" applyBorder="1" applyAlignment="1" applyProtection="1">
      <alignment horizontal="right"/>
    </xf>
    <xf numFmtId="170" fontId="22" fillId="0" borderId="0" xfId="6" applyNumberFormat="1" applyFont="1" applyBorder="1" applyProtection="1"/>
    <xf numFmtId="2" fontId="6" fillId="25" borderId="56" xfId="6" applyNumberFormat="1" applyFont="1" applyFill="1" applyBorder="1" applyProtection="1"/>
    <xf numFmtId="2" fontId="6" fillId="25" borderId="56" xfId="6" applyNumberFormat="1" applyFont="1" applyFill="1" applyBorder="1" applyAlignment="1" applyProtection="1">
      <alignment horizontal="center"/>
    </xf>
    <xf numFmtId="2" fontId="6" fillId="25" borderId="56" xfId="7" applyNumberFormat="1" applyFont="1" applyFill="1" applyBorder="1" applyAlignment="1" applyProtection="1">
      <alignment horizontal="center"/>
    </xf>
    <xf numFmtId="0" fontId="6" fillId="25" borderId="0" xfId="6" applyFont="1" applyFill="1" applyBorder="1" applyProtection="1"/>
    <xf numFmtId="0" fontId="23" fillId="15" borderId="56" xfId="6" applyFont="1" applyFill="1" applyBorder="1" applyAlignment="1" applyProtection="1">
      <alignment horizontal="center"/>
    </xf>
    <xf numFmtId="0" fontId="24" fillId="0" borderId="0" xfId="6" applyFont="1" applyBorder="1" applyProtection="1"/>
    <xf numFmtId="0" fontId="23" fillId="15" borderId="56" xfId="6" applyFont="1" applyFill="1" applyBorder="1" applyAlignment="1" applyProtection="1">
      <alignment horizontal="center"/>
      <protection locked="0"/>
    </xf>
    <xf numFmtId="0" fontId="27" fillId="0" borderId="0" xfId="6" applyFont="1" applyBorder="1" applyProtection="1"/>
    <xf numFmtId="0" fontId="6" fillId="0" borderId="56" xfId="6" applyFont="1" applyBorder="1" applyAlignment="1" applyProtection="1">
      <alignment wrapText="1"/>
    </xf>
    <xf numFmtId="0" fontId="24" fillId="15" borderId="56" xfId="6" applyFont="1" applyFill="1" applyBorder="1" applyAlignment="1" applyProtection="1">
      <alignment wrapText="1"/>
    </xf>
    <xf numFmtId="0" fontId="28" fillId="0" borderId="0" xfId="6" applyFont="1" applyBorder="1" applyProtection="1"/>
    <xf numFmtId="4" fontId="22" fillId="0" borderId="0" xfId="6" applyNumberFormat="1" applyFont="1" applyBorder="1" applyProtection="1"/>
    <xf numFmtId="0" fontId="25" fillId="15" borderId="56" xfId="6" applyFont="1" applyFill="1" applyBorder="1" applyAlignment="1" applyProtection="1">
      <alignment wrapText="1"/>
    </xf>
    <xf numFmtId="2" fontId="25" fillId="15" borderId="56" xfId="7" applyNumberFormat="1" applyFont="1" applyFill="1" applyBorder="1" applyAlignment="1" applyProtection="1">
      <alignment horizontal="right"/>
    </xf>
    <xf numFmtId="0" fontId="6" fillId="0" borderId="56" xfId="6" applyFont="1" applyBorder="1" applyAlignment="1" applyProtection="1">
      <alignment horizontal="left" wrapText="1"/>
    </xf>
    <xf numFmtId="0" fontId="24" fillId="26" borderId="56" xfId="6" applyFont="1" applyFill="1" applyBorder="1" applyAlignment="1" applyProtection="1">
      <alignment wrapText="1"/>
    </xf>
    <xf numFmtId="2" fontId="6" fillId="26" borderId="56" xfId="7" applyNumberFormat="1" applyFont="1" applyFill="1" applyBorder="1" applyAlignment="1" applyProtection="1">
      <alignment horizontal="right"/>
    </xf>
    <xf numFmtId="0" fontId="6" fillId="0" borderId="56" xfId="6" applyFont="1" applyFill="1" applyBorder="1" applyAlignment="1" applyProtection="1">
      <alignment wrapText="1"/>
    </xf>
    <xf numFmtId="0" fontId="6" fillId="15" borderId="56" xfId="6" applyFont="1" applyFill="1" applyBorder="1" applyAlignment="1" applyProtection="1">
      <alignment wrapText="1"/>
    </xf>
    <xf numFmtId="0" fontId="29" fillId="0" borderId="0" xfId="6" applyFont="1" applyBorder="1" applyProtection="1"/>
    <xf numFmtId="0" fontId="6" fillId="15" borderId="56" xfId="6" applyFont="1" applyFill="1" applyBorder="1" applyAlignment="1" applyProtection="1">
      <alignment horizontal="left" wrapText="1"/>
    </xf>
    <xf numFmtId="0" fontId="6" fillId="25" borderId="56" xfId="6" applyFont="1" applyFill="1" applyBorder="1" applyAlignment="1" applyProtection="1">
      <alignment horizontal="left" wrapText="1"/>
    </xf>
    <xf numFmtId="0" fontId="24" fillId="26" borderId="56" xfId="6" applyFont="1" applyFill="1" applyBorder="1" applyAlignment="1" applyProtection="1">
      <alignment horizontal="left" wrapText="1"/>
    </xf>
    <xf numFmtId="0" fontId="6" fillId="0" borderId="56" xfId="6" applyFont="1" applyFill="1" applyBorder="1" applyAlignment="1" applyProtection="1">
      <alignment horizontal="left" wrapText="1"/>
    </xf>
    <xf numFmtId="0" fontId="6" fillId="26" borderId="56" xfId="6" applyFont="1" applyFill="1" applyBorder="1" applyAlignment="1" applyProtection="1">
      <alignment horizontal="left" wrapText="1"/>
    </xf>
    <xf numFmtId="0" fontId="6" fillId="26" borderId="56" xfId="6" applyFont="1" applyFill="1" applyBorder="1" applyAlignment="1" applyProtection="1">
      <alignment wrapText="1"/>
    </xf>
    <xf numFmtId="2" fontId="6" fillId="26" borderId="56" xfId="6" applyNumberFormat="1" applyFont="1" applyFill="1" applyBorder="1" applyAlignment="1" applyProtection="1">
      <alignment horizontal="right"/>
    </xf>
    <xf numFmtId="0" fontId="6" fillId="0" borderId="56" xfId="6" applyFont="1" applyBorder="1" applyProtection="1"/>
    <xf numFmtId="168" fontId="6" fillId="0" borderId="56" xfId="7" applyFont="1" applyFill="1" applyBorder="1" applyAlignment="1" applyProtection="1"/>
    <xf numFmtId="168" fontId="6" fillId="12" borderId="56" xfId="7" applyFont="1" applyFill="1" applyBorder="1" applyAlignment="1" applyProtection="1"/>
    <xf numFmtId="168" fontId="6" fillId="0" borderId="69" xfId="7" applyFont="1" applyFill="1" applyBorder="1" applyAlignment="1" applyProtection="1"/>
    <xf numFmtId="168" fontId="6" fillId="0" borderId="68" xfId="7" applyFont="1" applyFill="1" applyBorder="1" applyAlignment="1" applyProtection="1"/>
    <xf numFmtId="168" fontId="6" fillId="12" borderId="56" xfId="7" applyFont="1" applyFill="1" applyBorder="1" applyAlignment="1" applyProtection="1">
      <alignment horizontal="center"/>
    </xf>
    <xf numFmtId="168" fontId="6" fillId="0" borderId="56" xfId="7" applyFont="1" applyFill="1" applyBorder="1" applyAlignment="1" applyProtection="1">
      <alignment horizontal="center"/>
    </xf>
    <xf numFmtId="168" fontId="24" fillId="0" borderId="56" xfId="7" applyFont="1" applyFill="1" applyBorder="1" applyAlignment="1" applyProtection="1"/>
    <xf numFmtId="168" fontId="24" fillId="0" borderId="56" xfId="7" applyFont="1" applyFill="1" applyBorder="1" applyAlignment="1" applyProtection="1">
      <alignment wrapText="1"/>
    </xf>
    <xf numFmtId="168" fontId="24" fillId="12" borderId="56" xfId="7" applyFont="1" applyFill="1" applyBorder="1" applyAlignment="1" applyProtection="1"/>
    <xf numFmtId="0" fontId="30" fillId="0" borderId="0" xfId="6" applyFont="1" applyProtection="1"/>
    <xf numFmtId="0" fontId="28" fillId="0" borderId="0" xfId="6" applyFont="1" applyProtection="1"/>
    <xf numFmtId="168" fontId="6" fillId="0" borderId="0" xfId="6" applyNumberFormat="1" applyFont="1" applyBorder="1" applyProtection="1"/>
    <xf numFmtId="10" fontId="22" fillId="0" borderId="0" xfId="6" applyNumberFormat="1" applyFont="1" applyBorder="1" applyProtection="1"/>
    <xf numFmtId="2" fontId="6" fillId="0" borderId="0" xfId="6" applyNumberFormat="1" applyFont="1" applyBorder="1" applyProtection="1"/>
    <xf numFmtId="0" fontId="30" fillId="0" borderId="0" xfId="6" applyFont="1" applyBorder="1" applyProtection="1"/>
    <xf numFmtId="0" fontId="0" fillId="0" borderId="0" xfId="0" applyAlignment="1">
      <alignment horizontal="center"/>
    </xf>
    <xf numFmtId="0" fontId="19" fillId="6" borderId="20" xfId="0" applyFont="1" applyFill="1" applyBorder="1" applyAlignment="1">
      <alignment horizontal="center"/>
    </xf>
    <xf numFmtId="0" fontId="19" fillId="6" borderId="20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/>
    </xf>
    <xf numFmtId="0" fontId="19" fillId="10" borderId="20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9" fontId="0" fillId="0" borderId="0" xfId="0" quotePrefix="1" applyNumberFormat="1" applyAlignment="1">
      <alignment horizontal="center"/>
    </xf>
    <xf numFmtId="0" fontId="19" fillId="6" borderId="70" xfId="0" applyFont="1" applyFill="1" applyBorder="1" applyAlignment="1">
      <alignment horizontal="center"/>
    </xf>
    <xf numFmtId="1" fontId="0" fillId="0" borderId="0" xfId="1" applyNumberFormat="1" applyFont="1" applyAlignment="1">
      <alignment horizontal="center"/>
    </xf>
    <xf numFmtId="0" fontId="24" fillId="27" borderId="56" xfId="6" applyFont="1" applyFill="1" applyBorder="1" applyAlignment="1" applyProtection="1">
      <alignment wrapText="1"/>
    </xf>
    <xf numFmtId="2" fontId="24" fillId="27" borderId="56" xfId="7" applyNumberFormat="1" applyFont="1" applyFill="1" applyBorder="1" applyAlignment="1" applyProtection="1">
      <alignment horizontal="right"/>
    </xf>
    <xf numFmtId="2" fontId="24" fillId="28" borderId="56" xfId="7" applyNumberFormat="1" applyFont="1" applyFill="1" applyBorder="1" applyAlignment="1" applyProtection="1">
      <alignment horizontal="right"/>
    </xf>
    <xf numFmtId="2" fontId="24" fillId="27" borderId="56" xfId="6" applyNumberFormat="1" applyFont="1" applyFill="1" applyBorder="1" applyAlignment="1" applyProtection="1">
      <alignment horizontal="right"/>
    </xf>
    <xf numFmtId="0" fontId="18" fillId="7" borderId="5" xfId="0" applyFont="1" applyFill="1" applyBorder="1" applyAlignment="1" applyProtection="1">
      <protection locked="0"/>
    </xf>
    <xf numFmtId="0" fontId="18" fillId="7" borderId="11" xfId="0" applyFont="1" applyFill="1" applyBorder="1" applyAlignment="1" applyProtection="1">
      <protection locked="0"/>
    </xf>
    <xf numFmtId="0" fontId="18" fillId="7" borderId="13" xfId="0" applyFont="1" applyFill="1" applyBorder="1" applyAlignment="1" applyProtection="1">
      <protection locked="0"/>
    </xf>
    <xf numFmtId="0" fontId="18" fillId="7" borderId="14" xfId="0" applyFont="1" applyFill="1" applyBorder="1" applyAlignment="1" applyProtection="1">
      <protection locked="0"/>
    </xf>
    <xf numFmtId="171" fontId="5" fillId="12" borderId="56" xfId="0" applyNumberFormat="1" applyFont="1" applyFill="1" applyBorder="1" applyAlignment="1" applyProtection="1">
      <alignment horizontal="right" wrapText="1"/>
    </xf>
    <xf numFmtId="0" fontId="31" fillId="0" borderId="0" xfId="0" applyFont="1" applyFill="1" applyBorder="1"/>
    <xf numFmtId="0" fontId="31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 wrapText="1"/>
    </xf>
    <xf numFmtId="0" fontId="31" fillId="0" borderId="0" xfId="0" applyFont="1" applyFill="1"/>
    <xf numFmtId="9" fontId="31" fillId="0" borderId="0" xfId="0" applyNumberFormat="1" applyFont="1" applyFill="1" applyBorder="1" applyAlignment="1">
      <alignment horizontal="center"/>
    </xf>
    <xf numFmtId="10" fontId="18" fillId="7" borderId="5" xfId="0" applyNumberFormat="1" applyFont="1" applyFill="1" applyBorder="1" applyAlignment="1" applyProtection="1">
      <protection locked="0"/>
    </xf>
    <xf numFmtId="14" fontId="18" fillId="7" borderId="5" xfId="0" applyNumberFormat="1" applyFont="1" applyFill="1" applyBorder="1" applyAlignment="1" applyProtection="1">
      <protection locked="0"/>
    </xf>
    <xf numFmtId="17" fontId="12" fillId="7" borderId="24" xfId="2" applyNumberFormat="1" applyFont="1" applyFill="1" applyBorder="1" applyAlignment="1" applyProtection="1">
      <alignment horizontal="left" wrapText="1"/>
      <protection locked="0"/>
    </xf>
    <xf numFmtId="0" fontId="3" fillId="29" borderId="20" xfId="0" applyFont="1" applyFill="1" applyBorder="1" applyAlignment="1">
      <alignment horizontal="center" vertical="top"/>
    </xf>
    <xf numFmtId="0" fontId="36" fillId="0" borderId="20" xfId="0" applyFont="1" applyBorder="1" applyAlignment="1">
      <alignment horizontal="left" vertical="top"/>
    </xf>
    <xf numFmtId="0" fontId="36" fillId="0" borderId="20" xfId="0" applyFont="1" applyBorder="1" applyAlignment="1">
      <alignment horizontal="left" vertical="top" wrapText="1"/>
    </xf>
    <xf numFmtId="0" fontId="10" fillId="30" borderId="20" xfId="0" applyFont="1" applyFill="1" applyBorder="1" applyAlignment="1">
      <alignment horizontal="right" vertical="top"/>
    </xf>
    <xf numFmtId="0" fontId="10" fillId="0" borderId="20" xfId="0" applyFont="1" applyBorder="1" applyAlignment="1">
      <alignment horizontal="right" vertical="top"/>
    </xf>
    <xf numFmtId="0" fontId="10" fillId="31" borderId="20" xfId="0" applyFont="1" applyFill="1" applyBorder="1" applyAlignment="1">
      <alignment horizontal="right" vertical="top"/>
    </xf>
    <xf numFmtId="9" fontId="0" fillId="0" borderId="20" xfId="3" applyFont="1" applyBorder="1"/>
    <xf numFmtId="0" fontId="10" fillId="9" borderId="20" xfId="0" applyFont="1" applyFill="1" applyBorder="1" applyAlignment="1">
      <alignment horizontal="right" vertical="top"/>
    </xf>
    <xf numFmtId="0" fontId="10" fillId="32" borderId="20" xfId="0" applyFont="1" applyFill="1" applyBorder="1" applyAlignment="1">
      <alignment horizontal="right" vertical="top"/>
    </xf>
    <xf numFmtId="0" fontId="10" fillId="30" borderId="20" xfId="0" applyFont="1" applyFill="1" applyBorder="1" applyAlignment="1">
      <alignment horizontal="right" vertical="top" wrapText="1"/>
    </xf>
    <xf numFmtId="0" fontId="10" fillId="31" borderId="20" xfId="0" applyFont="1" applyFill="1" applyBorder="1" applyAlignment="1">
      <alignment horizontal="right" vertical="top" wrapText="1"/>
    </xf>
    <xf numFmtId="0" fontId="10" fillId="0" borderId="20" xfId="0" applyFont="1" applyBorder="1" applyAlignment="1">
      <alignment horizontal="right"/>
    </xf>
    <xf numFmtId="0" fontId="37" fillId="0" borderId="20" xfId="0" applyFont="1" applyBorder="1" applyAlignment="1">
      <alignment horizontal="right" vertical="top"/>
    </xf>
    <xf numFmtId="0" fontId="37" fillId="0" borderId="20" xfId="0" applyFont="1" applyBorder="1" applyAlignment="1">
      <alignment horizontal="right" vertical="top" wrapText="1"/>
    </xf>
    <xf numFmtId="0" fontId="10" fillId="0" borderId="20" xfId="0" applyFont="1" applyFill="1" applyBorder="1" applyAlignment="1">
      <alignment horizontal="right" vertical="top"/>
    </xf>
    <xf numFmtId="0" fontId="10" fillId="32" borderId="20" xfId="0" applyFont="1" applyFill="1" applyBorder="1" applyAlignment="1">
      <alignment horizontal="right" vertical="top" wrapText="1"/>
    </xf>
    <xf numFmtId="0" fontId="38" fillId="30" borderId="20" xfId="0" applyFont="1" applyFill="1" applyBorder="1" applyAlignment="1">
      <alignment horizontal="right" vertical="top" wrapText="1"/>
    </xf>
    <xf numFmtId="0" fontId="39" fillId="31" borderId="20" xfId="0" applyFont="1" applyFill="1" applyBorder="1" applyAlignment="1">
      <alignment horizontal="right" vertical="top" wrapText="1"/>
    </xf>
    <xf numFmtId="0" fontId="39" fillId="9" borderId="20" xfId="0" applyFont="1" applyFill="1" applyBorder="1" applyAlignment="1">
      <alignment horizontal="right" vertical="top" wrapText="1"/>
    </xf>
    <xf numFmtId="0" fontId="10" fillId="0" borderId="20" xfId="0" applyFont="1" applyFill="1" applyBorder="1" applyAlignment="1">
      <alignment horizontal="right" vertical="top" wrapText="1"/>
    </xf>
    <xf numFmtId="0" fontId="39" fillId="32" borderId="20" xfId="0" applyFont="1" applyFill="1" applyBorder="1" applyAlignment="1">
      <alignment horizontal="right" vertical="top" wrapText="1"/>
    </xf>
    <xf numFmtId="0" fontId="38" fillId="30" borderId="20" xfId="0" applyFont="1" applyFill="1" applyBorder="1" applyAlignment="1">
      <alignment horizontal="right" vertical="top"/>
    </xf>
    <xf numFmtId="0" fontId="38" fillId="31" borderId="20" xfId="0" applyFont="1" applyFill="1" applyBorder="1" applyAlignment="1">
      <alignment horizontal="right" vertical="top"/>
    </xf>
    <xf numFmtId="0" fontId="8" fillId="31" borderId="20" xfId="0" applyFont="1" applyFill="1" applyBorder="1" applyAlignment="1">
      <alignment horizontal="right" vertical="top"/>
    </xf>
    <xf numFmtId="0" fontId="8" fillId="0" borderId="20" xfId="0" applyFont="1" applyBorder="1" applyAlignment="1">
      <alignment horizontal="right" vertical="top"/>
    </xf>
    <xf numFmtId="0" fontId="8" fillId="32" borderId="20" xfId="0" applyFont="1" applyFill="1" applyBorder="1" applyAlignment="1">
      <alignment horizontal="right" vertical="top"/>
    </xf>
    <xf numFmtId="0" fontId="10" fillId="0" borderId="20" xfId="0" applyFont="1" applyBorder="1" applyAlignment="1">
      <alignment horizontal="right" vertical="top" wrapText="1"/>
    </xf>
    <xf numFmtId="0" fontId="37" fillId="0" borderId="20" xfId="0" applyFont="1" applyFill="1" applyBorder="1" applyAlignment="1">
      <alignment horizontal="right" vertical="top"/>
    </xf>
    <xf numFmtId="0" fontId="8" fillId="30" borderId="20" xfId="0" applyFont="1" applyFill="1" applyBorder="1" applyAlignment="1">
      <alignment horizontal="right" vertical="top"/>
    </xf>
    <xf numFmtId="0" fontId="36" fillId="0" borderId="20" xfId="0" applyFont="1" applyBorder="1" applyAlignment="1">
      <alignment vertical="top" wrapText="1"/>
    </xf>
    <xf numFmtId="0" fontId="10" fillId="30" borderId="20" xfId="0" applyFont="1" applyFill="1" applyBorder="1" applyAlignment="1">
      <alignment horizontal="right"/>
    </xf>
    <xf numFmtId="0" fontId="10" fillId="33" borderId="20" xfId="0" applyFont="1" applyFill="1" applyBorder="1" applyAlignment="1">
      <alignment horizontal="right"/>
    </xf>
    <xf numFmtId="0" fontId="10" fillId="33" borderId="20" xfId="0" applyFont="1" applyFill="1" applyBorder="1" applyAlignment="1">
      <alignment horizontal="right" vertical="top" wrapText="1"/>
    </xf>
    <xf numFmtId="0" fontId="36" fillId="0" borderId="0" xfId="0" applyFont="1" applyAlignment="1">
      <alignment horizontal="left" vertical="top"/>
    </xf>
    <xf numFmtId="0" fontId="40" fillId="30" borderId="20" xfId="0" applyFont="1" applyFill="1" applyBorder="1" applyAlignment="1">
      <alignment horizontal="right"/>
    </xf>
    <xf numFmtId="0" fontId="10" fillId="31" borderId="20" xfId="0" applyFont="1" applyFill="1" applyBorder="1" applyAlignment="1">
      <alignment horizontal="right"/>
    </xf>
    <xf numFmtId="0" fontId="10" fillId="32" borderId="20" xfId="0" applyFont="1" applyFill="1" applyBorder="1" applyAlignment="1">
      <alignment horizontal="right"/>
    </xf>
    <xf numFmtId="0" fontId="10" fillId="32" borderId="20" xfId="0" applyFont="1" applyFill="1" applyBorder="1" applyAlignment="1">
      <alignment horizontal="right" wrapText="1"/>
    </xf>
    <xf numFmtId="0" fontId="10" fillId="31" borderId="20" xfId="0" applyFont="1" applyFill="1" applyBorder="1" applyAlignment="1">
      <alignment horizontal="right" wrapText="1"/>
    </xf>
    <xf numFmtId="0" fontId="36" fillId="0" borderId="20" xfId="0" applyFont="1" applyBorder="1" applyAlignment="1">
      <alignment horizontal="left"/>
    </xf>
    <xf numFmtId="0" fontId="14" fillId="0" borderId="20" xfId="0" applyFont="1" applyBorder="1" applyAlignment="1">
      <alignment wrapText="1"/>
    </xf>
    <xf numFmtId="0" fontId="10" fillId="32" borderId="71" xfId="0" applyFont="1" applyFill="1" applyBorder="1" applyAlignment="1">
      <alignment horizontal="right"/>
    </xf>
    <xf numFmtId="0" fontId="10" fillId="0" borderId="71" xfId="0" applyFont="1" applyBorder="1" applyAlignment="1">
      <alignment horizontal="right"/>
    </xf>
    <xf numFmtId="0" fontId="14" fillId="0" borderId="30" xfId="0" applyFont="1" applyBorder="1"/>
    <xf numFmtId="0" fontId="10" fillId="0" borderId="20" xfId="0" applyFont="1" applyFill="1" applyBorder="1" applyAlignment="1">
      <alignment horizontal="right" wrapText="1"/>
    </xf>
    <xf numFmtId="0" fontId="14" fillId="0" borderId="30" xfId="0" applyFont="1" applyBorder="1" applyAlignment="1">
      <alignment vertical="top"/>
    </xf>
    <xf numFmtId="0" fontId="41" fillId="0" borderId="20" xfId="0" applyFont="1" applyBorder="1" applyAlignment="1">
      <alignment horizontal="right"/>
    </xf>
    <xf numFmtId="0" fontId="41" fillId="0" borderId="30" xfId="0" applyFont="1" applyBorder="1" applyAlignment="1">
      <alignment horizontal="right"/>
    </xf>
    <xf numFmtId="0" fontId="41" fillId="0" borderId="20" xfId="0" applyFont="1" applyBorder="1" applyAlignment="1">
      <alignment horizontal="right" vertical="top"/>
    </xf>
    <xf numFmtId="0" fontId="41" fillId="0" borderId="30" xfId="0" applyFont="1" applyBorder="1" applyAlignment="1">
      <alignment horizontal="right" vertical="top"/>
    </xf>
    <xf numFmtId="0" fontId="10" fillId="9" borderId="20" xfId="0" applyFont="1" applyFill="1" applyBorder="1" applyAlignment="1">
      <alignment horizontal="right"/>
    </xf>
    <xf numFmtId="0" fontId="14" fillId="0" borderId="20" xfId="0" applyFont="1" applyBorder="1" applyAlignment="1">
      <alignment horizontal="center" vertical="top"/>
    </xf>
    <xf numFmtId="0" fontId="10" fillId="0" borderId="20" xfId="0" applyFont="1" applyFill="1" applyBorder="1" applyAlignment="1">
      <alignment horizontal="right"/>
    </xf>
    <xf numFmtId="0" fontId="0" fillId="0" borderId="0" xfId="0" applyFill="1"/>
    <xf numFmtId="9" fontId="0" fillId="0" borderId="20" xfId="3" applyFont="1" applyFill="1" applyBorder="1"/>
    <xf numFmtId="0" fontId="36" fillId="0" borderId="20" xfId="0" applyFont="1" applyBorder="1" applyAlignment="1">
      <alignment vertical="top"/>
    </xf>
    <xf numFmtId="0" fontId="14" fillId="0" borderId="20" xfId="0" applyFont="1" applyBorder="1" applyAlignment="1">
      <alignment horizontal="center"/>
    </xf>
    <xf numFmtId="0" fontId="36" fillId="0" borderId="20" xfId="0" applyFont="1" applyBorder="1"/>
    <xf numFmtId="0" fontId="10" fillId="0" borderId="71" xfId="0" applyFont="1" applyFill="1" applyBorder="1" applyAlignment="1">
      <alignment horizontal="right"/>
    </xf>
    <xf numFmtId="0" fontId="37" fillId="0" borderId="20" xfId="0" applyFont="1" applyBorder="1" applyAlignment="1">
      <alignment horizontal="right"/>
    </xf>
    <xf numFmtId="0" fontId="36" fillId="0" borderId="20" xfId="0" applyFont="1" applyBorder="1" applyAlignment="1">
      <alignment wrapText="1"/>
    </xf>
    <xf numFmtId="0" fontId="10" fillId="9" borderId="20" xfId="0" applyFont="1" applyFill="1" applyBorder="1" applyAlignment="1">
      <alignment horizontal="right" wrapText="1"/>
    </xf>
    <xf numFmtId="0" fontId="10" fillId="30" borderId="20" xfId="0" applyFont="1" applyFill="1" applyBorder="1" applyAlignment="1">
      <alignment horizontal="right" wrapText="1"/>
    </xf>
    <xf numFmtId="0" fontId="14" fillId="0" borderId="20" xfId="0" applyFont="1" applyFill="1" applyBorder="1" applyAlignment="1">
      <alignment horizontal="center" vertical="top"/>
    </xf>
    <xf numFmtId="0" fontId="8" fillId="30" borderId="20" xfId="0" applyFont="1" applyFill="1" applyBorder="1" applyAlignment="1">
      <alignment horizontal="right"/>
    </xf>
    <xf numFmtId="0" fontId="36" fillId="0" borderId="20" xfId="0" applyFont="1" applyBorder="1" applyAlignment="1">
      <alignment horizontal="center" vertical="top"/>
    </xf>
    <xf numFmtId="0" fontId="36" fillId="0" borderId="0" xfId="0" applyFont="1" applyAlignment="1">
      <alignment horizontal="left" vertical="top" wrapText="1"/>
    </xf>
    <xf numFmtId="0" fontId="10" fillId="0" borderId="0" xfId="0" applyFont="1"/>
    <xf numFmtId="166" fontId="8" fillId="15" borderId="56" xfId="1" applyNumberFormat="1" applyFont="1" applyFill="1" applyBorder="1" applyAlignment="1" applyProtection="1">
      <alignment horizontal="right" vertical="top"/>
    </xf>
    <xf numFmtId="0" fontId="3" fillId="3" borderId="15" xfId="0" applyFont="1" applyFill="1" applyBorder="1" applyAlignment="1" applyProtection="1">
      <alignment horizontal="center" wrapText="1"/>
    </xf>
    <xf numFmtId="165" fontId="3" fillId="5" borderId="11" xfId="1" applyNumberFormat="1" applyFont="1" applyFill="1" applyBorder="1" applyAlignment="1" applyProtection="1">
      <alignment horizontal="center"/>
      <protection locked="0"/>
    </xf>
    <xf numFmtId="165" fontId="3" fillId="5" borderId="5" xfId="1" applyNumberFormat="1" applyFont="1" applyFill="1" applyBorder="1" applyAlignment="1" applyProtection="1">
      <alignment horizontal="center"/>
      <protection locked="0"/>
    </xf>
    <xf numFmtId="1" fontId="5" fillId="7" borderId="20" xfId="0" applyNumberFormat="1" applyFont="1" applyFill="1" applyBorder="1" applyAlignment="1" applyProtection="1">
      <alignment horizontal="center"/>
      <protection locked="0"/>
    </xf>
    <xf numFmtId="9" fontId="3" fillId="5" borderId="11" xfId="3" applyFont="1" applyFill="1" applyBorder="1" applyAlignment="1" applyProtection="1">
      <alignment horizontal="right"/>
      <protection locked="0"/>
    </xf>
    <xf numFmtId="172" fontId="3" fillId="5" borderId="11" xfId="3" applyNumberFormat="1" applyFont="1" applyFill="1" applyBorder="1" applyAlignment="1" applyProtection="1">
      <alignment horizontal="right"/>
      <protection locked="0"/>
    </xf>
    <xf numFmtId="0" fontId="42" fillId="35" borderId="59" xfId="0" applyFont="1" applyFill="1" applyBorder="1" applyAlignment="1">
      <alignment horizontal="left" vertical="center" wrapText="1"/>
    </xf>
    <xf numFmtId="0" fontId="42" fillId="35" borderId="59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left" vertical="center" wrapText="1"/>
    </xf>
    <xf numFmtId="0" fontId="43" fillId="0" borderId="59" xfId="0" applyFont="1" applyBorder="1" applyAlignment="1">
      <alignment horizontal="left" vertical="center" wrapText="1"/>
    </xf>
    <xf numFmtId="0" fontId="43" fillId="0" borderId="59" xfId="0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2" fillId="0" borderId="80" xfId="0" applyFont="1" applyBorder="1" applyAlignment="1">
      <alignment horizontal="center" vertical="center" wrapText="1"/>
    </xf>
    <xf numFmtId="0" fontId="42" fillId="0" borderId="81" xfId="0" applyFont="1" applyBorder="1" applyAlignment="1">
      <alignment horizontal="center" vertical="center" wrapText="1"/>
    </xf>
    <xf numFmtId="0" fontId="42" fillId="0" borderId="82" xfId="0" applyFont="1" applyBorder="1" applyAlignment="1">
      <alignment horizontal="center" vertical="center" wrapText="1"/>
    </xf>
    <xf numFmtId="0" fontId="42" fillId="0" borderId="83" xfId="0" applyFont="1" applyBorder="1" applyAlignment="1">
      <alignment horizontal="center" vertical="center" wrapText="1"/>
    </xf>
    <xf numFmtId="0" fontId="44" fillId="8" borderId="20" xfId="2" applyFont="1" applyFill="1" applyBorder="1" applyAlignment="1">
      <alignment vertical="center" wrapText="1"/>
    </xf>
    <xf numFmtId="0" fontId="8" fillId="7" borderId="20" xfId="2" applyFont="1" applyFill="1" applyBorder="1" applyAlignment="1" applyProtection="1">
      <alignment vertical="center" wrapText="1"/>
      <protection locked="0"/>
    </xf>
    <xf numFmtId="0" fontId="8" fillId="0" borderId="0" xfId="2" applyFont="1" applyAlignment="1">
      <alignment vertical="center" wrapText="1"/>
    </xf>
    <xf numFmtId="0" fontId="8" fillId="36" borderId="0" xfId="2" applyFont="1" applyFill="1" applyAlignment="1">
      <alignment vertical="center" wrapText="1"/>
    </xf>
    <xf numFmtId="0" fontId="6" fillId="0" borderId="0" xfId="2" applyAlignment="1">
      <alignment vertical="center"/>
    </xf>
    <xf numFmtId="0" fontId="8" fillId="0" borderId="0" xfId="2" applyFont="1" applyAlignment="1" applyProtection="1">
      <alignment vertical="center" wrapText="1"/>
      <protection locked="0"/>
    </xf>
    <xf numFmtId="0" fontId="45" fillId="11" borderId="20" xfId="2" applyFont="1" applyFill="1" applyBorder="1" applyAlignment="1">
      <alignment vertical="center" wrapText="1"/>
    </xf>
    <xf numFmtId="0" fontId="45" fillId="11" borderId="20" xfId="2" applyFont="1" applyFill="1" applyBorder="1" applyAlignment="1" applyProtection="1">
      <alignment horizontal="center" vertical="center" wrapText="1"/>
      <protection locked="0"/>
    </xf>
    <xf numFmtId="0" fontId="5" fillId="7" borderId="20" xfId="2" applyFont="1" applyFill="1" applyBorder="1" applyAlignment="1" applyProtection="1">
      <alignment horizontal="center" vertical="center" wrapText="1"/>
      <protection locked="0"/>
    </xf>
    <xf numFmtId="17" fontId="45" fillId="11" borderId="20" xfId="2" applyNumberFormat="1" applyFont="1" applyFill="1" applyBorder="1" applyAlignment="1">
      <alignment vertical="center" wrapText="1"/>
    </xf>
    <xf numFmtId="0" fontId="8" fillId="15" borderId="20" xfId="2" applyFont="1" applyFill="1" applyBorder="1" applyAlignment="1">
      <alignment vertical="center" wrapText="1"/>
    </xf>
    <xf numFmtId="0" fontId="13" fillId="8" borderId="20" xfId="2" applyFont="1" applyFill="1" applyBorder="1" applyAlignment="1">
      <alignment vertical="center" wrapText="1"/>
    </xf>
    <xf numFmtId="0" fontId="8" fillId="36" borderId="20" xfId="2" applyFont="1" applyFill="1" applyBorder="1" applyAlignment="1">
      <alignment vertical="center" wrapText="1"/>
    </xf>
    <xf numFmtId="0" fontId="8" fillId="37" borderId="20" xfId="2" applyFont="1" applyFill="1" applyBorder="1" applyAlignment="1">
      <alignment vertical="center" wrapText="1"/>
    </xf>
    <xf numFmtId="0" fontId="8" fillId="36" borderId="0" xfId="2" applyFont="1" applyFill="1" applyAlignment="1">
      <alignment vertical="center"/>
    </xf>
    <xf numFmtId="0" fontId="8" fillId="36" borderId="20" xfId="2" applyFont="1" applyFill="1" applyBorder="1" applyAlignment="1">
      <alignment horizontal="right" vertical="center" wrapText="1"/>
    </xf>
    <xf numFmtId="0" fontId="8" fillId="37" borderId="20" xfId="2" applyFont="1" applyFill="1" applyBorder="1" applyAlignment="1">
      <alignment horizontal="right" vertical="center" wrapText="1"/>
    </xf>
    <xf numFmtId="0" fontId="8" fillId="36" borderId="0" xfId="6" applyFont="1" applyFill="1" applyAlignment="1">
      <alignment vertical="center" wrapText="1"/>
    </xf>
    <xf numFmtId="0" fontId="46" fillId="8" borderId="20" xfId="2" applyFont="1" applyFill="1" applyBorder="1" applyAlignment="1">
      <alignment vertical="center" wrapText="1"/>
    </xf>
    <xf numFmtId="0" fontId="8" fillId="0" borderId="20" xfId="2" applyFont="1" applyBorder="1" applyAlignment="1">
      <alignment vertical="center" wrapText="1"/>
    </xf>
    <xf numFmtId="0" fontId="8" fillId="36" borderId="29" xfId="2" applyFont="1" applyFill="1" applyBorder="1" applyAlignment="1">
      <alignment horizontal="center" vertical="center" wrapText="1"/>
    </xf>
    <xf numFmtId="0" fontId="49" fillId="36" borderId="0" xfId="9" applyFont="1" applyFill="1" applyAlignment="1">
      <alignment vertical="center"/>
    </xf>
    <xf numFmtId="0" fontId="9" fillId="36" borderId="0" xfId="9" applyFont="1" applyFill="1" applyAlignment="1">
      <alignment vertical="center"/>
    </xf>
    <xf numFmtId="0" fontId="50" fillId="36" borderId="0" xfId="9" applyFont="1" applyFill="1" applyAlignment="1">
      <alignment vertical="center"/>
    </xf>
    <xf numFmtId="0" fontId="52" fillId="36" borderId="0" xfId="9" applyFont="1" applyFill="1" applyAlignment="1">
      <alignment vertical="center"/>
    </xf>
    <xf numFmtId="17" fontId="11" fillId="39" borderId="24" xfId="9" applyNumberFormat="1" applyFont="1" applyFill="1" applyBorder="1" applyAlignment="1">
      <alignment horizontal="center" vertical="center" wrapText="1"/>
    </xf>
    <xf numFmtId="0" fontId="11" fillId="39" borderId="52" xfId="9" applyFont="1" applyFill="1" applyBorder="1" applyAlignment="1">
      <alignment horizontal="center" vertical="center" wrapText="1"/>
    </xf>
    <xf numFmtId="17" fontId="11" fillId="39" borderId="32" xfId="9" applyNumberFormat="1" applyFont="1" applyFill="1" applyBorder="1" applyAlignment="1">
      <alignment horizontal="center" vertical="center"/>
    </xf>
    <xf numFmtId="0" fontId="11" fillId="39" borderId="52" xfId="9" applyFont="1" applyFill="1" applyBorder="1" applyAlignment="1">
      <alignment horizontal="center" vertical="center"/>
    </xf>
    <xf numFmtId="17" fontId="11" fillId="39" borderId="24" xfId="9" applyNumberFormat="1" applyFont="1" applyFill="1" applyBorder="1" applyAlignment="1">
      <alignment horizontal="center" vertical="center"/>
    </xf>
    <xf numFmtId="0" fontId="11" fillId="39" borderId="20" xfId="9" applyFont="1" applyFill="1" applyBorder="1" applyAlignment="1">
      <alignment horizontal="center" vertical="center"/>
    </xf>
    <xf numFmtId="0" fontId="9" fillId="36" borderId="24" xfId="9" applyFont="1" applyFill="1" applyBorder="1" applyAlignment="1">
      <alignment vertical="center"/>
    </xf>
    <xf numFmtId="3" fontId="9" fillId="36" borderId="30" xfId="9" applyNumberFormat="1" applyFont="1" applyFill="1" applyBorder="1" applyAlignment="1">
      <alignment vertical="center"/>
    </xf>
    <xf numFmtId="174" fontId="9" fillId="41" borderId="30" xfId="9" applyNumberFormat="1" applyFont="1" applyFill="1" applyBorder="1" applyAlignment="1">
      <alignment vertical="center"/>
    </xf>
    <xf numFmtId="174" fontId="9" fillId="36" borderId="30" xfId="9" applyNumberFormat="1" applyFont="1" applyFill="1" applyBorder="1" applyAlignment="1">
      <alignment vertical="center"/>
    </xf>
    <xf numFmtId="0" fontId="9" fillId="36" borderId="52" xfId="9" applyFont="1" applyFill="1" applyBorder="1" applyAlignment="1">
      <alignment vertical="center"/>
    </xf>
    <xf numFmtId="175" fontId="11" fillId="39" borderId="94" xfId="6" applyNumberFormat="1" applyFont="1" applyFill="1" applyBorder="1" applyAlignment="1">
      <alignment vertical="center"/>
    </xf>
    <xf numFmtId="3" fontId="11" fillId="39" borderId="94" xfId="6" applyNumberFormat="1" applyFont="1" applyFill="1" applyBorder="1" applyAlignment="1">
      <alignment vertical="center"/>
    </xf>
    <xf numFmtId="174" fontId="11" fillId="39" borderId="94" xfId="6" applyNumberFormat="1" applyFont="1" applyFill="1" applyBorder="1" applyAlignment="1">
      <alignment vertical="center"/>
    </xf>
    <xf numFmtId="174" fontId="11" fillId="39" borderId="95" xfId="6" applyNumberFormat="1" applyFont="1" applyFill="1" applyBorder="1" applyAlignment="1">
      <alignment vertical="center"/>
    </xf>
    <xf numFmtId="174" fontId="9" fillId="41" borderId="20" xfId="9" applyNumberFormat="1" applyFont="1" applyFill="1" applyBorder="1" applyAlignment="1">
      <alignment vertical="center"/>
    </xf>
    <xf numFmtId="174" fontId="9" fillId="36" borderId="20" xfId="9" applyNumberFormat="1" applyFont="1" applyFill="1" applyBorder="1" applyAlignment="1">
      <alignment vertical="center"/>
    </xf>
    <xf numFmtId="174" fontId="9" fillId="36" borderId="52" xfId="9" applyNumberFormat="1" applyFont="1" applyFill="1" applyBorder="1" applyAlignment="1">
      <alignment vertical="center"/>
    </xf>
    <xf numFmtId="0" fontId="9" fillId="36" borderId="41" xfId="9" applyFont="1" applyFill="1" applyBorder="1" applyAlignment="1">
      <alignment vertical="center"/>
    </xf>
    <xf numFmtId="0" fontId="11" fillId="39" borderId="93" xfId="6" applyFont="1" applyFill="1" applyBorder="1" applyAlignment="1">
      <alignment vertical="center"/>
    </xf>
    <xf numFmtId="0" fontId="11" fillId="39" borderId="54" xfId="9" applyFont="1" applyFill="1" applyBorder="1" applyAlignment="1">
      <alignment horizontal="center" vertical="center" wrapText="1"/>
    </xf>
    <xf numFmtId="0" fontId="11" fillId="39" borderId="70" xfId="9" applyFont="1" applyFill="1" applyBorder="1" applyAlignment="1">
      <alignment horizontal="center" vertical="center" wrapText="1"/>
    </xf>
    <xf numFmtId="0" fontId="11" fillId="39" borderId="89" xfId="9" applyFont="1" applyFill="1" applyBorder="1" applyAlignment="1">
      <alignment horizontal="center" vertical="center"/>
    </xf>
    <xf numFmtId="0" fontId="11" fillId="39" borderId="70" xfId="9" applyFont="1" applyFill="1" applyBorder="1" applyAlignment="1">
      <alignment horizontal="center" vertical="center"/>
    </xf>
    <xf numFmtId="0" fontId="11" fillId="39" borderId="91" xfId="9" applyFont="1" applyFill="1" applyBorder="1" applyAlignment="1">
      <alignment horizontal="center" vertical="center"/>
    </xf>
    <xf numFmtId="0" fontId="9" fillId="36" borderId="53" xfId="9" applyFont="1" applyFill="1" applyBorder="1" applyAlignment="1">
      <alignment vertical="center"/>
    </xf>
    <xf numFmtId="14" fontId="9" fillId="36" borderId="71" xfId="9" applyNumberFormat="1" applyFont="1" applyFill="1" applyBorder="1" applyAlignment="1">
      <alignment vertical="center"/>
    </xf>
    <xf numFmtId="0" fontId="9" fillId="36" borderId="71" xfId="9" applyFont="1" applyFill="1" applyBorder="1" applyAlignment="1">
      <alignment vertical="center"/>
    </xf>
    <xf numFmtId="3" fontId="9" fillId="36" borderId="71" xfId="9" applyNumberFormat="1" applyFont="1" applyFill="1" applyBorder="1" applyAlignment="1">
      <alignment vertical="center"/>
    </xf>
    <xf numFmtId="3" fontId="9" fillId="36" borderId="97" xfId="9" applyNumberFormat="1" applyFont="1" applyFill="1" applyBorder="1" applyAlignment="1">
      <alignment vertical="center"/>
    </xf>
    <xf numFmtId="0" fontId="9" fillId="36" borderId="42" xfId="9" applyFont="1" applyFill="1" applyBorder="1" applyAlignment="1">
      <alignment vertical="center"/>
    </xf>
    <xf numFmtId="3" fontId="9" fillId="36" borderId="42" xfId="9" applyNumberFormat="1" applyFont="1" applyFill="1" applyBorder="1" applyAlignment="1">
      <alignment vertical="center"/>
    </xf>
    <xf numFmtId="3" fontId="9" fillId="36" borderId="55" xfId="9" applyNumberFormat="1" applyFont="1" applyFill="1" applyBorder="1" applyAlignment="1">
      <alignment vertical="center"/>
    </xf>
    <xf numFmtId="0" fontId="49" fillId="36" borderId="0" xfId="9" applyFont="1" applyFill="1"/>
    <xf numFmtId="0" fontId="9" fillId="36" borderId="0" xfId="9" applyFont="1" applyFill="1"/>
    <xf numFmtId="0" fontId="50" fillId="36" borderId="0" xfId="9" applyFont="1" applyFill="1"/>
    <xf numFmtId="0" fontId="52" fillId="36" borderId="0" xfId="9" applyFont="1" applyFill="1"/>
    <xf numFmtId="17" fontId="11" fillId="39" borderId="32" xfId="9" applyNumberFormat="1" applyFont="1" applyFill="1" applyBorder="1" applyAlignment="1">
      <alignment horizontal="center" vertical="center" wrapText="1"/>
    </xf>
    <xf numFmtId="0" fontId="11" fillId="39" borderId="20" xfId="9" applyFont="1" applyFill="1" applyBorder="1" applyAlignment="1">
      <alignment horizontal="center" vertical="center" wrapText="1"/>
    </xf>
    <xf numFmtId="3" fontId="9" fillId="36" borderId="72" xfId="9" applyNumberFormat="1" applyFont="1" applyFill="1" applyBorder="1" applyAlignment="1">
      <alignment vertical="center"/>
    </xf>
    <xf numFmtId="3" fontId="9" fillId="36" borderId="99" xfId="9" applyNumberFormat="1" applyFont="1" applyFill="1" applyBorder="1" applyAlignment="1">
      <alignment vertical="center"/>
    </xf>
    <xf numFmtId="0" fontId="49" fillId="36" borderId="0" xfId="10" applyFont="1" applyFill="1"/>
    <xf numFmtId="0" fontId="9" fillId="36" borderId="0" xfId="10" applyFont="1" applyFill="1"/>
    <xf numFmtId="0" fontId="9" fillId="36" borderId="100" xfId="10" applyFont="1" applyFill="1" applyBorder="1"/>
    <xf numFmtId="0" fontId="49" fillId="36" borderId="0" xfId="10" applyFont="1" applyFill="1" applyAlignment="1">
      <alignment vertical="center"/>
    </xf>
    <xf numFmtId="0" fontId="9" fillId="36" borderId="0" xfId="10" applyFont="1" applyFill="1" applyAlignment="1">
      <alignment vertical="center"/>
    </xf>
    <xf numFmtId="0" fontId="9" fillId="36" borderId="100" xfId="10" applyFont="1" applyFill="1" applyBorder="1" applyAlignment="1">
      <alignment vertical="center"/>
    </xf>
    <xf numFmtId="0" fontId="54" fillId="36" borderId="0" xfId="10" applyFont="1" applyFill="1"/>
    <xf numFmtId="0" fontId="56" fillId="36" borderId="0" xfId="10" applyFont="1" applyFill="1"/>
    <xf numFmtId="0" fontId="56" fillId="36" borderId="100" xfId="10" applyFont="1" applyFill="1" applyBorder="1"/>
    <xf numFmtId="17" fontId="11" fillId="40" borderId="107" xfId="10" applyNumberFormat="1" applyFont="1" applyFill="1" applyBorder="1" applyAlignment="1">
      <alignment horizontal="center" vertical="center" wrapText="1"/>
    </xf>
    <xf numFmtId="0" fontId="11" fillId="40" borderId="71" xfId="10" applyFont="1" applyFill="1" applyBorder="1" applyAlignment="1">
      <alignment horizontal="center" vertical="center" wrapText="1"/>
    </xf>
    <xf numFmtId="0" fontId="11" fillId="40" borderId="97" xfId="10" applyFont="1" applyFill="1" applyBorder="1" applyAlignment="1">
      <alignment horizontal="center" vertical="center" wrapText="1"/>
    </xf>
    <xf numFmtId="17" fontId="11" fillId="40" borderId="107" xfId="10" applyNumberFormat="1" applyFont="1" applyFill="1" applyBorder="1" applyAlignment="1">
      <alignment horizontal="center" vertical="center"/>
    </xf>
    <xf numFmtId="0" fontId="11" fillId="40" borderId="71" xfId="10" applyFont="1" applyFill="1" applyBorder="1" applyAlignment="1">
      <alignment horizontal="center" vertical="center"/>
    </xf>
    <xf numFmtId="17" fontId="11" fillId="40" borderId="53" xfId="10" applyNumberFormat="1" applyFont="1" applyFill="1" applyBorder="1" applyAlignment="1">
      <alignment horizontal="center" vertical="center"/>
    </xf>
    <xf numFmtId="0" fontId="11" fillId="40" borderId="97" xfId="10" applyFont="1" applyFill="1" applyBorder="1" applyAlignment="1">
      <alignment horizontal="center" vertical="center"/>
    </xf>
    <xf numFmtId="0" fontId="9" fillId="36" borderId="47" xfId="10" applyFont="1" applyFill="1" applyBorder="1" applyAlignment="1">
      <alignment vertical="center"/>
    </xf>
    <xf numFmtId="0" fontId="9" fillId="36" borderId="89" xfId="10" applyFont="1" applyFill="1" applyBorder="1" applyAlignment="1">
      <alignment vertical="center"/>
    </xf>
    <xf numFmtId="3" fontId="9" fillId="36" borderId="89" xfId="10" applyNumberFormat="1" applyFont="1" applyFill="1" applyBorder="1" applyAlignment="1">
      <alignment vertical="center"/>
    </xf>
    <xf numFmtId="3" fontId="58" fillId="0" borderId="108" xfId="10" applyNumberFormat="1" applyFont="1" applyBorder="1" applyAlignment="1">
      <alignment vertical="center"/>
    </xf>
    <xf numFmtId="14" fontId="9" fillId="36" borderId="89" xfId="10" applyNumberFormat="1" applyFont="1" applyFill="1" applyBorder="1" applyAlignment="1">
      <alignment vertical="center"/>
    </xf>
    <xf numFmtId="1" fontId="9" fillId="44" borderId="89" xfId="10" applyNumberFormat="1" applyFont="1" applyFill="1" applyBorder="1" applyAlignment="1">
      <alignment vertical="center"/>
    </xf>
    <xf numFmtId="0" fontId="9" fillId="36" borderId="89" xfId="10" applyFont="1" applyFill="1" applyBorder="1" applyAlignment="1">
      <alignment horizontal="center" vertical="center"/>
    </xf>
    <xf numFmtId="0" fontId="9" fillId="44" borderId="89" xfId="10" applyFont="1" applyFill="1" applyBorder="1" applyAlignment="1">
      <alignment vertical="center"/>
    </xf>
    <xf numFmtId="175" fontId="9" fillId="44" borderId="89" xfId="10" applyNumberFormat="1" applyFont="1" applyFill="1" applyBorder="1" applyAlignment="1">
      <alignment vertical="center"/>
    </xf>
    <xf numFmtId="3" fontId="9" fillId="44" borderId="89" xfId="10" applyNumberFormat="1" applyFont="1" applyFill="1" applyBorder="1" applyAlignment="1">
      <alignment vertical="center"/>
    </xf>
    <xf numFmtId="3" fontId="9" fillId="44" borderId="70" xfId="10" applyNumberFormat="1" applyFont="1" applyFill="1" applyBorder="1" applyAlignment="1">
      <alignment vertical="center"/>
    </xf>
    <xf numFmtId="0" fontId="9" fillId="36" borderId="33" xfId="10" applyFont="1" applyFill="1" applyBorder="1" applyAlignment="1">
      <alignment vertical="center"/>
    </xf>
    <xf numFmtId="0" fontId="9" fillId="36" borderId="70" xfId="10" applyFont="1" applyFill="1" applyBorder="1" applyAlignment="1">
      <alignment vertical="center"/>
    </xf>
    <xf numFmtId="3" fontId="9" fillId="36" borderId="70" xfId="10" applyNumberFormat="1" applyFont="1" applyFill="1" applyBorder="1" applyAlignment="1">
      <alignment vertical="center"/>
    </xf>
    <xf numFmtId="3" fontId="58" fillId="0" borderId="0" xfId="10" applyNumberFormat="1" applyFont="1" applyAlignment="1">
      <alignment vertical="center"/>
    </xf>
    <xf numFmtId="14" fontId="9" fillId="36" borderId="70" xfId="10" applyNumberFormat="1" applyFont="1" applyFill="1" applyBorder="1" applyAlignment="1">
      <alignment vertical="center"/>
    </xf>
    <xf numFmtId="0" fontId="9" fillId="36" borderId="70" xfId="10" applyFont="1" applyFill="1" applyBorder="1" applyAlignment="1">
      <alignment horizontal="center" vertical="center"/>
    </xf>
    <xf numFmtId="0" fontId="9" fillId="36" borderId="74" xfId="10" applyFont="1" applyFill="1" applyBorder="1" applyAlignment="1">
      <alignment vertical="center"/>
    </xf>
    <xf numFmtId="0" fontId="1" fillId="43" borderId="109" xfId="6" applyFont="1" applyFill="1" applyBorder="1" applyAlignment="1">
      <alignment vertical="center"/>
    </xf>
    <xf numFmtId="0" fontId="1" fillId="43" borderId="110" xfId="6" applyFont="1" applyFill="1" applyBorder="1" applyAlignment="1">
      <alignment vertical="center"/>
    </xf>
    <xf numFmtId="175" fontId="1" fillId="43" borderId="110" xfId="6" applyNumberFormat="1" applyFont="1" applyFill="1" applyBorder="1" applyAlignment="1">
      <alignment vertical="center"/>
    </xf>
    <xf numFmtId="3" fontId="1" fillId="43" borderId="110" xfId="6" applyNumberFormat="1" applyFont="1" applyFill="1" applyBorder="1" applyAlignment="1">
      <alignment vertical="center"/>
    </xf>
    <xf numFmtId="3" fontId="1" fillId="43" borderId="104" xfId="6" applyNumberFormat="1" applyFont="1" applyFill="1" applyBorder="1" applyAlignment="1">
      <alignment vertical="center"/>
    </xf>
    <xf numFmtId="3" fontId="21" fillId="43" borderId="110" xfId="6" applyNumberFormat="1" applyFill="1" applyBorder="1" applyAlignment="1">
      <alignment vertical="center"/>
    </xf>
    <xf numFmtId="175" fontId="1" fillId="43" borderId="111" xfId="6" applyNumberFormat="1" applyFont="1" applyFill="1" applyBorder="1" applyAlignment="1">
      <alignment vertical="center"/>
    </xf>
    <xf numFmtId="0" fontId="59" fillId="0" borderId="100" xfId="10" applyFont="1" applyBorder="1" applyAlignment="1">
      <alignment vertical="center"/>
    </xf>
    <xf numFmtId="0" fontId="59" fillId="0" borderId="113" xfId="10" applyFont="1" applyBorder="1" applyAlignment="1">
      <alignment vertical="center"/>
    </xf>
    <xf numFmtId="0" fontId="59" fillId="0" borderId="114" xfId="10" applyFont="1" applyBorder="1" applyAlignment="1">
      <alignment vertical="center"/>
    </xf>
    <xf numFmtId="0" fontId="59" fillId="0" borderId="115" xfId="10" applyFont="1" applyBorder="1" applyAlignment="1">
      <alignment vertical="center"/>
    </xf>
    <xf numFmtId="0" fontId="59" fillId="0" borderId="116" xfId="10" applyFont="1" applyBorder="1" applyAlignment="1">
      <alignment vertical="center"/>
    </xf>
    <xf numFmtId="0" fontId="66" fillId="43" borderId="20" xfId="13" applyFont="1" applyFill="1" applyBorder="1" applyAlignment="1">
      <alignment horizontal="center" vertical="center" wrapText="1"/>
    </xf>
    <xf numFmtId="0" fontId="66" fillId="43" borderId="52" xfId="13" applyFont="1" applyFill="1" applyBorder="1" applyAlignment="1">
      <alignment horizontal="center" vertical="center" wrapText="1"/>
    </xf>
    <xf numFmtId="0" fontId="59" fillId="0" borderId="24" xfId="10" applyFont="1" applyBorder="1" applyAlignment="1">
      <alignment vertical="center"/>
    </xf>
    <xf numFmtId="0" fontId="59" fillId="0" borderId="20" xfId="10" applyFont="1" applyBorder="1" applyAlignment="1">
      <alignment vertical="center"/>
    </xf>
    <xf numFmtId="3" fontId="67" fillId="0" borderId="20" xfId="13" applyNumberFormat="1" applyFont="1" applyBorder="1" applyAlignment="1">
      <alignment horizontal="right" vertical="center" wrapText="1"/>
    </xf>
    <xf numFmtId="180" fontId="6" fillId="0" borderId="20" xfId="11" applyNumberFormat="1" applyBorder="1" applyAlignment="1">
      <alignment horizontal="right" vertical="center" wrapText="1"/>
    </xf>
    <xf numFmtId="3" fontId="67" fillId="0" borderId="20" xfId="14" applyNumberFormat="1" applyFont="1" applyBorder="1" applyAlignment="1">
      <alignment horizontal="right" vertical="center" wrapText="1"/>
    </xf>
    <xf numFmtId="180" fontId="6" fillId="0" borderId="52" xfId="11" applyNumberFormat="1" applyBorder="1" applyAlignment="1">
      <alignment horizontal="right" vertical="center" wrapText="1"/>
    </xf>
    <xf numFmtId="174" fontId="67" fillId="0" borderId="20" xfId="13" applyNumberFormat="1" applyFont="1" applyBorder="1" applyAlignment="1">
      <alignment horizontal="right" vertical="center" wrapText="1"/>
    </xf>
    <xf numFmtId="174" fontId="68" fillId="45" borderId="20" xfId="14" applyNumberFormat="1" applyFont="1" applyFill="1" applyBorder="1" applyAlignment="1">
      <alignment horizontal="right" vertical="center" wrapText="1"/>
    </xf>
    <xf numFmtId="180" fontId="68" fillId="45" borderId="20" xfId="14" applyNumberFormat="1" applyFont="1" applyFill="1" applyBorder="1" applyAlignment="1">
      <alignment horizontal="right" vertical="center" wrapText="1"/>
    </xf>
    <xf numFmtId="180" fontId="68" fillId="45" borderId="52" xfId="13" applyNumberFormat="1" applyFont="1" applyFill="1" applyBorder="1" applyAlignment="1">
      <alignment horizontal="right" vertical="center" wrapText="1"/>
    </xf>
    <xf numFmtId="0" fontId="24" fillId="43" borderId="54" xfId="12" applyFont="1" applyFill="1" applyBorder="1" applyAlignment="1">
      <alignment horizontal="center" vertical="center" wrapText="1"/>
    </xf>
    <xf numFmtId="0" fontId="24" fillId="43" borderId="89" xfId="12" applyFont="1" applyFill="1" applyBorder="1" applyAlignment="1">
      <alignment horizontal="center" vertical="center"/>
    </xf>
    <xf numFmtId="179" fontId="66" fillId="43" borderId="20" xfId="13" applyNumberFormat="1" applyFont="1" applyFill="1" applyBorder="1" applyAlignment="1">
      <alignment horizontal="center" vertical="center" wrapText="1"/>
    </xf>
    <xf numFmtId="179" fontId="66" fillId="43" borderId="52" xfId="13" applyNumberFormat="1" applyFont="1" applyFill="1" applyBorder="1" applyAlignment="1">
      <alignment horizontal="center" vertical="center" wrapText="1"/>
    </xf>
    <xf numFmtId="180" fontId="67" fillId="0" borderId="20" xfId="13" applyNumberFormat="1" applyFont="1" applyBorder="1" applyAlignment="1">
      <alignment horizontal="right" vertical="center" wrapText="1"/>
    </xf>
    <xf numFmtId="0" fontId="59" fillId="0" borderId="118" xfId="10" applyFont="1" applyBorder="1" applyAlignment="1">
      <alignment vertical="center"/>
    </xf>
    <xf numFmtId="0" fontId="59" fillId="0" borderId="119" xfId="10" applyFont="1" applyBorder="1" applyAlignment="1">
      <alignment vertical="center"/>
    </xf>
    <xf numFmtId="0" fontId="59" fillId="0" borderId="120" xfId="10" applyFont="1" applyBorder="1" applyAlignment="1">
      <alignment vertical="center"/>
    </xf>
    <xf numFmtId="0" fontId="59" fillId="0" borderId="121" xfId="10" applyFont="1" applyBorder="1" applyAlignment="1">
      <alignment vertical="center"/>
    </xf>
    <xf numFmtId="0" fontId="59" fillId="0" borderId="122" xfId="10" applyFont="1" applyBorder="1" applyAlignment="1">
      <alignment vertical="center"/>
    </xf>
    <xf numFmtId="0" fontId="70" fillId="0" borderId="116" xfId="10" applyFont="1" applyBorder="1" applyAlignment="1">
      <alignment vertical="center"/>
    </xf>
    <xf numFmtId="22" fontId="70" fillId="0" borderId="116" xfId="10" applyNumberFormat="1" applyFont="1" applyBorder="1" applyAlignment="1">
      <alignment vertical="center"/>
    </xf>
    <xf numFmtId="14" fontId="70" fillId="0" borderId="116" xfId="10" applyNumberFormat="1" applyFont="1" applyBorder="1" applyAlignment="1">
      <alignment vertical="center"/>
    </xf>
    <xf numFmtId="0" fontId="70" fillId="0" borderId="100" xfId="10" applyFont="1" applyBorder="1" applyAlignment="1">
      <alignment vertical="center"/>
    </xf>
    <xf numFmtId="0" fontId="1" fillId="36" borderId="0" xfId="15" applyFill="1"/>
    <xf numFmtId="0" fontId="67" fillId="36" borderId="0" xfId="16" applyFont="1" applyFill="1"/>
    <xf numFmtId="0" fontId="71" fillId="36" borderId="0" xfId="16" applyFont="1" applyFill="1"/>
    <xf numFmtId="0" fontId="68" fillId="43" borderId="50" xfId="16" applyFont="1" applyFill="1" applyBorder="1" applyAlignment="1">
      <alignment horizontal="right" vertical="center"/>
    </xf>
    <xf numFmtId="0" fontId="71" fillId="0" borderId="0" xfId="16" applyFont="1"/>
    <xf numFmtId="0" fontId="67" fillId="0" borderId="0" xfId="16" applyFont="1"/>
    <xf numFmtId="0" fontId="68" fillId="43" borderId="20" xfId="16" applyFont="1" applyFill="1" applyBorder="1" applyAlignment="1">
      <alignment horizontal="left" vertical="center"/>
    </xf>
    <xf numFmtId="0" fontId="67" fillId="36" borderId="20" xfId="16" applyFont="1" applyFill="1" applyBorder="1" applyAlignment="1">
      <alignment horizontal="right" vertical="center"/>
    </xf>
    <xf numFmtId="0" fontId="68" fillId="43" borderId="20" xfId="16" applyFont="1" applyFill="1" applyBorder="1" applyAlignment="1">
      <alignment vertical="center"/>
    </xf>
    <xf numFmtId="0" fontId="68" fillId="43" borderId="71" xfId="16" applyFont="1" applyFill="1" applyBorder="1" applyAlignment="1">
      <alignment vertical="center"/>
    </xf>
    <xf numFmtId="0" fontId="67" fillId="36" borderId="71" xfId="16" applyFont="1" applyFill="1" applyBorder="1" applyAlignment="1">
      <alignment horizontal="right" vertical="center"/>
    </xf>
    <xf numFmtId="0" fontId="1" fillId="36" borderId="0" xfId="17" applyFill="1"/>
    <xf numFmtId="14" fontId="1" fillId="36" borderId="20" xfId="17" applyNumberFormat="1" applyFill="1" applyBorder="1" applyAlignment="1">
      <alignment horizontal="right" vertical="center"/>
    </xf>
    <xf numFmtId="14" fontId="11" fillId="43" borderId="20" xfId="17" applyNumberFormat="1" applyFont="1" applyFill="1" applyBorder="1" applyAlignment="1">
      <alignment horizontal="left" vertical="center"/>
    </xf>
    <xf numFmtId="1" fontId="1" fillId="36" borderId="52" xfId="17" applyNumberFormat="1" applyFill="1" applyBorder="1" applyAlignment="1">
      <alignment horizontal="right" vertical="center"/>
    </xf>
    <xf numFmtId="177" fontId="67" fillId="36" borderId="20" xfId="17" applyNumberFormat="1" applyFont="1" applyFill="1" applyBorder="1"/>
    <xf numFmtId="178" fontId="67" fillId="36" borderId="52" xfId="17" applyNumberFormat="1" applyFont="1" applyFill="1" applyBorder="1"/>
    <xf numFmtId="177" fontId="67" fillId="45" borderId="42" xfId="17" applyNumberFormat="1" applyFont="1" applyFill="1" applyBorder="1"/>
    <xf numFmtId="178" fontId="67" fillId="45" borderId="55" xfId="17" applyNumberFormat="1" applyFont="1" applyFill="1" applyBorder="1"/>
    <xf numFmtId="0" fontId="11" fillId="43" borderId="54" xfId="17" applyFont="1" applyFill="1" applyBorder="1" applyAlignment="1">
      <alignment horizontal="center" vertical="center" wrapText="1"/>
    </xf>
    <xf numFmtId="0" fontId="11" fillId="43" borderId="89" xfId="17" applyFont="1" applyFill="1" applyBorder="1" applyAlignment="1">
      <alignment horizontal="center" vertical="center" wrapText="1"/>
    </xf>
    <xf numFmtId="0" fontId="11" fillId="43" borderId="91" xfId="17" applyFont="1" applyFill="1" applyBorder="1" applyAlignment="1">
      <alignment horizontal="center" vertical="center" wrapText="1"/>
    </xf>
    <xf numFmtId="0" fontId="72" fillId="36" borderId="24" xfId="17" applyFont="1" applyFill="1" applyBorder="1" applyAlignment="1">
      <alignment horizontal="center" vertical="center" wrapText="1"/>
    </xf>
    <xf numFmtId="0" fontId="72" fillId="36" borderId="20" xfId="17" applyFont="1" applyFill="1" applyBorder="1" applyAlignment="1">
      <alignment horizontal="center" vertical="center" wrapText="1"/>
    </xf>
    <xf numFmtId="14" fontId="72" fillId="36" borderId="20" xfId="17" applyNumberFormat="1" applyFont="1" applyFill="1" applyBorder="1" applyAlignment="1">
      <alignment horizontal="center" vertical="center" wrapText="1"/>
    </xf>
    <xf numFmtId="5" fontId="72" fillId="36" borderId="20" xfId="17" applyNumberFormat="1" applyFont="1" applyFill="1" applyBorder="1" applyAlignment="1">
      <alignment horizontal="center" vertical="center" wrapText="1"/>
    </xf>
    <xf numFmtId="0" fontId="72" fillId="36" borderId="52" xfId="17" applyFont="1" applyFill="1" applyBorder="1" applyAlignment="1">
      <alignment horizontal="center" vertical="center" wrapText="1"/>
    </xf>
    <xf numFmtId="0" fontId="72" fillId="36" borderId="41" xfId="17" applyFont="1" applyFill="1" applyBorder="1" applyAlignment="1">
      <alignment horizontal="center" vertical="center" wrapText="1"/>
    </xf>
    <xf numFmtId="0" fontId="72" fillId="36" borderId="42" xfId="17" applyFont="1" applyFill="1" applyBorder="1" applyAlignment="1">
      <alignment horizontal="center" vertical="center" wrapText="1"/>
    </xf>
    <xf numFmtId="14" fontId="72" fillId="36" borderId="42" xfId="17" applyNumberFormat="1" applyFont="1" applyFill="1" applyBorder="1" applyAlignment="1">
      <alignment horizontal="center" vertical="center" wrapText="1"/>
    </xf>
    <xf numFmtId="5" fontId="72" fillId="36" borderId="42" xfId="17" applyNumberFormat="1" applyFont="1" applyFill="1" applyBorder="1" applyAlignment="1">
      <alignment horizontal="center" vertical="center" wrapText="1"/>
    </xf>
    <xf numFmtId="0" fontId="72" fillId="36" borderId="55" xfId="17" applyFont="1" applyFill="1" applyBorder="1" applyAlignment="1">
      <alignment horizontal="center" vertical="center" wrapText="1"/>
    </xf>
    <xf numFmtId="0" fontId="1" fillId="36" borderId="0" xfId="17" applyFill="1" applyAlignment="1">
      <alignment wrapText="1"/>
    </xf>
    <xf numFmtId="0" fontId="11" fillId="43" borderId="49" xfId="17" applyFont="1" applyFill="1" applyBorder="1" applyAlignment="1">
      <alignment horizontal="center" vertical="center" wrapText="1"/>
    </xf>
    <xf numFmtId="0" fontId="11" fillId="43" borderId="50" xfId="17" applyFont="1" applyFill="1" applyBorder="1" applyAlignment="1">
      <alignment horizontal="center" vertical="center" wrapText="1"/>
    </xf>
    <xf numFmtId="0" fontId="1" fillId="36" borderId="0" xfId="17" applyFill="1" applyAlignment="1">
      <alignment horizontal="center"/>
    </xf>
    <xf numFmtId="1" fontId="72" fillId="36" borderId="24" xfId="17" applyNumberFormat="1" applyFont="1" applyFill="1" applyBorder="1" applyAlignment="1">
      <alignment horizontal="center" vertical="center" wrapText="1"/>
    </xf>
    <xf numFmtId="49" fontId="72" fillId="36" borderId="20" xfId="17" applyNumberFormat="1" applyFont="1" applyFill="1" applyBorder="1" applyAlignment="1">
      <alignment horizontal="center" vertical="center" wrapText="1"/>
    </xf>
    <xf numFmtId="1" fontId="72" fillId="36" borderId="41" xfId="17" applyNumberFormat="1" applyFont="1" applyFill="1" applyBorder="1" applyAlignment="1">
      <alignment horizontal="center" vertical="center" wrapText="1"/>
    </xf>
    <xf numFmtId="49" fontId="72" fillId="36" borderId="42" xfId="17" applyNumberFormat="1" applyFont="1" applyFill="1" applyBorder="1" applyAlignment="1">
      <alignment horizontal="center" vertical="center" wrapText="1"/>
    </xf>
    <xf numFmtId="0" fontId="67" fillId="36" borderId="0" xfId="18" applyFont="1" applyFill="1"/>
    <xf numFmtId="0" fontId="59" fillId="36" borderId="0" xfId="18" applyFont="1" applyFill="1"/>
    <xf numFmtId="0" fontId="59" fillId="36" borderId="0" xfId="18" applyFont="1" applyFill="1" applyAlignment="1">
      <alignment wrapText="1"/>
    </xf>
    <xf numFmtId="0" fontId="59" fillId="36" borderId="1" xfId="18" applyFont="1" applyFill="1" applyBorder="1"/>
    <xf numFmtId="0" fontId="59" fillId="36" borderId="0" xfId="18" applyFont="1" applyFill="1" applyBorder="1"/>
    <xf numFmtId="0" fontId="59" fillId="36" borderId="125" xfId="18" applyFont="1" applyFill="1" applyBorder="1"/>
    <xf numFmtId="0" fontId="68" fillId="43" borderId="24" xfId="18" applyFont="1" applyFill="1" applyBorder="1" applyAlignment="1">
      <alignment horizontal="center" vertical="center" wrapText="1"/>
    </xf>
    <xf numFmtId="0" fontId="68" fillId="43" borderId="20" xfId="18" applyFont="1" applyFill="1" applyBorder="1" applyAlignment="1">
      <alignment horizontal="center" vertical="center"/>
    </xf>
    <xf numFmtId="0" fontId="68" fillId="43" borderId="52" xfId="18" applyFont="1" applyFill="1" applyBorder="1" applyAlignment="1">
      <alignment horizontal="center" vertical="center"/>
    </xf>
    <xf numFmtId="0" fontId="59" fillId="36" borderId="24" xfId="18" applyFont="1" applyFill="1" applyBorder="1"/>
    <xf numFmtId="0" fontId="67" fillId="36" borderId="20" xfId="18" applyFont="1" applyFill="1" applyBorder="1" applyAlignment="1">
      <alignment horizontal="center" vertical="center"/>
    </xf>
    <xf numFmtId="14" fontId="67" fillId="36" borderId="20" xfId="18" applyNumberFormat="1" applyFont="1" applyFill="1" applyBorder="1" applyAlignment="1">
      <alignment horizontal="center" vertical="center"/>
    </xf>
    <xf numFmtId="0" fontId="67" fillId="36" borderId="52" xfId="18" applyFont="1" applyFill="1" applyBorder="1" applyAlignment="1">
      <alignment horizontal="center" vertical="center"/>
    </xf>
    <xf numFmtId="0" fontId="59" fillId="36" borderId="41" xfId="18" applyFont="1" applyFill="1" applyBorder="1"/>
    <xf numFmtId="0" fontId="67" fillId="36" borderId="42" xfId="18" applyFont="1" applyFill="1" applyBorder="1" applyAlignment="1">
      <alignment horizontal="center" vertical="center"/>
    </xf>
    <xf numFmtId="14" fontId="67" fillId="36" borderId="42" xfId="18" applyNumberFormat="1" applyFont="1" applyFill="1" applyBorder="1" applyAlignment="1">
      <alignment horizontal="center" vertical="center"/>
    </xf>
    <xf numFmtId="0" fontId="67" fillId="36" borderId="55" xfId="18" applyFont="1" applyFill="1" applyBorder="1" applyAlignment="1">
      <alignment horizontal="center" vertical="center"/>
    </xf>
    <xf numFmtId="0" fontId="1" fillId="0" borderId="33" xfId="19" applyFont="1" applyBorder="1" applyAlignment="1">
      <alignment vertical="center"/>
    </xf>
    <xf numFmtId="0" fontId="1" fillId="0" borderId="29" xfId="19" applyFont="1" applyBorder="1" applyAlignment="1">
      <alignment vertical="center"/>
    </xf>
    <xf numFmtId="0" fontId="11" fillId="43" borderId="20" xfId="19" applyFont="1" applyFill="1" applyBorder="1" applyAlignment="1">
      <alignment vertical="center" wrapText="1"/>
    </xf>
    <xf numFmtId="0" fontId="1" fillId="0" borderId="48" xfId="19" applyFont="1" applyBorder="1" applyAlignment="1">
      <alignment vertical="center"/>
    </xf>
    <xf numFmtId="0" fontId="11" fillId="43" borderId="20" xfId="19" applyFont="1" applyFill="1" applyBorder="1" applyAlignment="1">
      <alignment vertical="center"/>
    </xf>
    <xf numFmtId="0" fontId="67" fillId="36" borderId="52" xfId="18" applyFont="1" applyFill="1" applyBorder="1" applyAlignment="1">
      <alignment horizontal="right" vertical="center"/>
    </xf>
    <xf numFmtId="0" fontId="24" fillId="43" borderId="20" xfId="19" applyFont="1" applyFill="1" applyBorder="1" applyAlignment="1">
      <alignment horizontal="center" vertical="center" wrapText="1"/>
    </xf>
    <xf numFmtId="3" fontId="6" fillId="0" borderId="20" xfId="19" applyNumberFormat="1" applyBorder="1" applyAlignment="1">
      <alignment horizontal="right"/>
    </xf>
    <xf numFmtId="3" fontId="6" fillId="0" borderId="52" xfId="19" applyNumberFormat="1" applyBorder="1" applyAlignment="1">
      <alignment horizontal="right"/>
    </xf>
    <xf numFmtId="3" fontId="24" fillId="43" borderId="20" xfId="19" applyNumberFormat="1" applyFont="1" applyFill="1" applyBorder="1" applyAlignment="1">
      <alignment horizontal="right"/>
    </xf>
    <xf numFmtId="3" fontId="11" fillId="43" borderId="52" xfId="19" applyNumberFormat="1" applyFont="1" applyFill="1" applyBorder="1" applyAlignment="1">
      <alignment horizontal="right"/>
    </xf>
    <xf numFmtId="0" fontId="24" fillId="43" borderId="41" xfId="19" applyFont="1" applyFill="1" applyBorder="1"/>
    <xf numFmtId="0" fontId="24" fillId="43" borderId="42" xfId="19" applyFont="1" applyFill="1" applyBorder="1"/>
    <xf numFmtId="3" fontId="24" fillId="43" borderId="42" xfId="19" applyNumberFormat="1" applyFont="1" applyFill="1" applyBorder="1" applyAlignment="1">
      <alignment horizontal="right"/>
    </xf>
    <xf numFmtId="3" fontId="24" fillId="43" borderId="55" xfId="19" applyNumberFormat="1" applyFont="1" applyFill="1" applyBorder="1" applyAlignment="1">
      <alignment horizontal="right"/>
    </xf>
    <xf numFmtId="0" fontId="68" fillId="43" borderId="89" xfId="16" applyFont="1" applyFill="1" applyBorder="1" applyAlignment="1">
      <alignment horizontal="right" vertical="center"/>
    </xf>
    <xf numFmtId="0" fontId="67" fillId="36" borderId="24" xfId="16" applyFont="1" applyFill="1" applyBorder="1"/>
    <xf numFmtId="0" fontId="68" fillId="43" borderId="20" xfId="16" applyFont="1" applyFill="1" applyBorder="1" applyAlignment="1">
      <alignment horizontal="right" vertical="center"/>
    </xf>
    <xf numFmtId="0" fontId="67" fillId="36" borderId="1" xfId="16" applyFont="1" applyFill="1" applyBorder="1"/>
    <xf numFmtId="0" fontId="63" fillId="46" borderId="20" xfId="16" applyFont="1" applyFill="1" applyBorder="1" applyAlignment="1">
      <alignment horizontal="left" vertical="center"/>
    </xf>
    <xf numFmtId="0" fontId="64" fillId="46" borderId="20" xfId="16" applyFont="1" applyFill="1" applyBorder="1" applyAlignment="1">
      <alignment horizontal="center" vertical="center"/>
    </xf>
    <xf numFmtId="0" fontId="67" fillId="36" borderId="0" xfId="16" applyFont="1" applyFill="1" applyAlignment="1">
      <alignment wrapText="1"/>
    </xf>
    <xf numFmtId="0" fontId="68" fillId="43" borderId="20" xfId="16" applyFont="1" applyFill="1" applyBorder="1" applyAlignment="1">
      <alignment vertical="center" wrapText="1"/>
    </xf>
    <xf numFmtId="0" fontId="67" fillId="36" borderId="20" xfId="16" applyFont="1" applyFill="1" applyBorder="1" applyAlignment="1">
      <alignment horizontal="right" vertical="center" wrapText="1"/>
    </xf>
    <xf numFmtId="14" fontId="67" fillId="36" borderId="20" xfId="16" applyNumberFormat="1" applyFont="1" applyFill="1" applyBorder="1" applyAlignment="1">
      <alignment horizontal="right" vertical="center"/>
    </xf>
    <xf numFmtId="15" fontId="67" fillId="36" borderId="20" xfId="16" applyNumberFormat="1" applyFont="1" applyFill="1" applyBorder="1" applyAlignment="1">
      <alignment horizontal="right" vertical="center"/>
    </xf>
    <xf numFmtId="22" fontId="67" fillId="36" borderId="20" xfId="16" applyNumberFormat="1" applyFont="1" applyFill="1" applyBorder="1" applyAlignment="1">
      <alignment horizontal="right" vertical="center"/>
    </xf>
    <xf numFmtId="0" fontId="9" fillId="0" borderId="70" xfId="10" applyFont="1" applyFill="1" applyBorder="1" applyAlignment="1">
      <alignment vertical="center"/>
    </xf>
    <xf numFmtId="3" fontId="9" fillId="0" borderId="70" xfId="10" applyNumberFormat="1" applyFont="1" applyFill="1" applyBorder="1" applyAlignment="1">
      <alignment vertical="center"/>
    </xf>
    <xf numFmtId="3" fontId="9" fillId="0" borderId="89" xfId="10" applyNumberFormat="1" applyFont="1" applyFill="1" applyBorder="1" applyAlignment="1">
      <alignment vertical="center"/>
    </xf>
    <xf numFmtId="3" fontId="58" fillId="0" borderId="0" xfId="10" applyNumberFormat="1" applyFont="1" applyFill="1" applyBorder="1" applyAlignment="1">
      <alignment vertical="center"/>
    </xf>
    <xf numFmtId="14" fontId="9" fillId="0" borderId="70" xfId="10" applyNumberFormat="1" applyFont="1" applyFill="1" applyBorder="1" applyAlignment="1">
      <alignment vertical="center"/>
    </xf>
    <xf numFmtId="0" fontId="9" fillId="36" borderId="70" xfId="10" applyNumberFormat="1" applyFont="1" applyFill="1" applyBorder="1" applyAlignment="1">
      <alignment horizontal="center" vertical="center"/>
    </xf>
    <xf numFmtId="0" fontId="9" fillId="44" borderId="89" xfId="10" applyNumberFormat="1" applyFont="1" applyFill="1" applyBorder="1" applyAlignment="1">
      <alignment vertical="center"/>
    </xf>
    <xf numFmtId="0" fontId="9" fillId="36" borderId="89" xfId="10" applyNumberFormat="1" applyFont="1" applyFill="1" applyBorder="1" applyAlignment="1">
      <alignment vertical="center"/>
    </xf>
    <xf numFmtId="165" fontId="3" fillId="10" borderId="5" xfId="1" applyNumberFormat="1" applyFont="1" applyFill="1" applyBorder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9" fillId="36" borderId="0" xfId="9" applyFont="1" applyFill="1" applyProtection="1">
      <protection locked="0"/>
    </xf>
    <xf numFmtId="0" fontId="9" fillId="36" borderId="0" xfId="9" applyFont="1" applyFill="1" applyAlignment="1" applyProtection="1">
      <alignment horizontal="center"/>
      <protection locked="0"/>
    </xf>
    <xf numFmtId="0" fontId="3" fillId="3" borderId="15" xfId="0" applyFont="1" applyFill="1" applyBorder="1" applyAlignment="1" applyProtection="1">
      <alignment wrapText="1"/>
      <protection locked="0"/>
    </xf>
    <xf numFmtId="0" fontId="3" fillId="3" borderId="18" xfId="0" applyFont="1" applyFill="1" applyBorder="1" applyAlignment="1" applyProtection="1">
      <alignment wrapText="1"/>
      <protection locked="0"/>
    </xf>
    <xf numFmtId="0" fontId="3" fillId="3" borderId="19" xfId="0" applyFont="1" applyFill="1" applyBorder="1" applyAlignment="1" applyProtection="1">
      <alignment wrapText="1"/>
      <protection locked="0"/>
    </xf>
    <xf numFmtId="0" fontId="4" fillId="4" borderId="4" xfId="0" applyFont="1" applyFill="1" applyBorder="1" applyAlignment="1" applyProtection="1">
      <alignment wrapText="1"/>
      <protection locked="0"/>
    </xf>
    <xf numFmtId="0" fontId="9" fillId="36" borderId="0" xfId="9" applyFont="1" applyFill="1" applyAlignment="1" applyProtection="1">
      <alignment vertical="center"/>
      <protection locked="0"/>
    </xf>
    <xf numFmtId="174" fontId="9" fillId="36" borderId="0" xfId="9" applyNumberFormat="1" applyFont="1" applyFill="1" applyAlignment="1" applyProtection="1">
      <alignment vertical="center"/>
      <protection locked="0"/>
    </xf>
    <xf numFmtId="0" fontId="7" fillId="4" borderId="4" xfId="0" applyFont="1" applyFill="1" applyBorder="1" applyAlignment="1" applyProtection="1">
      <alignment wrapText="1"/>
      <protection locked="0"/>
    </xf>
    <xf numFmtId="174" fontId="9" fillId="36" borderId="0" xfId="9" applyNumberFormat="1" applyFont="1" applyFill="1" applyProtection="1">
      <protection locked="0"/>
    </xf>
    <xf numFmtId="0" fontId="0" fillId="0" borderId="1" xfId="0" applyBorder="1" applyAlignment="1" applyProtection="1">
      <protection locked="0"/>
    </xf>
    <xf numFmtId="0" fontId="4" fillId="4" borderId="12" xfId="0" applyFont="1" applyFill="1" applyBorder="1" applyAlignment="1" applyProtection="1">
      <alignment wrapText="1"/>
      <protection locked="0"/>
    </xf>
    <xf numFmtId="0" fontId="8" fillId="0" borderId="0" xfId="0" applyFont="1" applyBorder="1" applyProtection="1">
      <protection locked="0"/>
    </xf>
    <xf numFmtId="0" fontId="4" fillId="4" borderId="4" xfId="0" applyFont="1" applyFill="1" applyBorder="1" applyAlignment="1" applyProtection="1">
      <alignment horizontal="left" wrapText="1"/>
      <protection locked="0"/>
    </xf>
    <xf numFmtId="0" fontId="8" fillId="0" borderId="0" xfId="0" applyFont="1" applyBorder="1" applyAlignment="1" applyProtection="1">
      <alignment wrapText="1"/>
      <protection locked="0"/>
    </xf>
    <xf numFmtId="0" fontId="3" fillId="10" borderId="12" xfId="0" applyFont="1" applyFill="1" applyBorder="1" applyAlignment="1" applyProtection="1">
      <alignment wrapText="1"/>
      <protection locked="0"/>
    </xf>
    <xf numFmtId="0" fontId="9" fillId="0" borderId="0" xfId="0" applyFont="1" applyProtection="1">
      <protection locked="0"/>
    </xf>
    <xf numFmtId="0" fontId="0" fillId="0" borderId="20" xfId="0" applyBorder="1" applyProtection="1">
      <protection locked="0"/>
    </xf>
    <xf numFmtId="0" fontId="3" fillId="11" borderId="20" xfId="2" applyFont="1" applyFill="1" applyBorder="1" applyAlignment="1" applyProtection="1">
      <alignment horizontal="left" wrapText="1"/>
      <protection locked="0"/>
    </xf>
    <xf numFmtId="0" fontId="24" fillId="43" borderId="24" xfId="12" applyFont="1" applyFill="1" applyBorder="1" applyAlignment="1">
      <alignment horizontal="left" vertical="center"/>
    </xf>
    <xf numFmtId="0" fontId="24" fillId="43" borderId="20" xfId="12" applyFont="1" applyFill="1" applyBorder="1" applyAlignment="1">
      <alignment horizontal="left" vertical="center"/>
    </xf>
    <xf numFmtId="177" fontId="59" fillId="0" borderId="30" xfId="10" applyNumberFormat="1" applyFont="1" applyBorder="1" applyAlignment="1">
      <alignment horizontal="right" vertical="center"/>
    </xf>
    <xf numFmtId="177" fontId="59" fillId="0" borderId="31" xfId="10" applyNumberFormat="1" applyFont="1" applyBorder="1" applyAlignment="1">
      <alignment horizontal="right" vertical="center"/>
    </xf>
    <xf numFmtId="177" fontId="59" fillId="0" borderId="32" xfId="10" applyNumberFormat="1" applyFont="1" applyBorder="1" applyAlignment="1">
      <alignment horizontal="right" vertical="center"/>
    </xf>
    <xf numFmtId="0" fontId="24" fillId="43" borderId="41" xfId="12" applyFont="1" applyFill="1" applyBorder="1" applyAlignment="1">
      <alignment horizontal="left" vertical="center"/>
    </xf>
    <xf numFmtId="0" fontId="24" fillId="43" borderId="42" xfId="12" applyFont="1" applyFill="1" applyBorder="1" applyAlignment="1">
      <alignment horizontal="left" vertical="center"/>
    </xf>
    <xf numFmtId="181" fontId="59" fillId="0" borderId="43" xfId="10" applyNumberFormat="1" applyFont="1" applyBorder="1" applyAlignment="1">
      <alignment vertical="center"/>
    </xf>
    <xf numFmtId="181" fontId="59" fillId="0" borderId="44" xfId="10" applyNumberFormat="1" applyFont="1" applyBorder="1" applyAlignment="1">
      <alignment vertical="center"/>
    </xf>
    <xf numFmtId="181" fontId="59" fillId="0" borderId="96" xfId="10" applyNumberFormat="1" applyFont="1" applyBorder="1" applyAlignment="1">
      <alignment vertical="center"/>
    </xf>
    <xf numFmtId="0" fontId="59" fillId="0" borderId="20" xfId="10" applyFont="1" applyBorder="1" applyAlignment="1">
      <alignment vertical="center" wrapText="1"/>
    </xf>
    <xf numFmtId="0" fontId="59" fillId="0" borderId="52" xfId="10" applyFont="1" applyBorder="1" applyAlignment="1">
      <alignment vertical="center" wrapText="1"/>
    </xf>
    <xf numFmtId="0" fontId="59" fillId="0" borderId="42" xfId="13" applyFont="1" applyBorder="1" applyAlignment="1">
      <alignment vertical="center"/>
    </xf>
    <xf numFmtId="0" fontId="59" fillId="0" borderId="55" xfId="13" applyFont="1" applyBorder="1" applyAlignment="1">
      <alignment vertical="center"/>
    </xf>
    <xf numFmtId="0" fontId="69" fillId="38" borderId="61" xfId="12" applyFont="1" applyFill="1" applyBorder="1" applyAlignment="1">
      <alignment horizontal="center" vertical="center"/>
    </xf>
    <xf numFmtId="0" fontId="69" fillId="38" borderId="84" xfId="12" applyFont="1" applyFill="1" applyBorder="1" applyAlignment="1">
      <alignment horizontal="center" vertical="center"/>
    </xf>
    <xf numFmtId="0" fontId="69" fillId="38" borderId="93" xfId="12" applyFont="1" applyFill="1" applyBorder="1" applyAlignment="1">
      <alignment horizontal="center" vertical="center"/>
    </xf>
    <xf numFmtId="0" fontId="24" fillId="43" borderId="54" xfId="12" applyFont="1" applyFill="1" applyBorder="1" applyAlignment="1">
      <alignment horizontal="left" vertical="center"/>
    </xf>
    <xf numFmtId="0" fontId="24" fillId="43" borderId="89" xfId="12" applyFont="1" applyFill="1" applyBorder="1" applyAlignment="1">
      <alignment horizontal="left" vertical="center"/>
    </xf>
    <xf numFmtId="0" fontId="59" fillId="0" borderId="37" xfId="10" applyFont="1" applyBorder="1" applyAlignment="1">
      <alignment horizontal="right" vertical="center"/>
    </xf>
    <xf numFmtId="0" fontId="59" fillId="0" borderId="35" xfId="10" applyFont="1" applyBorder="1" applyAlignment="1">
      <alignment horizontal="right" vertical="center"/>
    </xf>
    <xf numFmtId="0" fontId="59" fillId="0" borderId="36" xfId="10" applyFont="1" applyBorder="1" applyAlignment="1">
      <alignment horizontal="right" vertical="center"/>
    </xf>
    <xf numFmtId="0" fontId="63" fillId="42" borderId="54" xfId="12" applyFont="1" applyFill="1" applyBorder="1" applyAlignment="1">
      <alignment horizontal="center" vertical="center"/>
    </xf>
    <xf numFmtId="0" fontId="63" fillId="42" borderId="89" xfId="12" applyFont="1" applyFill="1" applyBorder="1" applyAlignment="1">
      <alignment horizontal="center" vertical="center"/>
    </xf>
    <xf numFmtId="0" fontId="63" fillId="42" borderId="91" xfId="12" applyFont="1" applyFill="1" applyBorder="1" applyAlignment="1">
      <alignment horizontal="center" vertical="center"/>
    </xf>
    <xf numFmtId="0" fontId="59" fillId="0" borderId="20" xfId="10" applyFont="1" applyBorder="1" applyAlignment="1">
      <alignment vertical="center"/>
    </xf>
    <xf numFmtId="0" fontId="24" fillId="43" borderId="30" xfId="12" applyFont="1" applyFill="1" applyBorder="1" applyAlignment="1">
      <alignment horizontal="left" vertical="center"/>
    </xf>
    <xf numFmtId="0" fontId="24" fillId="43" borderId="32" xfId="12" applyFont="1" applyFill="1" applyBorder="1" applyAlignment="1">
      <alignment horizontal="left" vertical="center"/>
    </xf>
    <xf numFmtId="0" fontId="59" fillId="0" borderId="52" xfId="10" applyFont="1" applyBorder="1" applyAlignment="1">
      <alignment vertical="center"/>
    </xf>
    <xf numFmtId="180" fontId="6" fillId="0" borderId="30" xfId="11" applyNumberFormat="1" applyBorder="1" applyAlignment="1">
      <alignment horizontal="right" vertical="center" wrapText="1"/>
    </xf>
    <xf numFmtId="180" fontId="6" fillId="0" borderId="32" xfId="11" applyNumberFormat="1" applyBorder="1" applyAlignment="1">
      <alignment horizontal="right" vertical="center" wrapText="1"/>
    </xf>
    <xf numFmtId="0" fontId="24" fillId="45" borderId="24" xfId="12" applyFont="1" applyFill="1" applyBorder="1" applyAlignment="1">
      <alignment horizontal="center" vertical="center"/>
    </xf>
    <xf numFmtId="0" fontId="24" fillId="45" borderId="20" xfId="12" applyFont="1" applyFill="1" applyBorder="1" applyAlignment="1">
      <alignment horizontal="center" vertical="center"/>
    </xf>
    <xf numFmtId="180" fontId="68" fillId="45" borderId="30" xfId="14" applyNumberFormat="1" applyFont="1" applyFill="1" applyBorder="1" applyAlignment="1">
      <alignment horizontal="right" vertical="center" wrapText="1"/>
    </xf>
    <xf numFmtId="180" fontId="68" fillId="45" borderId="32" xfId="14" applyNumberFormat="1" applyFont="1" applyFill="1" applyBorder="1" applyAlignment="1">
      <alignment horizontal="right" vertical="center" wrapText="1"/>
    </xf>
    <xf numFmtId="0" fontId="24" fillId="43" borderId="117" xfId="12" applyFont="1" applyFill="1" applyBorder="1" applyAlignment="1">
      <alignment horizontal="left" vertical="center"/>
    </xf>
    <xf numFmtId="0" fontId="24" fillId="43" borderId="96" xfId="12" applyFont="1" applyFill="1" applyBorder="1" applyAlignment="1">
      <alignment horizontal="left" vertical="center"/>
    </xf>
    <xf numFmtId="0" fontId="59" fillId="0" borderId="43" xfId="13" applyFont="1" applyBorder="1" applyAlignment="1">
      <alignment horizontal="right" vertical="center" wrapText="1"/>
    </xf>
    <xf numFmtId="0" fontId="59" fillId="0" borderId="44" xfId="13" applyFont="1" applyBorder="1" applyAlignment="1">
      <alignment horizontal="right" vertical="center" wrapText="1"/>
    </xf>
    <xf numFmtId="0" fontId="59" fillId="0" borderId="45" xfId="13" applyFont="1" applyBorder="1" applyAlignment="1">
      <alignment horizontal="right" vertical="center" wrapText="1"/>
    </xf>
    <xf numFmtId="0" fontId="63" fillId="42" borderId="24" xfId="12" applyFont="1" applyFill="1" applyBorder="1" applyAlignment="1">
      <alignment horizontal="center" vertical="center"/>
    </xf>
    <xf numFmtId="0" fontId="63" fillId="42" borderId="20" xfId="12" applyFont="1" applyFill="1" applyBorder="1" applyAlignment="1">
      <alignment horizontal="center" vertical="center"/>
    </xf>
    <xf numFmtId="0" fontId="63" fillId="42" borderId="52" xfId="12" applyFont="1" applyFill="1" applyBorder="1" applyAlignment="1">
      <alignment horizontal="center" vertical="center"/>
    </xf>
    <xf numFmtId="0" fontId="66" fillId="43" borderId="30" xfId="13" applyFont="1" applyFill="1" applyBorder="1" applyAlignment="1">
      <alignment horizontal="center" vertical="center" wrapText="1"/>
    </xf>
    <xf numFmtId="0" fontId="66" fillId="43" borderId="32" xfId="13" applyFont="1" applyFill="1" applyBorder="1" applyAlignment="1">
      <alignment horizontal="center" vertical="center" wrapText="1"/>
    </xf>
    <xf numFmtId="0" fontId="24" fillId="43" borderId="53" xfId="12" applyFont="1" applyFill="1" applyBorder="1" applyAlignment="1">
      <alignment horizontal="center" vertical="center" wrapText="1"/>
    </xf>
    <xf numFmtId="0" fontId="24" fillId="43" borderId="54" xfId="12" applyFont="1" applyFill="1" applyBorder="1" applyAlignment="1">
      <alignment horizontal="center" vertical="center" wrapText="1"/>
    </xf>
    <xf numFmtId="0" fontId="24" fillId="43" borderId="71" xfId="12" applyFont="1" applyFill="1" applyBorder="1" applyAlignment="1">
      <alignment horizontal="center" vertical="center"/>
    </xf>
    <xf numFmtId="0" fontId="24" fillId="43" borderId="89" xfId="12" applyFont="1" applyFill="1" applyBorder="1" applyAlignment="1">
      <alignment horizontal="center" vertical="center"/>
    </xf>
    <xf numFmtId="179" fontId="64" fillId="43" borderId="30" xfId="12" applyNumberFormat="1" applyFont="1" applyFill="1" applyBorder="1" applyAlignment="1">
      <alignment horizontal="center" vertical="center"/>
    </xf>
    <xf numFmtId="179" fontId="64" fillId="43" borderId="32" xfId="12" applyNumberFormat="1" applyFont="1" applyFill="1" applyBorder="1" applyAlignment="1">
      <alignment horizontal="center" vertical="center"/>
    </xf>
    <xf numFmtId="179" fontId="64" fillId="43" borderId="40" xfId="12" applyNumberFormat="1" applyFont="1" applyFill="1" applyBorder="1" applyAlignment="1">
      <alignment horizontal="center" vertical="center"/>
    </xf>
    <xf numFmtId="0" fontId="24" fillId="43" borderId="53" xfId="12" applyFont="1" applyFill="1" applyBorder="1" applyAlignment="1">
      <alignment horizontal="left" vertical="center"/>
    </xf>
    <xf numFmtId="0" fontId="24" fillId="43" borderId="71" xfId="12" applyFont="1" applyFill="1" applyBorder="1" applyAlignment="1">
      <alignment horizontal="left" vertical="center"/>
    </xf>
    <xf numFmtId="178" fontId="6" fillId="0" borderId="71" xfId="12" applyNumberFormat="1" applyFont="1" applyBorder="1" applyAlignment="1">
      <alignment horizontal="right" vertical="center"/>
    </xf>
    <xf numFmtId="0" fontId="24" fillId="43" borderId="43" xfId="12" applyFont="1" applyFill="1" applyBorder="1" applyAlignment="1">
      <alignment horizontal="left" vertical="center"/>
    </xf>
    <xf numFmtId="178" fontId="6" fillId="0" borderId="97" xfId="12" applyNumberFormat="1" applyFont="1" applyBorder="1" applyAlignment="1">
      <alignment horizontal="right" vertical="center"/>
    </xf>
    <xf numFmtId="0" fontId="63" fillId="38" borderId="101" xfId="12" applyFont="1" applyFill="1" applyBorder="1" applyAlignment="1">
      <alignment horizontal="center" vertical="center"/>
    </xf>
    <xf numFmtId="0" fontId="63" fillId="38" borderId="102" xfId="12" applyFont="1" applyFill="1" applyBorder="1" applyAlignment="1">
      <alignment horizontal="center" vertical="center"/>
    </xf>
    <xf numFmtId="0" fontId="63" fillId="38" borderId="95" xfId="12" applyFont="1" applyFill="1" applyBorder="1" applyAlignment="1">
      <alignment horizontal="center" vertical="center"/>
    </xf>
    <xf numFmtId="178" fontId="6" fillId="0" borderId="20" xfId="12" applyNumberFormat="1" applyFont="1" applyBorder="1" applyAlignment="1">
      <alignment horizontal="right" vertical="center"/>
    </xf>
    <xf numFmtId="178" fontId="6" fillId="0" borderId="52" xfId="12" applyNumberFormat="1" applyFont="1" applyBorder="1" applyAlignment="1">
      <alignment horizontal="right" vertical="center"/>
    </xf>
    <xf numFmtId="177" fontId="6" fillId="0" borderId="20" xfId="12" applyNumberFormat="1" applyFont="1" applyBorder="1" applyAlignment="1">
      <alignment horizontal="right" vertical="center" wrapText="1"/>
    </xf>
    <xf numFmtId="177" fontId="6" fillId="0" borderId="52" xfId="12" applyNumberFormat="1" applyFont="1" applyBorder="1" applyAlignment="1">
      <alignment horizontal="right" vertical="center" wrapText="1"/>
    </xf>
    <xf numFmtId="0" fontId="6" fillId="0" borderId="20" xfId="12" applyFont="1" applyBorder="1" applyAlignment="1">
      <alignment horizontal="left" vertical="center" wrapText="1"/>
    </xf>
    <xf numFmtId="0" fontId="6" fillId="0" borderId="52" xfId="12" applyFont="1" applyBorder="1" applyAlignment="1">
      <alignment horizontal="left" vertical="center" wrapText="1"/>
    </xf>
    <xf numFmtId="14" fontId="6" fillId="0" borderId="20" xfId="12" applyNumberFormat="1" applyFont="1" applyBorder="1" applyAlignment="1">
      <alignment horizontal="right" vertical="center" wrapText="1"/>
    </xf>
    <xf numFmtId="0" fontId="6" fillId="0" borderId="20" xfId="12" applyFont="1" applyBorder="1" applyAlignment="1">
      <alignment horizontal="right" vertical="center" wrapText="1"/>
    </xf>
    <xf numFmtId="0" fontId="6" fillId="0" borderId="52" xfId="12" applyFont="1" applyBorder="1" applyAlignment="1">
      <alignment horizontal="right" vertical="center" wrapText="1"/>
    </xf>
    <xf numFmtId="0" fontId="62" fillId="0" borderId="20" xfId="10" applyFont="1" applyBorder="1" applyAlignment="1">
      <alignment horizontal="right" vertical="center" wrapText="1"/>
    </xf>
    <xf numFmtId="0" fontId="62" fillId="0" borderId="52" xfId="10" applyFont="1" applyBorder="1" applyAlignment="1">
      <alignment horizontal="right" vertical="center" wrapText="1"/>
    </xf>
    <xf numFmtId="22" fontId="62" fillId="0" borderId="20" xfId="10" applyNumberFormat="1" applyFont="1" applyBorder="1" applyAlignment="1">
      <alignment horizontal="right" vertical="center" wrapText="1"/>
    </xf>
    <xf numFmtId="22" fontId="62" fillId="0" borderId="52" xfId="10" applyNumberFormat="1" applyFont="1" applyBorder="1" applyAlignment="1">
      <alignment horizontal="right" vertical="center" wrapText="1"/>
    </xf>
    <xf numFmtId="0" fontId="61" fillId="38" borderId="101" xfId="12" applyFont="1" applyFill="1" applyBorder="1" applyAlignment="1">
      <alignment horizontal="center" vertical="center"/>
    </xf>
    <xf numFmtId="0" fontId="61" fillId="38" borderId="102" xfId="12" applyFont="1" applyFill="1" applyBorder="1" applyAlignment="1">
      <alignment horizontal="center" vertical="center"/>
    </xf>
    <xf numFmtId="0" fontId="61" fillId="38" borderId="95" xfId="12" applyFont="1" applyFill="1" applyBorder="1" applyAlignment="1">
      <alignment horizontal="center" vertical="center"/>
    </xf>
    <xf numFmtId="0" fontId="62" fillId="0" borderId="89" xfId="10" applyFont="1" applyBorder="1" applyAlignment="1">
      <alignment horizontal="right" vertical="center" wrapText="1"/>
    </xf>
    <xf numFmtId="0" fontId="24" fillId="43" borderId="37" xfId="12" applyFont="1" applyFill="1" applyBorder="1" applyAlignment="1">
      <alignment horizontal="left" vertical="center"/>
    </xf>
    <xf numFmtId="0" fontId="24" fillId="43" borderId="36" xfId="12" applyFont="1" applyFill="1" applyBorder="1" applyAlignment="1">
      <alignment horizontal="left" vertical="center"/>
    </xf>
    <xf numFmtId="0" fontId="62" fillId="0" borderId="91" xfId="10" applyFont="1" applyBorder="1" applyAlignment="1">
      <alignment horizontal="right" vertical="center" wrapText="1"/>
    </xf>
    <xf numFmtId="177" fontId="62" fillId="0" borderId="20" xfId="10" applyNumberFormat="1" applyFont="1" applyBorder="1" applyAlignment="1">
      <alignment horizontal="right" vertical="center" wrapText="1"/>
    </xf>
    <xf numFmtId="177" fontId="62" fillId="0" borderId="52" xfId="10" applyNumberFormat="1" applyFont="1" applyBorder="1" applyAlignment="1">
      <alignment horizontal="right" vertical="center" wrapText="1"/>
    </xf>
    <xf numFmtId="0" fontId="67" fillId="0" borderId="41" xfId="16" applyFont="1" applyBorder="1"/>
    <xf numFmtId="0" fontId="67" fillId="0" borderId="42" xfId="16" applyFont="1" applyBorder="1"/>
    <xf numFmtId="0" fontId="67" fillId="0" borderId="55" xfId="16" applyFont="1" applyBorder="1"/>
    <xf numFmtId="0" fontId="67" fillId="36" borderId="30" xfId="16" applyFont="1" applyFill="1" applyBorder="1" applyAlignment="1">
      <alignment horizontal="right" vertical="center"/>
    </xf>
    <xf numFmtId="0" fontId="67" fillId="36" borderId="32" xfId="16" applyFont="1" applyFill="1" applyBorder="1" applyAlignment="1">
      <alignment horizontal="right" vertical="center"/>
    </xf>
    <xf numFmtId="0" fontId="67" fillId="36" borderId="40" xfId="16" applyFont="1" applyFill="1" applyBorder="1" applyAlignment="1">
      <alignment horizontal="right" vertical="center"/>
    </xf>
    <xf numFmtId="0" fontId="67" fillId="36" borderId="53" xfId="16" applyFont="1" applyFill="1" applyBorder="1" applyAlignment="1">
      <alignment horizontal="center"/>
    </xf>
    <xf numFmtId="0" fontId="67" fillId="36" borderId="123" xfId="16" applyFont="1" applyFill="1" applyBorder="1" applyAlignment="1">
      <alignment horizontal="center"/>
    </xf>
    <xf numFmtId="0" fontId="67" fillId="36" borderId="54" xfId="16" applyFont="1" applyFill="1" applyBorder="1" applyAlignment="1">
      <alignment horizontal="center"/>
    </xf>
    <xf numFmtId="0" fontId="51" fillId="38" borderId="101" xfId="16" applyFont="1" applyFill="1" applyBorder="1" applyAlignment="1">
      <alignment horizontal="center" vertical="center"/>
    </xf>
    <xf numFmtId="0" fontId="51" fillId="38" borderId="102" xfId="16" applyFont="1" applyFill="1" applyBorder="1" applyAlignment="1">
      <alignment horizontal="center" vertical="center"/>
    </xf>
    <xf numFmtId="0" fontId="51" fillId="38" borderId="95" xfId="16" applyFont="1" applyFill="1" applyBorder="1" applyAlignment="1">
      <alignment horizontal="center" vertical="center"/>
    </xf>
    <xf numFmtId="0" fontId="68" fillId="43" borderId="49" xfId="16" applyFont="1" applyFill="1" applyBorder="1" applyAlignment="1">
      <alignment horizontal="left" vertical="center"/>
    </xf>
    <xf numFmtId="0" fontId="68" fillId="43" borderId="50" xfId="16" applyFont="1" applyFill="1" applyBorder="1" applyAlignment="1">
      <alignment horizontal="left" vertical="center"/>
    </xf>
    <xf numFmtId="0" fontId="67" fillId="36" borderId="50" xfId="16" applyFont="1" applyFill="1" applyBorder="1" applyAlignment="1">
      <alignment horizontal="center" vertical="center"/>
    </xf>
    <xf numFmtId="0" fontId="67" fillId="36" borderId="51" xfId="16" applyFont="1" applyFill="1" applyBorder="1" applyAlignment="1">
      <alignment horizontal="center" vertical="center"/>
    </xf>
    <xf numFmtId="0" fontId="67" fillId="0" borderId="24" xfId="16" applyFont="1" applyBorder="1"/>
    <xf numFmtId="0" fontId="67" fillId="0" borderId="20" xfId="16" applyFont="1" applyBorder="1"/>
    <xf numFmtId="0" fontId="67" fillId="0" borderId="52" xfId="16" applyFont="1" applyBorder="1"/>
    <xf numFmtId="0" fontId="72" fillId="36" borderId="42" xfId="17" applyFont="1" applyFill="1" applyBorder="1" applyAlignment="1">
      <alignment horizontal="center" vertical="center" wrapText="1"/>
    </xf>
    <xf numFmtId="0" fontId="72" fillId="36" borderId="55" xfId="17" applyFont="1" applyFill="1" applyBorder="1" applyAlignment="1">
      <alignment horizontal="center" vertical="center" wrapText="1"/>
    </xf>
    <xf numFmtId="0" fontId="11" fillId="43" borderId="24" xfId="17" applyFont="1" applyFill="1" applyBorder="1"/>
    <xf numFmtId="0" fontId="11" fillId="43" borderId="20" xfId="17" applyFont="1" applyFill="1" applyBorder="1"/>
    <xf numFmtId="0" fontId="11" fillId="43" borderId="41" xfId="17" applyFont="1" applyFill="1" applyBorder="1"/>
    <xf numFmtId="0" fontId="11" fillId="43" borderId="42" xfId="17" applyFont="1" applyFill="1" applyBorder="1"/>
    <xf numFmtId="0" fontId="57" fillId="38" borderId="101" xfId="17" applyFont="1" applyFill="1" applyBorder="1" applyAlignment="1">
      <alignment horizontal="center" vertical="center"/>
    </xf>
    <xf numFmtId="0" fontId="57" fillId="38" borderId="102" xfId="17" applyFont="1" applyFill="1" applyBorder="1" applyAlignment="1">
      <alignment horizontal="center" vertical="center"/>
    </xf>
    <xf numFmtId="0" fontId="57" fillId="38" borderId="95" xfId="17" applyFont="1" applyFill="1" applyBorder="1" applyAlignment="1">
      <alignment horizontal="center" vertical="center"/>
    </xf>
    <xf numFmtId="0" fontId="57" fillId="38" borderId="124" xfId="17" applyFont="1" applyFill="1" applyBorder="1" applyAlignment="1">
      <alignment horizontal="center" vertical="center" wrapText="1"/>
    </xf>
    <xf numFmtId="0" fontId="57" fillId="38" borderId="112" xfId="17" applyFont="1" applyFill="1" applyBorder="1" applyAlignment="1">
      <alignment horizontal="center" vertical="center" wrapText="1"/>
    </xf>
    <xf numFmtId="0" fontId="57" fillId="38" borderId="60" xfId="17" applyFont="1" applyFill="1" applyBorder="1" applyAlignment="1">
      <alignment horizontal="center" vertical="center" wrapText="1"/>
    </xf>
    <xf numFmtId="0" fontId="11" fillId="43" borderId="50" xfId="17" applyFont="1" applyFill="1" applyBorder="1" applyAlignment="1">
      <alignment horizontal="center" vertical="center" wrapText="1"/>
    </xf>
    <xf numFmtId="0" fontId="11" fillId="43" borderId="51" xfId="17" applyFont="1" applyFill="1" applyBorder="1" applyAlignment="1">
      <alignment horizontal="center" vertical="center" wrapText="1"/>
    </xf>
    <xf numFmtId="0" fontId="72" fillId="36" borderId="20" xfId="17" applyFont="1" applyFill="1" applyBorder="1" applyAlignment="1">
      <alignment horizontal="center" vertical="center" wrapText="1"/>
    </xf>
    <xf numFmtId="0" fontId="72" fillId="36" borderId="52" xfId="17" applyFont="1" applyFill="1" applyBorder="1" applyAlignment="1">
      <alignment horizontal="center" vertical="center" wrapText="1"/>
    </xf>
    <xf numFmtId="0" fontId="11" fillId="43" borderId="39" xfId="17" applyFont="1" applyFill="1" applyBorder="1" applyAlignment="1">
      <alignment vertical="center"/>
    </xf>
    <xf numFmtId="0" fontId="11" fillId="43" borderId="31" xfId="17" applyFont="1" applyFill="1" applyBorder="1" applyAlignment="1">
      <alignment vertical="center"/>
    </xf>
    <xf numFmtId="0" fontId="11" fillId="43" borderId="32" xfId="17" applyFont="1" applyFill="1" applyBorder="1" applyAlignment="1">
      <alignment vertical="center"/>
    </xf>
    <xf numFmtId="0" fontId="1" fillId="36" borderId="20" xfId="17" applyFill="1" applyBorder="1" applyAlignment="1">
      <alignment horizontal="right" vertical="center"/>
    </xf>
    <xf numFmtId="0" fontId="1" fillId="36" borderId="52" xfId="17" applyFill="1" applyBorder="1" applyAlignment="1">
      <alignment horizontal="right" vertical="center"/>
    </xf>
    <xf numFmtId="14" fontId="1" fillId="36" borderId="20" xfId="17" applyNumberFormat="1" applyFill="1" applyBorder="1" applyAlignment="1">
      <alignment horizontal="right" vertical="center"/>
    </xf>
    <xf numFmtId="14" fontId="1" fillId="36" borderId="52" xfId="17" applyNumberFormat="1" applyFill="1" applyBorder="1" applyAlignment="1">
      <alignment horizontal="right" vertical="center"/>
    </xf>
    <xf numFmtId="0" fontId="1" fillId="36" borderId="71" xfId="17" applyFill="1" applyBorder="1" applyAlignment="1">
      <alignment horizontal="right" vertical="center"/>
    </xf>
    <xf numFmtId="0" fontId="1" fillId="36" borderId="97" xfId="17" applyFill="1" applyBorder="1" applyAlignment="1">
      <alignment horizontal="right" vertical="center"/>
    </xf>
    <xf numFmtId="0" fontId="11" fillId="43" borderId="117" xfId="17" applyFont="1" applyFill="1" applyBorder="1" applyAlignment="1">
      <alignment horizontal="left" vertical="center"/>
    </xf>
    <xf numFmtId="0" fontId="11" fillId="43" borderId="44" xfId="17" applyFont="1" applyFill="1" applyBorder="1" applyAlignment="1">
      <alignment horizontal="left" vertical="center"/>
    </xf>
    <xf numFmtId="0" fontId="11" fillId="43" borderId="96" xfId="17" applyFont="1" applyFill="1" applyBorder="1" applyAlignment="1">
      <alignment horizontal="left" vertical="center"/>
    </xf>
    <xf numFmtId="22" fontId="1" fillId="36" borderId="43" xfId="17" applyNumberFormat="1" applyFill="1" applyBorder="1" applyAlignment="1">
      <alignment horizontal="right" vertical="center"/>
    </xf>
    <xf numFmtId="22" fontId="1" fillId="36" borderId="44" xfId="17" applyNumberFormat="1" applyFill="1" applyBorder="1" applyAlignment="1">
      <alignment horizontal="right" vertical="center"/>
    </xf>
    <xf numFmtId="22" fontId="1" fillId="36" borderId="45" xfId="17" applyNumberFormat="1" applyFill="1" applyBorder="1" applyAlignment="1">
      <alignment horizontal="right" vertical="center"/>
    </xf>
    <xf numFmtId="0" fontId="11" fillId="43" borderId="39" xfId="17" applyFont="1" applyFill="1" applyBorder="1" applyAlignment="1">
      <alignment vertical="center" wrapText="1"/>
    </xf>
    <xf numFmtId="0" fontId="11" fillId="43" borderId="31" xfId="17" applyFont="1" applyFill="1" applyBorder="1" applyAlignment="1">
      <alignment vertical="center" wrapText="1"/>
    </xf>
    <xf numFmtId="0" fontId="11" fillId="43" borderId="32" xfId="17" applyFont="1" applyFill="1" applyBorder="1" applyAlignment="1">
      <alignment vertical="center" wrapText="1"/>
    </xf>
    <xf numFmtId="0" fontId="1" fillId="36" borderId="20" xfId="17" applyFill="1" applyBorder="1" applyAlignment="1">
      <alignment horizontal="right" vertical="center" wrapText="1"/>
    </xf>
    <xf numFmtId="0" fontId="1" fillId="36" borderId="52" xfId="17" applyFill="1" applyBorder="1" applyAlignment="1">
      <alignment horizontal="right" vertical="center" wrapText="1"/>
    </xf>
    <xf numFmtId="5" fontId="67" fillId="36" borderId="20" xfId="17" applyNumberFormat="1" applyFont="1" applyFill="1" applyBorder="1" applyAlignment="1">
      <alignment horizontal="right" vertical="center"/>
    </xf>
    <xf numFmtId="5" fontId="67" fillId="36" borderId="52" xfId="17" applyNumberFormat="1" applyFont="1" applyFill="1" applyBorder="1" applyAlignment="1">
      <alignment horizontal="right" vertical="center"/>
    </xf>
    <xf numFmtId="49" fontId="0" fillId="36" borderId="20" xfId="17" applyNumberFormat="1" applyFont="1" applyFill="1" applyBorder="1" applyAlignment="1">
      <alignment horizontal="right" vertical="center"/>
    </xf>
    <xf numFmtId="49" fontId="1" fillId="36" borderId="20" xfId="17" applyNumberFormat="1" applyFill="1" applyBorder="1" applyAlignment="1">
      <alignment horizontal="right" vertical="center"/>
    </xf>
    <xf numFmtId="49" fontId="1" fillId="36" borderId="52" xfId="17" applyNumberFormat="1" applyFill="1" applyBorder="1" applyAlignment="1">
      <alignment horizontal="right" vertical="center"/>
    </xf>
    <xf numFmtId="0" fontId="57" fillId="38" borderId="61" xfId="17" applyFont="1" applyFill="1" applyBorder="1" applyAlignment="1">
      <alignment horizontal="center" vertical="center"/>
    </xf>
    <xf numFmtId="0" fontId="57" fillId="38" borderId="84" xfId="17" applyFont="1" applyFill="1" applyBorder="1" applyAlignment="1">
      <alignment horizontal="center" vertical="center"/>
    </xf>
    <xf numFmtId="0" fontId="57" fillId="38" borderId="62" xfId="17" applyFont="1" applyFill="1" applyBorder="1" applyAlignment="1">
      <alignment horizontal="center" vertical="center"/>
    </xf>
    <xf numFmtId="0" fontId="11" fillId="43" borderId="46" xfId="17" applyFont="1" applyFill="1" applyBorder="1" applyAlignment="1">
      <alignment vertical="center"/>
    </xf>
    <xf numFmtId="0" fontId="11" fillId="43" borderId="29" xfId="17" applyFont="1" applyFill="1" applyBorder="1" applyAlignment="1">
      <alignment vertical="center"/>
    </xf>
    <xf numFmtId="0" fontId="11" fillId="43" borderId="47" xfId="17" applyFont="1" applyFill="1" applyBorder="1" applyAlignment="1">
      <alignment vertical="center"/>
    </xf>
    <xf numFmtId="0" fontId="1" fillId="36" borderId="89" xfId="17" applyFill="1" applyBorder="1" applyAlignment="1">
      <alignment horizontal="right" vertical="center"/>
    </xf>
    <xf numFmtId="0" fontId="1" fillId="36" borderId="91" xfId="17" applyFill="1" applyBorder="1" applyAlignment="1">
      <alignment horizontal="right" vertical="center"/>
    </xf>
    <xf numFmtId="0" fontId="24" fillId="43" borderId="39" xfId="19" applyFont="1" applyFill="1" applyBorder="1"/>
    <xf numFmtId="0" fontId="24" fillId="43" borderId="32" xfId="19" applyFont="1" applyFill="1" applyBorder="1"/>
    <xf numFmtId="17" fontId="6" fillId="0" borderId="39" xfId="19" applyNumberFormat="1" applyBorder="1"/>
    <xf numFmtId="17" fontId="6" fillId="0" borderId="32" xfId="19" applyNumberFormat="1" applyBorder="1"/>
    <xf numFmtId="0" fontId="51" fillId="38" borderId="101" xfId="18" applyFont="1" applyFill="1" applyBorder="1" applyAlignment="1">
      <alignment horizontal="center" vertical="center"/>
    </xf>
    <xf numFmtId="0" fontId="51" fillId="38" borderId="102" xfId="18" applyFont="1" applyFill="1" applyBorder="1" applyAlignment="1">
      <alignment horizontal="center" vertical="center"/>
    </xf>
    <xf numFmtId="0" fontId="51" fillId="38" borderId="95" xfId="18" applyFont="1" applyFill="1" applyBorder="1" applyAlignment="1">
      <alignment horizontal="center" vertical="center"/>
    </xf>
    <xf numFmtId="0" fontId="11" fillId="43" borderId="54" xfId="19" applyFont="1" applyFill="1" applyBorder="1" applyAlignment="1">
      <alignment horizontal="center" vertical="center"/>
    </xf>
    <xf numFmtId="0" fontId="11" fillId="43" borderId="89" xfId="19" applyFont="1" applyFill="1" applyBorder="1" applyAlignment="1">
      <alignment horizontal="center" vertical="center"/>
    </xf>
    <xf numFmtId="0" fontId="11" fillId="43" borderId="24" xfId="19" applyFont="1" applyFill="1" applyBorder="1" applyAlignment="1">
      <alignment horizontal="center" vertical="center"/>
    </xf>
    <xf numFmtId="0" fontId="11" fillId="43" borderId="20" xfId="19" applyFont="1" applyFill="1" applyBorder="1" applyAlignment="1">
      <alignment horizontal="center" vertical="center"/>
    </xf>
    <xf numFmtId="0" fontId="1" fillId="0" borderId="20" xfId="19" applyFont="1" applyBorder="1" applyAlignment="1">
      <alignment horizontal="center" vertical="center"/>
    </xf>
    <xf numFmtId="0" fontId="24" fillId="43" borderId="24" xfId="19" applyFont="1" applyFill="1" applyBorder="1" applyAlignment="1">
      <alignment horizontal="center" vertical="center"/>
    </xf>
    <xf numFmtId="0" fontId="24" fillId="43" borderId="20" xfId="19" applyFont="1" applyFill="1" applyBorder="1" applyAlignment="1">
      <alignment horizontal="center" vertical="center"/>
    </xf>
    <xf numFmtId="0" fontId="24" fillId="43" borderId="20" xfId="19" applyFont="1" applyFill="1" applyBorder="1" applyAlignment="1">
      <alignment horizontal="center" vertical="center" wrapText="1"/>
    </xf>
    <xf numFmtId="0" fontId="24" fillId="43" borderId="52" xfId="19" applyFont="1" applyFill="1" applyBorder="1" applyAlignment="1">
      <alignment horizontal="center" vertical="center"/>
    </xf>
    <xf numFmtId="0" fontId="68" fillId="43" borderId="24" xfId="18" applyFont="1" applyFill="1" applyBorder="1" applyAlignment="1">
      <alignment vertical="center"/>
    </xf>
    <xf numFmtId="0" fontId="68" fillId="43" borderId="20" xfId="18" applyFont="1" applyFill="1" applyBorder="1" applyAlignment="1">
      <alignment vertical="center"/>
    </xf>
    <xf numFmtId="0" fontId="67" fillId="36" borderId="20" xfId="18" applyFont="1" applyFill="1" applyBorder="1" applyAlignment="1">
      <alignment horizontal="right" vertical="center" wrapText="1"/>
    </xf>
    <xf numFmtId="0" fontId="67" fillId="36" borderId="52" xfId="18" applyFont="1" applyFill="1" applyBorder="1" applyAlignment="1">
      <alignment horizontal="right" vertical="center" wrapText="1"/>
    </xf>
    <xf numFmtId="0" fontId="67" fillId="36" borderId="20" xfId="18" applyFont="1" applyFill="1" applyBorder="1" applyAlignment="1">
      <alignment horizontal="right" vertical="center"/>
    </xf>
    <xf numFmtId="0" fontId="67" fillId="36" borderId="52" xfId="18" applyFont="1" applyFill="1" applyBorder="1" applyAlignment="1">
      <alignment horizontal="right" vertical="center"/>
    </xf>
    <xf numFmtId="22" fontId="67" fillId="36" borderId="20" xfId="18" applyNumberFormat="1" applyFont="1" applyFill="1" applyBorder="1" applyAlignment="1">
      <alignment horizontal="right" vertical="center"/>
    </xf>
    <xf numFmtId="14" fontId="67" fillId="36" borderId="20" xfId="18" applyNumberFormat="1" applyFont="1" applyFill="1" applyBorder="1" applyAlignment="1">
      <alignment horizontal="right" vertical="center"/>
    </xf>
    <xf numFmtId="0" fontId="68" fillId="43" borderId="24" xfId="18" applyFont="1" applyFill="1" applyBorder="1" applyAlignment="1">
      <alignment vertical="center" wrapText="1"/>
    </xf>
    <xf numFmtId="0" fontId="68" fillId="43" borderId="20" xfId="18" applyFont="1" applyFill="1" applyBorder="1" applyAlignment="1">
      <alignment vertical="center" wrapText="1"/>
    </xf>
    <xf numFmtId="0" fontId="68" fillId="43" borderId="54" xfId="18" applyFont="1" applyFill="1" applyBorder="1" applyAlignment="1">
      <alignment vertical="center"/>
    </xf>
    <xf numFmtId="0" fontId="68" fillId="43" borderId="89" xfId="18" applyFont="1" applyFill="1" applyBorder="1" applyAlignment="1">
      <alignment vertical="center"/>
    </xf>
    <xf numFmtId="0" fontId="67" fillId="36" borderId="89" xfId="18" applyFont="1" applyFill="1" applyBorder="1" applyAlignment="1">
      <alignment horizontal="right" vertical="center"/>
    </xf>
    <xf numFmtId="0" fontId="67" fillId="36" borderId="91" xfId="18" applyFont="1" applyFill="1" applyBorder="1" applyAlignment="1">
      <alignment horizontal="right" vertical="center"/>
    </xf>
    <xf numFmtId="22" fontId="67" fillId="36" borderId="20" xfId="16" applyNumberFormat="1" applyFont="1" applyFill="1" applyBorder="1" applyAlignment="1">
      <alignment horizontal="right" vertical="center"/>
    </xf>
    <xf numFmtId="22" fontId="67" fillId="36" borderId="52" xfId="16" applyNumberFormat="1" applyFont="1" applyFill="1" applyBorder="1" applyAlignment="1">
      <alignment horizontal="right" vertical="center"/>
    </xf>
    <xf numFmtId="0" fontId="67" fillId="36" borderId="20" xfId="16" applyFont="1" applyFill="1" applyBorder="1" applyAlignment="1">
      <alignment horizontal="right" vertical="center"/>
    </xf>
    <xf numFmtId="15" fontId="67" fillId="36" borderId="20" xfId="16" applyNumberFormat="1" applyFont="1" applyFill="1" applyBorder="1" applyAlignment="1">
      <alignment horizontal="right" vertical="center"/>
    </xf>
    <xf numFmtId="15" fontId="67" fillId="36" borderId="52" xfId="16" applyNumberFormat="1" applyFont="1" applyFill="1" applyBorder="1" applyAlignment="1">
      <alignment horizontal="right" vertical="center"/>
    </xf>
    <xf numFmtId="14" fontId="67" fillId="36" borderId="20" xfId="16" applyNumberFormat="1" applyFont="1" applyFill="1" applyBorder="1" applyAlignment="1">
      <alignment horizontal="right" vertical="center"/>
    </xf>
    <xf numFmtId="14" fontId="67" fillId="36" borderId="52" xfId="16" applyNumberFormat="1" applyFont="1" applyFill="1" applyBorder="1" applyAlignment="1">
      <alignment horizontal="right" vertical="center"/>
    </xf>
    <xf numFmtId="0" fontId="67" fillId="36" borderId="52" xfId="16" applyFont="1" applyFill="1" applyBorder="1" applyAlignment="1">
      <alignment horizontal="right" vertical="center"/>
    </xf>
    <xf numFmtId="0" fontId="64" fillId="46" borderId="20" xfId="16" applyFont="1" applyFill="1" applyBorder="1" applyAlignment="1">
      <alignment horizontal="center" vertical="center"/>
    </xf>
    <xf numFmtId="0" fontId="64" fillId="46" borderId="52" xfId="16" applyFont="1" applyFill="1" applyBorder="1" applyAlignment="1">
      <alignment horizontal="center" vertical="center"/>
    </xf>
    <xf numFmtId="0" fontId="67" fillId="36" borderId="20" xfId="16" applyFont="1" applyFill="1" applyBorder="1" applyAlignment="1">
      <alignment horizontal="right" vertical="center" wrapText="1"/>
    </xf>
    <xf numFmtId="0" fontId="67" fillId="36" borderId="52" xfId="16" applyFont="1" applyFill="1" applyBorder="1" applyAlignment="1">
      <alignment horizontal="right" vertical="center" wrapText="1"/>
    </xf>
    <xf numFmtId="0" fontId="67" fillId="36" borderId="20" xfId="16" applyFont="1" applyFill="1" applyBorder="1" applyAlignment="1">
      <alignment horizontal="center" vertical="top"/>
    </xf>
    <xf numFmtId="49" fontId="67" fillId="36" borderId="20" xfId="16" applyNumberFormat="1" applyFont="1" applyFill="1" applyBorder="1" applyAlignment="1">
      <alignment horizontal="center" vertical="top"/>
    </xf>
    <xf numFmtId="49" fontId="67" fillId="36" borderId="52" xfId="16" applyNumberFormat="1" applyFont="1" applyFill="1" applyBorder="1" applyAlignment="1">
      <alignment horizontal="center" vertical="top"/>
    </xf>
    <xf numFmtId="0" fontId="68" fillId="43" borderId="54" xfId="16" applyFont="1" applyFill="1" applyBorder="1" applyAlignment="1">
      <alignment horizontal="left" vertical="center"/>
    </xf>
    <xf numFmtId="0" fontId="68" fillId="43" borderId="89" xfId="16" applyFont="1" applyFill="1" applyBorder="1" applyAlignment="1">
      <alignment horizontal="left" vertical="center"/>
    </xf>
    <xf numFmtId="0" fontId="67" fillId="36" borderId="89" xfId="16" applyFont="1" applyFill="1" applyBorder="1" applyAlignment="1">
      <alignment horizontal="center" vertical="center"/>
    </xf>
    <xf numFmtId="0" fontId="67" fillId="36" borderId="91" xfId="16" applyFont="1" applyFill="1" applyBorder="1" applyAlignment="1">
      <alignment horizontal="center" vertical="center"/>
    </xf>
    <xf numFmtId="168" fontId="23" fillId="15" borderId="56" xfId="7" applyFont="1" applyFill="1" applyBorder="1" applyAlignment="1" applyProtection="1">
      <alignment horizontal="center" vertical="center"/>
    </xf>
    <xf numFmtId="0" fontId="20" fillId="17" borderId="56" xfId="4" applyFont="1" applyFill="1" applyBorder="1" applyAlignment="1" applyProtection="1">
      <alignment horizontal="center" vertical="center"/>
      <protection locked="0"/>
    </xf>
    <xf numFmtId="0" fontId="20" fillId="17" borderId="56" xfId="4" applyFont="1" applyFill="1" applyBorder="1" applyAlignment="1" applyProtection="1">
      <alignment horizontal="center" vertical="center"/>
    </xf>
    <xf numFmtId="2" fontId="23" fillId="15" borderId="56" xfId="6" applyNumberFormat="1" applyFont="1" applyFill="1" applyBorder="1" applyAlignment="1" applyProtection="1">
      <alignment horizontal="left"/>
    </xf>
    <xf numFmtId="2" fontId="23" fillId="15" borderId="56" xfId="6" applyNumberFormat="1" applyFont="1" applyFill="1" applyBorder="1" applyAlignment="1" applyProtection="1">
      <alignment horizontal="center"/>
      <protection locked="0"/>
    </xf>
    <xf numFmtId="2" fontId="24" fillId="15" borderId="56" xfId="6" applyNumberFormat="1" applyFont="1" applyFill="1" applyBorder="1" applyAlignment="1" applyProtection="1">
      <alignment horizontal="center"/>
      <protection locked="0"/>
    </xf>
    <xf numFmtId="0" fontId="3" fillId="3" borderId="2" xfId="0" applyFont="1" applyFill="1" applyBorder="1" applyAlignment="1" applyProtection="1">
      <alignment horizontal="left" wrapText="1"/>
    </xf>
    <xf numFmtId="0" fontId="3" fillId="3" borderId="3" xfId="0" applyFont="1" applyFill="1" applyBorder="1" applyAlignment="1" applyProtection="1">
      <alignment horizontal="left" wrapText="1"/>
    </xf>
    <xf numFmtId="0" fontId="3" fillId="6" borderId="7" xfId="0" applyFont="1" applyFill="1" applyBorder="1" applyAlignment="1" applyProtection="1">
      <alignment horizontal="center"/>
    </xf>
    <xf numFmtId="0" fontId="3" fillId="6" borderId="8" xfId="0" applyFont="1" applyFill="1" applyBorder="1" applyAlignment="1" applyProtection="1">
      <alignment horizontal="center"/>
    </xf>
    <xf numFmtId="0" fontId="3" fillId="6" borderId="9" xfId="0" applyFont="1" applyFill="1" applyBorder="1" applyAlignment="1" applyProtection="1">
      <alignment horizontal="center"/>
    </xf>
    <xf numFmtId="0" fontId="7" fillId="4" borderId="18" xfId="0" applyFont="1" applyFill="1" applyBorder="1" applyAlignment="1" applyProtection="1">
      <alignment horizontal="center" wrapText="1"/>
    </xf>
    <xf numFmtId="0" fontId="7" fillId="4" borderId="28" xfId="0" applyFont="1" applyFill="1" applyBorder="1" applyAlignment="1" applyProtection="1">
      <alignment horizontal="center" wrapText="1"/>
    </xf>
    <xf numFmtId="0" fontId="2" fillId="2" borderId="1" xfId="0" applyFont="1" applyFill="1" applyBorder="1" applyAlignment="1" applyProtection="1">
      <alignment horizontal="left"/>
    </xf>
    <xf numFmtId="0" fontId="2" fillId="2" borderId="0" xfId="0" applyFont="1" applyFill="1" applyBorder="1" applyAlignment="1" applyProtection="1">
      <alignment horizontal="left"/>
    </xf>
    <xf numFmtId="0" fontId="3" fillId="3" borderId="2" xfId="0" applyFont="1" applyFill="1" applyBorder="1" applyAlignment="1" applyProtection="1">
      <alignment horizontal="left"/>
    </xf>
    <xf numFmtId="0" fontId="3" fillId="3" borderId="3" xfId="0" applyFont="1" applyFill="1" applyBorder="1" applyAlignment="1" applyProtection="1">
      <alignment horizontal="left"/>
    </xf>
    <xf numFmtId="0" fontId="18" fillId="7" borderId="5" xfId="0" applyFont="1" applyFill="1" applyBorder="1" applyAlignment="1" applyProtection="1">
      <alignment horizontal="center"/>
      <protection locked="0"/>
    </xf>
    <xf numFmtId="0" fontId="18" fillId="7" borderId="19" xfId="0" applyFont="1" applyFill="1" applyBorder="1" applyAlignment="1" applyProtection="1">
      <alignment horizontal="center"/>
      <protection locked="0"/>
    </xf>
    <xf numFmtId="0" fontId="34" fillId="29" borderId="20" xfId="0" applyFont="1" applyFill="1" applyBorder="1" applyAlignment="1">
      <alignment horizontal="left" vertical="top" wrapText="1"/>
    </xf>
    <xf numFmtId="0" fontId="3" fillId="29" borderId="20" xfId="0" applyFont="1" applyFill="1" applyBorder="1" applyAlignment="1">
      <alignment horizontal="left" vertical="top" wrapText="1"/>
    </xf>
    <xf numFmtId="0" fontId="35" fillId="0" borderId="20" xfId="0" applyFont="1" applyFill="1" applyBorder="1" applyAlignment="1">
      <alignment horizontal="left" vertical="top" wrapText="1"/>
    </xf>
    <xf numFmtId="0" fontId="3" fillId="29" borderId="33" xfId="0" applyFont="1" applyFill="1" applyBorder="1" applyAlignment="1">
      <alignment horizontal="center" vertical="top"/>
    </xf>
    <xf numFmtId="0" fontId="3" fillId="29" borderId="29" xfId="0" applyFont="1" applyFill="1" applyBorder="1" applyAlignment="1">
      <alignment horizontal="center" vertical="top"/>
    </xf>
    <xf numFmtId="0" fontId="10" fillId="0" borderId="72" xfId="0" applyFont="1" applyBorder="1" applyAlignment="1">
      <alignment horizontal="center"/>
    </xf>
    <xf numFmtId="0" fontId="10" fillId="0" borderId="73" xfId="0" applyFont="1" applyBorder="1" applyAlignment="1">
      <alignment horizontal="center"/>
    </xf>
    <xf numFmtId="0" fontId="10" fillId="0" borderId="7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7" fontId="5" fillId="0" borderId="56" xfId="1" applyNumberFormat="1" applyFont="1" applyFill="1" applyBorder="1" applyAlignment="1" applyProtection="1">
      <alignment horizontal="left" vertical="top"/>
    </xf>
    <xf numFmtId="3" fontId="5" fillId="0" borderId="56" xfId="1" applyNumberFormat="1" applyFont="1" applyFill="1" applyBorder="1" applyAlignment="1" applyProtection="1">
      <alignment horizontal="left" vertical="center"/>
    </xf>
    <xf numFmtId="167" fontId="5" fillId="0" borderId="56" xfId="1" applyNumberFormat="1" applyFont="1" applyFill="1" applyBorder="1" applyAlignment="1" applyProtection="1">
      <alignment horizontal="left" vertical="center"/>
    </xf>
    <xf numFmtId="167" fontId="12" fillId="17" borderId="56" xfId="1" applyNumberFormat="1" applyFont="1" applyFill="1" applyBorder="1" applyAlignment="1" applyProtection="1">
      <alignment horizontal="left" vertical="top"/>
    </xf>
    <xf numFmtId="10" fontId="5" fillId="0" borderId="56" xfId="1" applyNumberFormat="1" applyFont="1" applyFill="1" applyBorder="1" applyAlignment="1" applyProtection="1">
      <alignment horizontal="left" vertical="center"/>
    </xf>
    <xf numFmtId="2" fontId="12" fillId="17" borderId="56" xfId="4" applyNumberFormat="1" applyFont="1" applyFill="1" applyBorder="1" applyAlignment="1" applyProtection="1">
      <alignment horizontal="center" vertical="center"/>
    </xf>
    <xf numFmtId="167" fontId="12" fillId="20" borderId="66" xfId="1" applyNumberFormat="1" applyFont="1" applyFill="1" applyBorder="1" applyAlignment="1" applyProtection="1">
      <alignment horizontal="center" vertical="top"/>
    </xf>
    <xf numFmtId="167" fontId="12" fillId="20" borderId="67" xfId="1" applyNumberFormat="1" applyFont="1" applyFill="1" applyBorder="1" applyAlignment="1" applyProtection="1">
      <alignment horizontal="center" vertical="top"/>
    </xf>
    <xf numFmtId="167" fontId="5" fillId="15" borderId="56" xfId="1" applyNumberFormat="1" applyFont="1" applyFill="1" applyBorder="1" applyAlignment="1" applyProtection="1">
      <alignment horizontal="left" vertical="top"/>
    </xf>
    <xf numFmtId="173" fontId="11" fillId="40" borderId="54" xfId="10" applyNumberFormat="1" applyFont="1" applyFill="1" applyBorder="1" applyAlignment="1">
      <alignment horizontal="center" vertical="center"/>
    </xf>
    <xf numFmtId="173" fontId="11" fillId="40" borderId="89" xfId="10" applyNumberFormat="1" applyFont="1" applyFill="1" applyBorder="1" applyAlignment="1">
      <alignment horizontal="center" vertical="center"/>
    </xf>
    <xf numFmtId="173" fontId="11" fillId="40" borderId="91" xfId="10" applyNumberFormat="1" applyFont="1" applyFill="1" applyBorder="1" applyAlignment="1">
      <alignment horizontal="center" vertical="center"/>
    </xf>
    <xf numFmtId="0" fontId="11" fillId="40" borderId="90" xfId="10" applyFont="1" applyFill="1" applyBorder="1" applyAlignment="1">
      <alignment horizontal="center" vertical="center"/>
    </xf>
    <xf numFmtId="0" fontId="11" fillId="40" borderId="89" xfId="10" applyFont="1" applyFill="1" applyBorder="1" applyAlignment="1">
      <alignment horizontal="center" vertical="center"/>
    </xf>
    <xf numFmtId="0" fontId="11" fillId="40" borderId="71" xfId="10" applyFont="1" applyFill="1" applyBorder="1" applyAlignment="1">
      <alignment horizontal="center" vertical="center"/>
    </xf>
    <xf numFmtId="0" fontId="11" fillId="40" borderId="89" xfId="10" applyFont="1" applyFill="1" applyBorder="1" applyAlignment="1">
      <alignment horizontal="center" vertical="center" wrapText="1"/>
    </xf>
    <xf numFmtId="0" fontId="11" fillId="40" borderId="71" xfId="10" applyFont="1" applyFill="1" applyBorder="1" applyAlignment="1">
      <alignment horizontal="center" vertical="center" wrapText="1"/>
    </xf>
    <xf numFmtId="0" fontId="11" fillId="40" borderId="74" xfId="10" applyFont="1" applyFill="1" applyBorder="1" applyAlignment="1">
      <alignment horizontal="center" vertical="center" wrapText="1"/>
    </xf>
    <xf numFmtId="0" fontId="11" fillId="40" borderId="98" xfId="10" applyFont="1" applyFill="1" applyBorder="1" applyAlignment="1">
      <alignment horizontal="center" vertical="center" wrapText="1"/>
    </xf>
    <xf numFmtId="0" fontId="11" fillId="40" borderId="91" xfId="10" applyFont="1" applyFill="1" applyBorder="1" applyAlignment="1">
      <alignment horizontal="center" vertical="center" wrapText="1"/>
    </xf>
    <xf numFmtId="0" fontId="11" fillId="40" borderId="97" xfId="10" applyFont="1" applyFill="1" applyBorder="1" applyAlignment="1">
      <alignment horizontal="center" vertical="center" wrapText="1"/>
    </xf>
    <xf numFmtId="17" fontId="11" fillId="40" borderId="47" xfId="10" applyNumberFormat="1" applyFont="1" applyFill="1" applyBorder="1" applyAlignment="1">
      <alignment horizontal="center" vertical="center"/>
    </xf>
    <xf numFmtId="17" fontId="11" fillId="40" borderId="89" xfId="10" applyNumberFormat="1" applyFont="1" applyFill="1" applyBorder="1" applyAlignment="1">
      <alignment horizontal="center" vertical="center"/>
    </xf>
    <xf numFmtId="17" fontId="11" fillId="40" borderId="91" xfId="10" applyNumberFormat="1" applyFont="1" applyFill="1" applyBorder="1" applyAlignment="1">
      <alignment horizontal="center" vertical="center"/>
    </xf>
    <xf numFmtId="173" fontId="11" fillId="40" borderId="47" xfId="10" applyNumberFormat="1" applyFont="1" applyFill="1" applyBorder="1" applyAlignment="1">
      <alignment horizontal="center" vertical="center"/>
    </xf>
    <xf numFmtId="0" fontId="55" fillId="43" borderId="24" xfId="10" applyFont="1" applyFill="1" applyBorder="1" applyAlignment="1">
      <alignment vertical="center"/>
    </xf>
    <xf numFmtId="0" fontId="55" fillId="43" borderId="20" xfId="10" applyFont="1" applyFill="1" applyBorder="1" applyAlignment="1">
      <alignment vertical="center"/>
    </xf>
    <xf numFmtId="49" fontId="9" fillId="36" borderId="20" xfId="10" applyNumberFormat="1" applyFont="1" applyFill="1" applyBorder="1" applyAlignment="1">
      <alignment horizontal="right" vertical="center"/>
    </xf>
    <xf numFmtId="0" fontId="11" fillId="40" borderId="54" xfId="10" applyFont="1" applyFill="1" applyBorder="1" applyAlignment="1">
      <alignment horizontal="center" vertical="center" wrapText="1"/>
    </xf>
    <xf numFmtId="0" fontId="11" fillId="40" borderId="53" xfId="10" applyFont="1" applyFill="1" applyBorder="1" applyAlignment="1">
      <alignment horizontal="center" vertical="center" wrapText="1"/>
    </xf>
    <xf numFmtId="0" fontId="11" fillId="40" borderId="106" xfId="10" applyFont="1" applyFill="1" applyBorder="1" applyAlignment="1">
      <alignment horizontal="center" vertical="center"/>
    </xf>
    <xf numFmtId="0" fontId="11" fillId="40" borderId="70" xfId="10" applyFont="1" applyFill="1" applyBorder="1" applyAlignment="1">
      <alignment horizontal="center" vertical="center"/>
    </xf>
    <xf numFmtId="0" fontId="11" fillId="40" borderId="106" xfId="10" applyFont="1" applyFill="1" applyBorder="1" applyAlignment="1">
      <alignment horizontal="center" vertical="center" wrapText="1"/>
    </xf>
    <xf numFmtId="0" fontId="11" fillId="40" borderId="70" xfId="10" applyFont="1" applyFill="1" applyBorder="1" applyAlignment="1">
      <alignment horizontal="center" vertical="center" wrapText="1"/>
    </xf>
    <xf numFmtId="0" fontId="57" fillId="38" borderId="103" xfId="10" applyFont="1" applyFill="1" applyBorder="1" applyAlignment="1">
      <alignment horizontal="center" vertical="center"/>
    </xf>
    <xf numFmtId="0" fontId="57" fillId="38" borderId="104" xfId="10" applyFont="1" applyFill="1" applyBorder="1" applyAlignment="1">
      <alignment horizontal="center" vertical="center"/>
    </xf>
    <xf numFmtId="0" fontId="57" fillId="38" borderId="105" xfId="10" applyFont="1" applyFill="1" applyBorder="1" applyAlignment="1">
      <alignment horizontal="center" vertical="center"/>
    </xf>
    <xf numFmtId="49" fontId="9" fillId="36" borderId="52" xfId="10" applyNumberFormat="1" applyFont="1" applyFill="1" applyBorder="1" applyAlignment="1">
      <alignment horizontal="right" vertical="center"/>
    </xf>
    <xf numFmtId="0" fontId="55" fillId="43" borderId="41" xfId="10" applyFont="1" applyFill="1" applyBorder="1" applyAlignment="1">
      <alignment vertical="center"/>
    </xf>
    <xf numFmtId="0" fontId="55" fillId="43" borderId="42" xfId="10" applyFont="1" applyFill="1" applyBorder="1" applyAlignment="1">
      <alignment vertical="center"/>
    </xf>
    <xf numFmtId="0" fontId="9" fillId="36" borderId="42" xfId="10" applyFont="1" applyFill="1" applyBorder="1" applyAlignment="1">
      <alignment horizontal="right" vertical="center"/>
    </xf>
    <xf numFmtId="0" fontId="9" fillId="36" borderId="55" xfId="10" applyFont="1" applyFill="1" applyBorder="1" applyAlignment="1">
      <alignment horizontal="right" vertical="center"/>
    </xf>
    <xf numFmtId="0" fontId="9" fillId="36" borderId="20" xfId="10" applyFont="1" applyFill="1" applyBorder="1" applyAlignment="1">
      <alignment horizontal="right" vertical="center"/>
    </xf>
    <xf numFmtId="0" fontId="9" fillId="36" borderId="52" xfId="10" applyFont="1" applyFill="1" applyBorder="1" applyAlignment="1">
      <alignment horizontal="right" vertical="center"/>
    </xf>
    <xf numFmtId="3" fontId="9" fillId="36" borderId="20" xfId="10" applyNumberFormat="1" applyFont="1" applyFill="1" applyBorder="1" applyAlignment="1">
      <alignment horizontal="right" vertical="center"/>
    </xf>
    <xf numFmtId="3" fontId="9" fillId="36" borderId="52" xfId="10" applyNumberFormat="1" applyFont="1" applyFill="1" applyBorder="1" applyAlignment="1">
      <alignment horizontal="right" vertical="center"/>
    </xf>
    <xf numFmtId="9" fontId="9" fillId="12" borderId="20" xfId="11" applyFont="1" applyFill="1" applyBorder="1" applyAlignment="1">
      <alignment horizontal="right" vertical="center"/>
    </xf>
    <xf numFmtId="9" fontId="9" fillId="12" borderId="52" xfId="11" applyFont="1" applyFill="1" applyBorder="1" applyAlignment="1">
      <alignment horizontal="right" vertical="center"/>
    </xf>
    <xf numFmtId="0" fontId="56" fillId="36" borderId="20" xfId="10" applyFont="1" applyFill="1" applyBorder="1" applyAlignment="1">
      <alignment horizontal="right" vertical="center"/>
    </xf>
    <xf numFmtId="0" fontId="56" fillId="36" borderId="52" xfId="10" applyFont="1" applyFill="1" applyBorder="1" applyAlignment="1">
      <alignment horizontal="right" vertical="center"/>
    </xf>
    <xf numFmtId="176" fontId="9" fillId="36" borderId="20" xfId="10" applyNumberFormat="1" applyFont="1" applyFill="1" applyBorder="1" applyAlignment="1">
      <alignment horizontal="right" vertical="center"/>
    </xf>
    <xf numFmtId="176" fontId="9" fillId="36" borderId="52" xfId="10" applyNumberFormat="1" applyFont="1" applyFill="1" applyBorder="1" applyAlignment="1">
      <alignment horizontal="right" vertical="center"/>
    </xf>
    <xf numFmtId="0" fontId="53" fillId="38" borderId="101" xfId="10" applyFont="1" applyFill="1" applyBorder="1" applyAlignment="1">
      <alignment horizontal="center" vertical="center"/>
    </xf>
    <xf numFmtId="0" fontId="53" fillId="38" borderId="102" xfId="10" applyFont="1" applyFill="1" applyBorder="1" applyAlignment="1">
      <alignment horizontal="center" vertical="center"/>
    </xf>
    <xf numFmtId="0" fontId="53" fillId="38" borderId="95" xfId="10" applyFont="1" applyFill="1" applyBorder="1" applyAlignment="1">
      <alignment horizontal="center" vertical="center"/>
    </xf>
    <xf numFmtId="0" fontId="54" fillId="42" borderId="54" xfId="10" applyFont="1" applyFill="1" applyBorder="1" applyAlignment="1">
      <alignment vertical="center"/>
    </xf>
    <xf numFmtId="0" fontId="54" fillId="42" borderId="89" xfId="10" applyFont="1" applyFill="1" applyBorder="1" applyAlignment="1">
      <alignment vertical="center"/>
    </xf>
    <xf numFmtId="0" fontId="54" fillId="42" borderId="89" xfId="10" applyFont="1" applyFill="1" applyBorder="1" applyAlignment="1">
      <alignment horizontal="center" vertical="center"/>
    </xf>
    <xf numFmtId="0" fontId="54" fillId="42" borderId="91" xfId="10" applyFont="1" applyFill="1" applyBorder="1" applyAlignment="1">
      <alignment horizontal="center" vertical="center"/>
    </xf>
    <xf numFmtId="0" fontId="45" fillId="11" borderId="33" xfId="2" applyFont="1" applyFill="1" applyBorder="1" applyAlignment="1">
      <alignment horizontal="center" vertical="center" wrapText="1"/>
    </xf>
    <xf numFmtId="0" fontId="45" fillId="11" borderId="29" xfId="2" applyFont="1" applyFill="1" applyBorder="1" applyAlignment="1">
      <alignment horizontal="center" vertical="center" wrapText="1"/>
    </xf>
    <xf numFmtId="0" fontId="8" fillId="36" borderId="0" xfId="2" applyFont="1" applyFill="1" applyAlignment="1">
      <alignment horizontal="center" vertical="center" wrapText="1"/>
    </xf>
    <xf numFmtId="0" fontId="9" fillId="36" borderId="20" xfId="9" applyFont="1" applyFill="1" applyBorder="1" applyAlignment="1">
      <alignment vertical="center"/>
    </xf>
    <xf numFmtId="3" fontId="9" fillId="36" borderId="20" xfId="9" applyNumberFormat="1" applyFont="1" applyFill="1" applyBorder="1" applyAlignment="1">
      <alignment horizontal="center" vertical="center"/>
    </xf>
    <xf numFmtId="0" fontId="51" fillId="9" borderId="61" xfId="9" applyFont="1" applyFill="1" applyBorder="1" applyAlignment="1">
      <alignment horizontal="center" vertical="center"/>
    </xf>
    <xf numFmtId="0" fontId="51" fillId="38" borderId="84" xfId="9" applyFont="1" applyFill="1" applyBorder="1" applyAlignment="1">
      <alignment horizontal="center" vertical="center"/>
    </xf>
    <xf numFmtId="0" fontId="51" fillId="38" borderId="62" xfId="9" applyFont="1" applyFill="1" applyBorder="1" applyAlignment="1">
      <alignment horizontal="center" vertical="center"/>
    </xf>
    <xf numFmtId="0" fontId="9" fillId="36" borderId="43" xfId="9" applyFont="1" applyFill="1" applyBorder="1" applyAlignment="1">
      <alignment horizontal="left" vertical="center"/>
    </xf>
    <xf numFmtId="0" fontId="9" fillId="36" borderId="96" xfId="9" applyFont="1" applyFill="1" applyBorder="1" applyAlignment="1">
      <alignment horizontal="left" vertical="center"/>
    </xf>
    <xf numFmtId="3" fontId="9" fillId="36" borderId="43" xfId="9" applyNumberFormat="1" applyFont="1" applyFill="1" applyBorder="1" applyAlignment="1">
      <alignment horizontal="center" vertical="center"/>
    </xf>
    <xf numFmtId="3" fontId="9" fillId="36" borderId="44" xfId="9" applyNumberFormat="1" applyFont="1" applyFill="1" applyBorder="1" applyAlignment="1">
      <alignment horizontal="center" vertical="center"/>
    </xf>
    <xf numFmtId="3" fontId="9" fillId="36" borderId="96" xfId="9" applyNumberFormat="1" applyFont="1" applyFill="1" applyBorder="1" applyAlignment="1">
      <alignment horizontal="center" vertical="center"/>
    </xf>
    <xf numFmtId="0" fontId="11" fillId="39" borderId="61" xfId="6" applyFont="1" applyFill="1" applyBorder="1" applyAlignment="1">
      <alignment horizontal="center" vertical="center"/>
    </xf>
    <xf numFmtId="0" fontId="11" fillId="39" borderId="93" xfId="6" applyFont="1" applyFill="1" applyBorder="1" applyAlignment="1">
      <alignment horizontal="center" vertical="center"/>
    </xf>
    <xf numFmtId="3" fontId="11" fillId="39" borderId="94" xfId="6" applyNumberFormat="1" applyFont="1" applyFill="1" applyBorder="1" applyAlignment="1">
      <alignment horizontal="center" vertical="center"/>
    </xf>
    <xf numFmtId="3" fontId="11" fillId="39" borderId="84" xfId="6" applyNumberFormat="1" applyFont="1" applyFill="1" applyBorder="1" applyAlignment="1">
      <alignment horizontal="center" vertical="center"/>
    </xf>
    <xf numFmtId="3" fontId="11" fillId="39" borderId="93" xfId="6" applyNumberFormat="1" applyFont="1" applyFill="1" applyBorder="1" applyAlignment="1">
      <alignment horizontal="center" vertical="center"/>
    </xf>
    <xf numFmtId="173" fontId="11" fillId="39" borderId="49" xfId="9" applyNumberFormat="1" applyFont="1" applyFill="1" applyBorder="1" applyAlignment="1">
      <alignment horizontal="center" vertical="center"/>
    </xf>
    <xf numFmtId="173" fontId="11" fillId="40" borderId="50" xfId="9" applyNumberFormat="1" applyFont="1" applyFill="1" applyBorder="1" applyAlignment="1">
      <alignment horizontal="center" vertical="center"/>
    </xf>
    <xf numFmtId="173" fontId="11" fillId="40" borderId="51" xfId="9" applyNumberFormat="1" applyFont="1" applyFill="1" applyBorder="1" applyAlignment="1">
      <alignment horizontal="center" vertical="center"/>
    </xf>
    <xf numFmtId="0" fontId="51" fillId="9" borderId="8" xfId="9" applyFont="1" applyFill="1" applyBorder="1" applyAlignment="1">
      <alignment horizontal="center" vertical="center"/>
    </xf>
    <xf numFmtId="0" fontId="51" fillId="38" borderId="8" xfId="9" applyFont="1" applyFill="1" applyBorder="1" applyAlignment="1">
      <alignment horizontal="center" vertical="center"/>
    </xf>
    <xf numFmtId="0" fontId="51" fillId="38" borderId="85" xfId="9" applyFont="1" applyFill="1" applyBorder="1" applyAlignment="1">
      <alignment horizontal="center" vertical="center"/>
    </xf>
    <xf numFmtId="0" fontId="51" fillId="38" borderId="86" xfId="9" applyFont="1" applyFill="1" applyBorder="1" applyAlignment="1">
      <alignment horizontal="center" vertical="center"/>
    </xf>
    <xf numFmtId="0" fontId="11" fillId="39" borderId="49" xfId="9" applyFont="1" applyFill="1" applyBorder="1" applyAlignment="1">
      <alignment horizontal="center" vertical="center" wrapText="1"/>
    </xf>
    <xf numFmtId="0" fontId="11" fillId="40" borderId="24" xfId="9" applyFont="1" applyFill="1" applyBorder="1" applyAlignment="1">
      <alignment horizontal="center" vertical="center" wrapText="1"/>
    </xf>
    <xf numFmtId="0" fontId="11" fillId="39" borderId="87" xfId="9" applyFont="1" applyFill="1" applyBorder="1" applyAlignment="1">
      <alignment horizontal="center" vertical="center"/>
    </xf>
    <xf numFmtId="0" fontId="11" fillId="40" borderId="88" xfId="9" applyFont="1" applyFill="1" applyBorder="1" applyAlignment="1">
      <alignment horizontal="center" vertical="center"/>
    </xf>
    <xf numFmtId="0" fontId="11" fillId="40" borderId="33" xfId="9" applyFont="1" applyFill="1" applyBorder="1" applyAlignment="1">
      <alignment horizontal="center" vertical="center"/>
    </xf>
    <xf numFmtId="0" fontId="11" fillId="40" borderId="47" xfId="9" applyFont="1" applyFill="1" applyBorder="1" applyAlignment="1">
      <alignment horizontal="center" vertical="center"/>
    </xf>
    <xf numFmtId="0" fontId="11" fillId="39" borderId="50" xfId="9" applyFont="1" applyFill="1" applyBorder="1" applyAlignment="1">
      <alignment horizontal="center" vertical="center"/>
    </xf>
    <xf numFmtId="0" fontId="11" fillId="40" borderId="20" xfId="9" applyFont="1" applyFill="1" applyBorder="1" applyAlignment="1">
      <alignment horizontal="center" vertical="center"/>
    </xf>
    <xf numFmtId="0" fontId="11" fillId="39" borderId="60" xfId="9" applyFont="1" applyFill="1" applyBorder="1" applyAlignment="1">
      <alignment horizontal="center" vertical="center"/>
    </xf>
    <xf numFmtId="0" fontId="11" fillId="40" borderId="91" xfId="9" applyFont="1" applyFill="1" applyBorder="1" applyAlignment="1">
      <alignment horizontal="center" vertical="center"/>
    </xf>
    <xf numFmtId="17" fontId="11" fillId="39" borderId="49" xfId="9" applyNumberFormat="1" applyFont="1" applyFill="1" applyBorder="1" applyAlignment="1">
      <alignment horizontal="center" vertical="center"/>
    </xf>
    <xf numFmtId="17" fontId="11" fillId="40" borderId="51" xfId="9" applyNumberFormat="1" applyFont="1" applyFill="1" applyBorder="1" applyAlignment="1">
      <alignment horizontal="center" vertical="center"/>
    </xf>
    <xf numFmtId="173" fontId="11" fillId="39" borderId="36" xfId="9" applyNumberFormat="1" applyFont="1" applyFill="1" applyBorder="1" applyAlignment="1">
      <alignment horizontal="center" vertical="center"/>
    </xf>
    <xf numFmtId="173" fontId="11" fillId="39" borderId="54" xfId="9" applyNumberFormat="1" applyFont="1" applyFill="1" applyBorder="1" applyAlignment="1">
      <alignment horizontal="center" vertical="center"/>
    </xf>
    <xf numFmtId="173" fontId="11" fillId="40" borderId="89" xfId="9" applyNumberFormat="1" applyFont="1" applyFill="1" applyBorder="1" applyAlignment="1">
      <alignment horizontal="center" vertical="center"/>
    </xf>
    <xf numFmtId="0" fontId="11" fillId="39" borderId="90" xfId="9" applyFont="1" applyFill="1" applyBorder="1" applyAlignment="1">
      <alignment horizontal="center" vertical="center"/>
    </xf>
    <xf numFmtId="0" fontId="11" fillId="40" borderId="92" xfId="9" applyFont="1" applyFill="1" applyBorder="1" applyAlignment="1">
      <alignment horizontal="center" vertical="center"/>
    </xf>
    <xf numFmtId="0" fontId="9" fillId="36" borderId="30" xfId="9" applyFont="1" applyFill="1" applyBorder="1" applyAlignment="1">
      <alignment vertical="center"/>
    </xf>
    <xf numFmtId="0" fontId="9" fillId="36" borderId="32" xfId="9" applyFont="1" applyFill="1" applyBorder="1" applyAlignment="1">
      <alignment vertical="center"/>
    </xf>
    <xf numFmtId="0" fontId="51" fillId="9" borderId="84" xfId="9" applyFont="1" applyFill="1" applyBorder="1" applyAlignment="1">
      <alignment horizontal="center" vertical="center"/>
    </xf>
    <xf numFmtId="0" fontId="11" fillId="40" borderId="8" xfId="9" applyFont="1" applyFill="1" applyBorder="1" applyAlignment="1">
      <alignment horizontal="center" vertical="center"/>
    </xf>
    <xf numFmtId="0" fontId="11" fillId="40" borderId="9" xfId="9" applyFont="1" applyFill="1" applyBorder="1" applyAlignment="1">
      <alignment horizontal="center" vertical="center"/>
    </xf>
    <xf numFmtId="0" fontId="11" fillId="40" borderId="29" xfId="9" applyFont="1" applyFill="1" applyBorder="1" applyAlignment="1">
      <alignment horizontal="center" vertical="center"/>
    </xf>
    <xf numFmtId="0" fontId="11" fillId="40" borderId="48" xfId="9" applyFont="1" applyFill="1" applyBorder="1" applyAlignment="1">
      <alignment horizontal="center" vertical="center"/>
    </xf>
    <xf numFmtId="0" fontId="51" fillId="9" borderId="62" xfId="9" applyFont="1" applyFill="1" applyBorder="1" applyAlignment="1">
      <alignment horizontal="center" vertical="center"/>
    </xf>
    <xf numFmtId="0" fontId="11" fillId="39" borderId="37" xfId="9" applyFont="1" applyFill="1" applyBorder="1" applyAlignment="1">
      <alignment horizontal="center" vertical="center" wrapText="1"/>
    </xf>
    <xf numFmtId="0" fontId="11" fillId="39" borderId="38" xfId="9" applyFont="1" applyFill="1" applyBorder="1" applyAlignment="1">
      <alignment horizontal="center" vertical="center" wrapText="1"/>
    </xf>
    <xf numFmtId="3" fontId="9" fillId="36" borderId="43" xfId="9" applyNumberFormat="1" applyFont="1" applyFill="1" applyBorder="1" applyAlignment="1">
      <alignment vertical="center"/>
    </xf>
    <xf numFmtId="3" fontId="9" fillId="36" borderId="45" xfId="9" applyNumberFormat="1" applyFont="1" applyFill="1" applyBorder="1" applyAlignment="1">
      <alignment vertical="center"/>
    </xf>
    <xf numFmtId="173" fontId="11" fillId="40" borderId="91" xfId="9" applyNumberFormat="1" applyFont="1" applyFill="1" applyBorder="1" applyAlignment="1">
      <alignment horizontal="center" vertical="center"/>
    </xf>
    <xf numFmtId="0" fontId="11" fillId="39" borderId="54" xfId="9" applyFont="1" applyFill="1" applyBorder="1" applyAlignment="1">
      <alignment horizontal="center" vertical="center" wrapText="1"/>
    </xf>
    <xf numFmtId="0" fontId="11" fillId="39" borderId="74" xfId="9" applyFont="1" applyFill="1" applyBorder="1" applyAlignment="1">
      <alignment horizontal="center" vertical="center"/>
    </xf>
    <xf numFmtId="0" fontId="11" fillId="40" borderId="98" xfId="9" applyFont="1" applyFill="1" applyBorder="1" applyAlignment="1">
      <alignment horizontal="center" vertical="center"/>
    </xf>
    <xf numFmtId="17" fontId="11" fillId="39" borderId="47" xfId="9" applyNumberFormat="1" applyFont="1" applyFill="1" applyBorder="1" applyAlignment="1">
      <alignment horizontal="center" vertical="center"/>
    </xf>
    <xf numFmtId="17" fontId="11" fillId="40" borderId="89" xfId="9" applyNumberFormat="1" applyFont="1" applyFill="1" applyBorder="1" applyAlignment="1">
      <alignment horizontal="center" vertical="center"/>
    </xf>
    <xf numFmtId="173" fontId="11" fillId="39" borderId="47" xfId="9" applyNumberFormat="1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/>
    </xf>
    <xf numFmtId="0" fontId="3" fillId="10" borderId="51" xfId="0" applyFont="1" applyFill="1" applyBorder="1" applyAlignment="1">
      <alignment horizontal="center"/>
    </xf>
    <xf numFmtId="0" fontId="3" fillId="10" borderId="37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/>
    </xf>
    <xf numFmtId="0" fontId="3" fillId="10" borderId="36" xfId="0" applyFont="1" applyFill="1" applyBorder="1" applyAlignment="1">
      <alignment horizontal="center"/>
    </xf>
    <xf numFmtId="0" fontId="18" fillId="7" borderId="30" xfId="2" applyFont="1" applyFill="1" applyBorder="1" applyAlignment="1" applyProtection="1">
      <alignment horizontal="center" wrapText="1"/>
      <protection locked="0"/>
    </xf>
    <xf numFmtId="0" fontId="18" fillId="7" borderId="31" xfId="2" applyFont="1" applyFill="1" applyBorder="1" applyAlignment="1" applyProtection="1">
      <alignment horizontal="center" wrapText="1"/>
      <protection locked="0"/>
    </xf>
    <xf numFmtId="0" fontId="18" fillId="7" borderId="32" xfId="2" applyFont="1" applyFill="1" applyBorder="1" applyAlignment="1" applyProtection="1">
      <alignment horizontal="center" wrapText="1"/>
      <protection locked="0"/>
    </xf>
    <xf numFmtId="0" fontId="18" fillId="7" borderId="20" xfId="2" applyFont="1" applyFill="1" applyBorder="1" applyAlignment="1" applyProtection="1">
      <alignment horizontal="center" wrapText="1"/>
      <protection locked="0"/>
    </xf>
    <xf numFmtId="0" fontId="18" fillId="7" borderId="52" xfId="2" applyFont="1" applyFill="1" applyBorder="1" applyAlignment="1" applyProtection="1">
      <alignment horizontal="center" wrapText="1"/>
      <protection locked="0"/>
    </xf>
    <xf numFmtId="0" fontId="13" fillId="8" borderId="41" xfId="2" applyFont="1" applyFill="1" applyBorder="1" applyAlignment="1" applyProtection="1">
      <alignment horizontal="left" wrapText="1"/>
    </xf>
    <xf numFmtId="0" fontId="13" fillId="8" borderId="42" xfId="2" applyFont="1" applyFill="1" applyBorder="1" applyAlignment="1" applyProtection="1">
      <alignment horizontal="left" wrapText="1"/>
    </xf>
    <xf numFmtId="0" fontId="3" fillId="11" borderId="30" xfId="2" applyFont="1" applyFill="1" applyBorder="1" applyAlignment="1" applyProtection="1">
      <alignment horizontal="center" wrapText="1"/>
    </xf>
    <xf numFmtId="0" fontId="3" fillId="11" borderId="32" xfId="2" applyFont="1" applyFill="1" applyBorder="1" applyAlignment="1" applyProtection="1">
      <alignment horizontal="center" wrapText="1"/>
    </xf>
    <xf numFmtId="0" fontId="3" fillId="6" borderId="30" xfId="2" applyFont="1" applyFill="1" applyBorder="1" applyAlignment="1" applyProtection="1">
      <alignment horizontal="center" wrapText="1"/>
      <protection locked="0"/>
    </xf>
    <xf numFmtId="0" fontId="3" fillId="6" borderId="31" xfId="2" applyFont="1" applyFill="1" applyBorder="1" applyAlignment="1" applyProtection="1">
      <alignment horizontal="center" wrapText="1"/>
      <protection locked="0"/>
    </xf>
    <xf numFmtId="0" fontId="3" fillId="6" borderId="32" xfId="2" applyFont="1" applyFill="1" applyBorder="1" applyAlignment="1" applyProtection="1">
      <alignment horizontal="center" wrapText="1"/>
      <protection locked="0"/>
    </xf>
    <xf numFmtId="0" fontId="13" fillId="8" borderId="39" xfId="2" applyFont="1" applyFill="1" applyBorder="1" applyAlignment="1" applyProtection="1">
      <alignment horizontal="left" wrapText="1"/>
    </xf>
    <xf numFmtId="0" fontId="13" fillId="8" borderId="31" xfId="2" applyFont="1" applyFill="1" applyBorder="1" applyAlignment="1" applyProtection="1">
      <alignment horizontal="left" wrapText="1"/>
    </xf>
    <xf numFmtId="0" fontId="13" fillId="8" borderId="32" xfId="2" applyFont="1" applyFill="1" applyBorder="1" applyAlignment="1" applyProtection="1">
      <alignment horizontal="left" wrapText="1"/>
    </xf>
    <xf numFmtId="165" fontId="17" fillId="13" borderId="43" xfId="1" applyNumberFormat="1" applyFont="1" applyFill="1" applyBorder="1" applyAlignment="1" applyProtection="1">
      <alignment horizontal="center" wrapText="1"/>
    </xf>
    <xf numFmtId="165" fontId="17" fillId="13" borderId="44" xfId="1" applyNumberFormat="1" applyFont="1" applyFill="1" applyBorder="1" applyAlignment="1" applyProtection="1">
      <alignment horizontal="center" wrapText="1"/>
    </xf>
    <xf numFmtId="165" fontId="17" fillId="13" borderId="45" xfId="1" applyNumberFormat="1" applyFont="1" applyFill="1" applyBorder="1" applyAlignment="1" applyProtection="1">
      <alignment horizontal="center" wrapText="1"/>
    </xf>
    <xf numFmtId="165" fontId="13" fillId="13" borderId="30" xfId="1" applyNumberFormat="1" applyFont="1" applyFill="1" applyBorder="1" applyAlignment="1" applyProtection="1">
      <alignment horizontal="center" wrapText="1"/>
    </xf>
    <xf numFmtId="165" fontId="13" fillId="13" borderId="31" xfId="1" applyNumberFormat="1" applyFont="1" applyFill="1" applyBorder="1" applyAlignment="1" applyProtection="1">
      <alignment horizontal="center" wrapText="1"/>
    </xf>
    <xf numFmtId="165" fontId="13" fillId="13" borderId="40" xfId="1" applyNumberFormat="1" applyFont="1" applyFill="1" applyBorder="1" applyAlignment="1" applyProtection="1">
      <alignment horizontal="center" wrapText="1"/>
    </xf>
    <xf numFmtId="165" fontId="17" fillId="13" borderId="33" xfId="1" applyNumberFormat="1" applyFont="1" applyFill="1" applyBorder="1" applyAlignment="1" applyProtection="1">
      <alignment horizontal="center" wrapText="1"/>
    </xf>
    <xf numFmtId="165" fontId="17" fillId="13" borderId="29" xfId="1" applyNumberFormat="1" applyFont="1" applyFill="1" applyBorder="1" applyAlignment="1" applyProtection="1">
      <alignment horizontal="center" wrapText="1"/>
    </xf>
    <xf numFmtId="165" fontId="17" fillId="13" borderId="48" xfId="1" applyNumberFormat="1" applyFont="1" applyFill="1" applyBorder="1" applyAlignment="1" applyProtection="1">
      <alignment horizontal="center" wrapText="1"/>
    </xf>
    <xf numFmtId="0" fontId="0" fillId="0" borderId="58" xfId="0" applyBorder="1" applyAlignment="1">
      <alignment horizontal="left"/>
    </xf>
    <xf numFmtId="0" fontId="3" fillId="11" borderId="53" xfId="2" applyFont="1" applyFill="1" applyBorder="1" applyAlignment="1" applyProtection="1">
      <alignment horizontal="left" wrapText="1"/>
    </xf>
    <xf numFmtId="0" fontId="3" fillId="11" borderId="54" xfId="2" applyFont="1" applyFill="1" applyBorder="1" applyAlignment="1" applyProtection="1">
      <alignment horizontal="left" wrapText="1"/>
    </xf>
    <xf numFmtId="0" fontId="13" fillId="8" borderId="46" xfId="2" applyFont="1" applyFill="1" applyBorder="1" applyAlignment="1" applyProtection="1">
      <alignment horizontal="left" wrapText="1"/>
    </xf>
    <xf numFmtId="0" fontId="13" fillId="8" borderId="29" xfId="2" applyFont="1" applyFill="1" applyBorder="1" applyAlignment="1" applyProtection="1">
      <alignment horizontal="left" wrapText="1"/>
    </xf>
    <xf numFmtId="0" fontId="13" fillId="8" borderId="47" xfId="2" applyFont="1" applyFill="1" applyBorder="1" applyAlignment="1" applyProtection="1">
      <alignment horizontal="left" wrapText="1"/>
    </xf>
    <xf numFmtId="0" fontId="3" fillId="11" borderId="40" xfId="2" applyFont="1" applyFill="1" applyBorder="1" applyAlignment="1" applyProtection="1">
      <alignment horizontal="center" wrapText="1"/>
    </xf>
    <xf numFmtId="0" fontId="2" fillId="2" borderId="2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left"/>
    </xf>
    <xf numFmtId="0" fontId="0" fillId="0" borderId="0" xfId="0" applyBorder="1" applyAlignment="1">
      <alignment horizontal="center" wrapText="1"/>
    </xf>
    <xf numFmtId="0" fontId="2" fillId="2" borderId="61" xfId="0" applyFont="1" applyFill="1" applyBorder="1" applyAlignment="1" applyProtection="1">
      <alignment horizontal="left" wrapText="1"/>
    </xf>
    <xf numFmtId="0" fontId="2" fillId="2" borderId="62" xfId="0" applyFont="1" applyFill="1" applyBorder="1" applyAlignment="1" applyProtection="1">
      <alignment horizontal="left" wrapText="1"/>
    </xf>
    <xf numFmtId="0" fontId="2" fillId="2" borderId="16" xfId="0" applyFont="1" applyFill="1" applyBorder="1" applyAlignment="1" applyProtection="1">
      <alignment horizontal="left"/>
    </xf>
    <xf numFmtId="0" fontId="2" fillId="2" borderId="22" xfId="0" applyFont="1" applyFill="1" applyBorder="1" applyAlignment="1" applyProtection="1">
      <alignment horizontal="left"/>
    </xf>
    <xf numFmtId="0" fontId="2" fillId="2" borderId="17" xfId="0" applyFont="1" applyFill="1" applyBorder="1" applyAlignment="1" applyProtection="1">
      <alignment horizontal="left"/>
    </xf>
    <xf numFmtId="0" fontId="2" fillId="2" borderId="18" xfId="0" applyFont="1" applyFill="1" applyBorder="1" applyAlignment="1" applyProtection="1">
      <alignment horizontal="center" wrapText="1"/>
    </xf>
    <xf numFmtId="0" fontId="2" fillId="2" borderId="19" xfId="0" applyFont="1" applyFill="1" applyBorder="1" applyAlignment="1" applyProtection="1">
      <alignment horizontal="center" wrapText="1"/>
    </xf>
    <xf numFmtId="0" fontId="9" fillId="36" borderId="0" xfId="9" applyFont="1" applyFill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left" wrapText="1"/>
      <protection locked="0"/>
    </xf>
    <xf numFmtId="0" fontId="2" fillId="2" borderId="16" xfId="0" applyFont="1" applyFill="1" applyBorder="1" applyAlignment="1" applyProtection="1">
      <alignment horizontal="left"/>
      <protection locked="0"/>
    </xf>
    <xf numFmtId="0" fontId="2" fillId="2" borderId="17" xfId="0" applyFont="1" applyFill="1" applyBorder="1" applyAlignment="1" applyProtection="1">
      <alignment horizontal="left"/>
      <protection locked="0"/>
    </xf>
    <xf numFmtId="0" fontId="2" fillId="2" borderId="22" xfId="0" applyFont="1" applyFill="1" applyBorder="1" applyAlignment="1" applyProtection="1">
      <alignment horizontal="left"/>
      <protection locked="0"/>
    </xf>
    <xf numFmtId="0" fontId="2" fillId="2" borderId="19" xfId="0" applyFont="1" applyFill="1" applyBorder="1" applyAlignment="1" applyProtection="1">
      <alignment horizontal="left" wrapText="1"/>
      <protection locked="0"/>
    </xf>
    <xf numFmtId="0" fontId="2" fillId="2" borderId="18" xfId="0" applyFont="1" applyFill="1" applyBorder="1" applyAlignment="1" applyProtection="1">
      <alignment horizontal="left" wrapText="1"/>
      <protection locked="0"/>
    </xf>
    <xf numFmtId="0" fontId="2" fillId="2" borderId="0" xfId="0" applyFont="1" applyFill="1" applyBorder="1" applyAlignment="1" applyProtection="1">
      <alignment horizontal="left" wrapText="1"/>
    </xf>
    <xf numFmtId="165" fontId="3" fillId="5" borderId="6" xfId="1" applyNumberFormat="1" applyFont="1" applyFill="1" applyBorder="1" applyAlignment="1" applyProtection="1">
      <alignment horizontal="center"/>
      <protection locked="0"/>
    </xf>
    <xf numFmtId="165" fontId="3" fillId="5" borderId="25" xfId="1" applyNumberFormat="1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left"/>
    </xf>
    <xf numFmtId="165" fontId="3" fillId="5" borderId="13" xfId="1" applyNumberFormat="1" applyFont="1" applyFill="1" applyBorder="1" applyAlignment="1" applyProtection="1">
      <alignment horizontal="center"/>
      <protection locked="0"/>
    </xf>
    <xf numFmtId="165" fontId="3" fillId="5" borderId="27" xfId="1" applyNumberFormat="1" applyFont="1" applyFill="1" applyBorder="1" applyAlignment="1" applyProtection="1">
      <alignment horizontal="center"/>
      <protection locked="0"/>
    </xf>
    <xf numFmtId="0" fontId="2" fillId="2" borderId="57" xfId="0" applyFont="1" applyFill="1" applyBorder="1" applyAlignment="1" applyProtection="1">
      <alignment horizontal="left"/>
    </xf>
    <xf numFmtId="0" fontId="2" fillId="2" borderId="58" xfId="0" applyFont="1" applyFill="1" applyBorder="1" applyAlignment="1" applyProtection="1">
      <alignment horizontal="left"/>
    </xf>
    <xf numFmtId="0" fontId="2" fillId="2" borderId="34" xfId="0" applyFont="1" applyFill="1" applyBorder="1" applyAlignment="1" applyProtection="1">
      <alignment horizontal="left"/>
    </xf>
    <xf numFmtId="0" fontId="2" fillId="2" borderId="35" xfId="0" applyFont="1" applyFill="1" applyBorder="1" applyAlignment="1" applyProtection="1">
      <alignment horizontal="left"/>
    </xf>
    <xf numFmtId="0" fontId="2" fillId="2" borderId="38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left" wrapText="1"/>
    </xf>
    <xf numFmtId="0" fontId="43" fillId="0" borderId="77" xfId="0" applyFont="1" applyBorder="1" applyAlignment="1">
      <alignment horizontal="left" vertical="center" wrapText="1"/>
    </xf>
    <xf numFmtId="0" fontId="43" fillId="0" borderId="78" xfId="0" applyFont="1" applyBorder="1" applyAlignment="1">
      <alignment horizontal="left" vertical="center" wrapText="1"/>
    </xf>
    <xf numFmtId="0" fontId="43" fillId="0" borderId="79" xfId="0" applyFont="1" applyBorder="1" applyAlignment="1">
      <alignment horizontal="left" vertical="center" wrapText="1"/>
    </xf>
    <xf numFmtId="0" fontId="43" fillId="0" borderId="77" xfId="0" applyFont="1" applyBorder="1" applyAlignment="1">
      <alignment horizontal="center" vertical="center" wrapText="1"/>
    </xf>
    <xf numFmtId="0" fontId="43" fillId="0" borderId="78" xfId="0" applyFont="1" applyBorder="1" applyAlignment="1">
      <alignment horizontal="center" vertical="center" wrapText="1"/>
    </xf>
    <xf numFmtId="0" fontId="43" fillId="0" borderId="79" xfId="0" applyFont="1" applyBorder="1" applyAlignment="1">
      <alignment horizontal="center" vertical="center" wrapText="1"/>
    </xf>
    <xf numFmtId="0" fontId="42" fillId="34" borderId="63" xfId="0" applyFont="1" applyFill="1" applyBorder="1" applyAlignment="1">
      <alignment horizontal="center" vertical="center" wrapText="1"/>
    </xf>
    <xf numFmtId="0" fontId="42" fillId="34" borderId="75" xfId="0" applyFont="1" applyFill="1" applyBorder="1" applyAlignment="1">
      <alignment horizontal="center" vertical="center" wrapText="1"/>
    </xf>
    <xf numFmtId="0" fontId="42" fillId="34" borderId="76" xfId="0" applyFont="1" applyFill="1" applyBorder="1" applyAlignment="1">
      <alignment horizontal="center" vertical="center" wrapText="1"/>
    </xf>
    <xf numFmtId="10" fontId="43" fillId="0" borderId="77" xfId="0" applyNumberFormat="1" applyFont="1" applyBorder="1" applyAlignment="1">
      <alignment horizontal="center" vertical="center" wrapText="1"/>
    </xf>
    <xf numFmtId="10" fontId="43" fillId="0" borderId="78" xfId="0" applyNumberFormat="1" applyFont="1" applyBorder="1" applyAlignment="1">
      <alignment horizontal="center" vertical="center" wrapText="1"/>
    </xf>
    <xf numFmtId="10" fontId="43" fillId="0" borderId="79" xfId="0" applyNumberFormat="1" applyFont="1" applyBorder="1" applyAlignment="1">
      <alignment horizontal="center" vertical="center" wrapText="1"/>
    </xf>
  </cellXfs>
  <cellStyles count="20">
    <cellStyle name="Comma" xfId="1" builtinId="3"/>
    <cellStyle name="Comma 2" xfId="8" xr:uid="{00000000-0005-0000-0000-000001000000}"/>
    <cellStyle name="Comma_PULIANI" xfId="7" xr:uid="{00000000-0005-0000-0000-000002000000}"/>
    <cellStyle name="Hyperlink" xfId="5" builtinId="8"/>
    <cellStyle name="Hyperlink 2" xfId="13" xr:uid="{903204C7-D583-4619-BE45-01FAD692CBE1}"/>
    <cellStyle name="Normal" xfId="0" builtinId="0"/>
    <cellStyle name="Normal 2" xfId="6" xr:uid="{00000000-0005-0000-0000-000005000000}"/>
    <cellStyle name="Normal 3" xfId="9" xr:uid="{315A4239-125E-45E6-B6B8-ABE3B02ACF87}"/>
    <cellStyle name="Normal 3 2" xfId="10" xr:uid="{85D24923-8572-45EB-AB10-33DBCB586449}"/>
    <cellStyle name="Normal 3 3" xfId="12" xr:uid="{17543526-CFD0-43C1-B81E-FD902BF485DC}"/>
    <cellStyle name="Normal 4" xfId="2" xr:uid="{00000000-0005-0000-0000-000006000000}"/>
    <cellStyle name="Normal 58" xfId="15" xr:uid="{B8853281-AD4B-40BE-BD63-F371173DEF0F}"/>
    <cellStyle name="Normal 58 2" xfId="19" xr:uid="{16439D1A-4346-43EB-B7F7-3A27F7CC543D}"/>
    <cellStyle name="Normal 58 3" xfId="17" xr:uid="{6FCB5C03-1969-4E47-8047-C832034F7561}"/>
    <cellStyle name="Normal 6" xfId="16" xr:uid="{843794C9-8E67-4DCD-9C09-9140DDEBE434}"/>
    <cellStyle name="Normal 7" xfId="18" xr:uid="{01091C46-59D5-4805-9D24-A4DF34D9F6A7}"/>
    <cellStyle name="Normal_senp__eligibility" xfId="4" xr:uid="{00000000-0005-0000-0000-000007000000}"/>
    <cellStyle name="Percent" xfId="3" builtinId="5"/>
    <cellStyle name="Percent 2" xfId="11" xr:uid="{CF4E9861-D833-427D-88B0-B3771C76AE8E}"/>
    <cellStyle name="Percent 3" xfId="14" xr:uid="{CFCF34F2-8A48-449F-B74B-8777A512C8B3}"/>
  </cellStyles>
  <dxfs count="205"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2" tint="-0.24994659260841701"/>
      </font>
      <fill>
        <patternFill>
          <bgColor theme="2" tint="-0.2499465926084170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2" tint="-0.24994659260841701"/>
      </font>
      <fill>
        <patternFill>
          <bgColor theme="2" tint="-0.2499465926084170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5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5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5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5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" formatCode="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5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theme="1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center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NP-ICIC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89206\Desktop\Calculators\SENP%20Calculator\Copy%20of%20SENP_Calculator_Final-2018%20V4%20-%20Lock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16.168.211/Users/120127.ICICIBANKLTD/AppData/Local/Microsoft/Windows/Temporary%20Internet%20Files/Content.Outlook/4F4ZWR3C/Banking_product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Profile"/>
      <sheetName val="ITR"/>
      <sheetName val="ROC"/>
      <sheetName val="GST"/>
      <sheetName val="KYC"/>
      <sheetName val="Financial Statement-Combined"/>
      <sheetName val="Cash Flow"/>
      <sheetName val="Financial Statement1"/>
      <sheetName val="Financial Statement2"/>
      <sheetName val="Financial Statement3"/>
      <sheetName val="Financial Statement4"/>
      <sheetName val="Instructions"/>
      <sheetName val="Ratios Sheet - combined"/>
      <sheetName val="Ratios Sheet1"/>
      <sheetName val="Ratios Sheet2"/>
      <sheetName val="Ratios Sheet3"/>
      <sheetName val="Ratios Sheet4"/>
      <sheetName val="Daily-Balance"/>
      <sheetName val="Credit Summation"/>
      <sheetName val="Analysis-Debit"/>
      <sheetName val="Analysis-Credit"/>
      <sheetName val="NC-RTR"/>
      <sheetName val="Eligibility"/>
      <sheetName val="Variant Inputs &amp; Comparison"/>
      <sheetName val="Empower HL &amp; NRP"/>
      <sheetName val="Banking product- Eligibility"/>
      <sheetName val="Express BT - Non Home"/>
      <sheetName val="Express BT - Home"/>
      <sheetName val="GTP - Eligib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5">
          <cell r="IV5" t="e">
            <v>#NUM!</v>
          </cell>
        </row>
        <row r="13">
          <cell r="IV13" t="e">
            <v>#NUM!</v>
          </cell>
        </row>
        <row r="15">
          <cell r="IV15">
            <v>0</v>
          </cell>
        </row>
        <row r="16">
          <cell r="IV16">
            <v>0</v>
          </cell>
        </row>
      </sheetData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atios Sheet1"/>
      <sheetName val="Ratios Sheet2"/>
      <sheetName val="Ratios Sheet3"/>
      <sheetName val="Ratios Sheet4"/>
      <sheetName val="Ratios Sheet - combined"/>
      <sheetName val="Eligibility"/>
      <sheetName val="Daily balance"/>
      <sheetName val="Variant Inputs &amp; Comparison"/>
      <sheetName val="Credit Summation"/>
      <sheetName val="Empower HL &amp; NRP"/>
      <sheetName val="Banking product- Eligibility"/>
      <sheetName val="Express BT"/>
      <sheetName val="GTP - Eligibility"/>
    </sheetNames>
    <sheetDataSet>
      <sheetData sheetId="0"/>
      <sheetData sheetId="1"/>
      <sheetData sheetId="2"/>
      <sheetData sheetId="3"/>
      <sheetData sheetId="4"/>
      <sheetData sheetId="5"/>
      <sheetData sheetId="6">
        <row r="38">
          <cell r="F38">
            <v>2336584.441417126</v>
          </cell>
        </row>
      </sheetData>
      <sheetData sheetId="7"/>
      <sheetData sheetId="8"/>
      <sheetData sheetId="9"/>
      <sheetData sheetId="10"/>
      <sheetData sheetId="11">
        <row r="5">
          <cell r="IV5">
            <v>32043.410787595167</v>
          </cell>
        </row>
        <row r="13">
          <cell r="IV13">
            <v>64086.821575190334</v>
          </cell>
        </row>
        <row r="15">
          <cell r="IV15">
            <v>1841052.7777777778</v>
          </cell>
        </row>
        <row r="16">
          <cell r="IV16">
            <v>2454737.0370370368</v>
          </cell>
        </row>
      </sheetData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aily balance"/>
      <sheetName val="Credit Summation"/>
      <sheetName val="Banking product- Eligibility"/>
    </sheetNames>
    <sheetDataSet>
      <sheetData sheetId="0" refreshError="1"/>
      <sheetData sheetId="1" refreshError="1"/>
      <sheetData sheetId="2">
        <row r="12">
          <cell r="II12">
            <v>0</v>
          </cell>
        </row>
        <row r="13">
          <cell r="II13">
            <v>1</v>
          </cell>
        </row>
        <row r="14">
          <cell r="II14">
            <v>1</v>
          </cell>
        </row>
        <row r="31">
          <cell r="B31">
            <v>0</v>
          </cell>
        </row>
      </sheetData>
      <sheetData sheetId="3">
        <row r="5">
          <cell r="IV5">
            <v>38068.572278880114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3371C-BB66-4397-A4FE-E932E7B384EC}" name="LoanTrack" displayName="LoanTrack" ref="B26:BC36" headerRowCount="0" totalsRowCount="1" headerRowDxfId="185" dataDxfId="183" totalsRowDxfId="181" headerRowBorderDxfId="184" tableBorderDxfId="182" totalsRowBorderDxfId="180">
  <tableColumns count="54">
    <tableColumn id="1" xr3:uid="{35459ED0-8CA7-4794-B623-DB086DC766B1}" name="Column1" totalsRowLabel="Total" headerRowDxfId="179" dataDxfId="178" totalsRowDxfId="177" totalsRowCellStyle="Normal 2"/>
    <tableColumn id="2" xr3:uid="{1DD3A005-C74D-4815-8531-04515D9C8A2C}" name="Column2" headerRowDxfId="176" dataDxfId="175" totalsRowDxfId="174" totalsRowCellStyle="Normal 2"/>
    <tableColumn id="3" xr3:uid="{FB9BC393-2454-4EFE-8C72-288FCD716B73}" name="Column3" totalsRowFunction="count" headerRowDxfId="173" dataDxfId="172" totalsRowDxfId="171" totalsRowCellStyle="Normal 2"/>
    <tableColumn id="4" xr3:uid="{03EF6B8F-879C-4021-B36B-F4CFC5899EBB}" name="Column4" totalsRowFunction="sum" headerRowDxfId="170" dataDxfId="169" totalsRowDxfId="168" totalsRowCellStyle="Normal 2"/>
    <tableColumn id="53" xr3:uid="{98ED543B-6EE6-4ED0-B8EC-931E1BB3ED1C}" name="Column52" totalsRowFunction="sum" headerRowDxfId="167" dataDxfId="166" totalsRowDxfId="165" totalsRowCellStyle="Normal 2"/>
    <tableColumn id="5" xr3:uid="{99C0B1F1-CC21-4550-A97C-C2F2ADA8DC77}" name="Column5" totalsRowFunction="sum" headerRowDxfId="164" dataDxfId="163" totalsRowDxfId="162" totalsRowCellStyle="Normal 2"/>
    <tableColumn id="6" xr3:uid="{FA8887B9-EC43-48E1-B303-36F43F8F7784}" name="Column6" headerRowDxfId="161" dataDxfId="160" totalsRowDxfId="159" totalsRowCellStyle="Normal 2"/>
    <tableColumn id="54" xr3:uid="{76AB320A-F094-4F58-B58A-40A6B6838714}" name="Column54" totalsRowFunction="sum" headerRowDxfId="158" dataDxfId="157" totalsRowDxfId="156" dataCellStyle="Normal 3 2" totalsRowCellStyle="Normal 2"/>
    <tableColumn id="7" xr3:uid="{15077505-127F-4862-813F-AAE1861DB255}" name="Column7" headerRowDxfId="155" dataDxfId="154" totalsRowDxfId="153" totalsRowCellStyle="Normal 2"/>
    <tableColumn id="8" xr3:uid="{C3DFA59B-6FFA-4A22-ABF9-C9AFD9F85027}" name="Column8" headerRowDxfId="152" dataDxfId="151" totalsRowDxfId="150" totalsRowCellStyle="Normal 2">
      <calculatedColumnFormula>IFERROR(IF(J26&lt;(TODAY()-H26)/30,"",J26-((TODAY()-H26)/30)+1),"")</calculatedColumnFormula>
    </tableColumn>
    <tableColumn id="9" xr3:uid="{974C744D-7B9C-45AE-BDE5-1FFD803D5BD1}" name="Column9" totalsRowFunction="custom" headerRowDxfId="149" dataDxfId="148" totalsRowDxfId="147" totalsRowCellStyle="Normal 2">
      <totalsRowFormula>COUNTIF(L26:L35,"Yes")</totalsRowFormula>
    </tableColumn>
    <tableColumn id="10" xr3:uid="{2AEE8DA7-C7C7-4E45-917B-72D8C2A51BFA}" name="Column10" totalsRowFunction="sum" headerRowDxfId="146" dataDxfId="145" totalsRowDxfId="144" totalsRowCellStyle="Normal 2">
      <calculatedColumnFormula>IF(OR(L26="Yes",AND(K26&gt;1,K26&lt;&gt;"")),G26,"")</calculatedColumnFormula>
    </tableColumn>
    <tableColumn id="11" xr3:uid="{4AE4DA56-5B88-48B3-8398-710A64DC8543}" name="Column11" totalsRowFunction="custom" headerRowDxfId="143" dataDxfId="142" totalsRowDxfId="141" totalsRowCellStyle="Normal 2">
      <totalsRowFormula>SUMPRODUCT((N26:N35&lt;&gt;"")/COUNTIF(N26:N35,N26:N35&amp;""))</totalsRowFormula>
    </tableColumn>
    <tableColumn id="52" xr3:uid="{5906A00C-22A2-435E-859B-D9D121C39040}" name="Column51" totalsRowFunction="sum" headerRowDxfId="140" dataDxfId="139" totalsRowDxfId="138" dataCellStyle="Normal 3 2" totalsRowCellStyle="Normal 2">
      <calculatedColumnFormula>IF($G26&lt;&gt;"",COUNT($S26,$V26,$Y26,$AB26,$AE26,$AH26,$AK26,$AN26,$AQ26,$AT26,$AW26,$AZ26),"")</calculatedColumnFormula>
    </tableColumn>
    <tableColumn id="55" xr3:uid="{90E7A8F8-7209-4C12-9A0B-327410BE2121}" name="Column53" totalsRowFunction="sum" headerRowDxfId="137" dataDxfId="136" totalsRowDxfId="135" dataCellStyle="Normal 3 2" totalsRowCellStyle="Normal 2"/>
    <tableColumn id="51" xr3:uid="{72C9991C-A45F-4C42-B864-182535A04A63}" name="Column50" totalsRowFunction="sum" headerRowDxfId="134" dataDxfId="133" totalsRowDxfId="132" dataCellStyle="Normal 3 2" totalsRowCellStyle="Normal 2">
      <calculatedColumnFormula>IF($G26&lt;&gt;"",SUM($T26,$W26,$Z26,$AC26,$AF26,$AI26,$AL26,$AO26,$AR26,$AU26,$AX26,$BA26),"")</calculatedColumnFormula>
    </tableColumn>
    <tableColumn id="50" xr3:uid="{4905F0A6-04BC-4089-AB85-A92C86CD5088}" name="Column49" totalsRowFunction="custom" headerRowDxfId="131" dataDxfId="130" totalsRowDxfId="129" dataCellStyle="Normal 3 2" totalsRowCellStyle="Normal 2">
      <calculatedColumnFormula>IF($G26&lt;&gt;"",IFERROR(AVERAGE($U26,$X26,$AA26,$AD26,$AG26,$AJ26,$AM26,$AP26,$AS26,$AV26,$AY26,$BB26),""),"")</calculatedColumnFormula>
      <totalsRowFormula>IFERROR(SUBTOTAL(101,R26:R35),"")</totalsRowFormula>
    </tableColumn>
    <tableColumn id="12" xr3:uid="{AF932EC9-10F9-49F8-BAEE-21619AFABD75}" name="Column12" totalsRowFunction="count" headerRowDxfId="128" dataDxfId="127" totalsRowDxfId="126" totalsRowCellStyle="Normal 2"/>
    <tableColumn id="13" xr3:uid="{8C3F55CC-66B7-4C6E-92A4-D05312BF3920}" name="Column13" totalsRowFunction="sum" headerRowDxfId="125" dataDxfId="124" totalsRowDxfId="123" totalsRowCellStyle="Normal 2"/>
    <tableColumn id="14" xr3:uid="{BD36A5ED-194E-4F6A-B944-33DFC939B2DB}" name="Column14" totalsRowFunction="custom" headerRowDxfId="122" dataDxfId="121" totalsRowDxfId="120" totalsRowCellStyle="Normal 2">
      <totalsRowFormula>IFERROR(SUBTOTAL(101,U26:U35),"")</totalsRowFormula>
    </tableColumn>
    <tableColumn id="15" xr3:uid="{5F78151C-DE3B-43D6-8FA5-EEE0BD3D6BE0}" name="Column15" totalsRowFunction="count" headerRowDxfId="119" dataDxfId="118" totalsRowDxfId="117" totalsRowCellStyle="Normal 2"/>
    <tableColumn id="16" xr3:uid="{118DAB81-68B1-43C6-BF2E-F70D20FA13C2}" name="Column16" totalsRowFunction="sum" headerRowDxfId="116" dataDxfId="115" totalsRowDxfId="114" totalsRowCellStyle="Normal 2"/>
    <tableColumn id="17" xr3:uid="{BC8B4506-E692-4DD1-85C1-890054C6A130}" name="Column17" totalsRowFunction="custom" headerRowDxfId="113" dataDxfId="112" totalsRowDxfId="111" totalsRowCellStyle="Normal 2">
      <totalsRowFormula>IFERROR(SUBTOTAL(101,X26:X35),"")</totalsRowFormula>
    </tableColumn>
    <tableColumn id="18" xr3:uid="{240F1DAB-AE7D-4371-B2B6-1A7E88497670}" name="Column18" totalsRowFunction="count" headerRowDxfId="110" dataDxfId="109" totalsRowDxfId="108" totalsRowCellStyle="Normal 2"/>
    <tableColumn id="19" xr3:uid="{CA4677E6-BD86-4E29-9D38-7D7147EE1D50}" name="Column19" totalsRowFunction="sum" headerRowDxfId="107" dataDxfId="106" totalsRowDxfId="105" totalsRowCellStyle="Normal 2"/>
    <tableColumn id="20" xr3:uid="{69806BFF-73F8-4694-AB83-DCDB7AC46587}" name="Column20" totalsRowFunction="custom" headerRowDxfId="104" dataDxfId="103" totalsRowDxfId="102" totalsRowCellStyle="Normal 2">
      <totalsRowFormula>IFERROR(SUBTOTAL(101,AA26:AA35),"")</totalsRowFormula>
    </tableColumn>
    <tableColumn id="21" xr3:uid="{F4A14207-A594-4DC1-9550-B8BCEFC570AA}" name="Column21" totalsRowFunction="count" headerRowDxfId="101" dataDxfId="100" totalsRowDxfId="99" totalsRowCellStyle="Normal 2"/>
    <tableColumn id="22" xr3:uid="{D25AE1C6-BC15-489C-9FD7-83EFAF6FB459}" name="Column22" totalsRowFunction="sum" headerRowDxfId="98" dataDxfId="97" totalsRowDxfId="96" totalsRowCellStyle="Normal 2"/>
    <tableColumn id="23" xr3:uid="{5708BB16-E06E-490B-BFF0-2F3B3F8A4FF6}" name="Column23" totalsRowFunction="custom" headerRowDxfId="95" dataDxfId="94" totalsRowDxfId="93" totalsRowCellStyle="Normal 2">
      <totalsRowFormula>IFERROR(SUBTOTAL(101,AD26:AD35),"")</totalsRowFormula>
    </tableColumn>
    <tableColumn id="24" xr3:uid="{2B5FB6A8-0B2F-49EC-BB9C-E006B5F74884}" name="Column24" totalsRowFunction="count" headerRowDxfId="92" dataDxfId="91" totalsRowDxfId="90" totalsRowCellStyle="Normal 2"/>
    <tableColumn id="25" xr3:uid="{ED15E58E-3F3E-4E81-B5B9-5E6247C0708F}" name="Column25" totalsRowFunction="sum" headerRowDxfId="89" dataDxfId="88" totalsRowDxfId="87" totalsRowCellStyle="Normal 2"/>
    <tableColumn id="26" xr3:uid="{82667CEE-7DDE-48FA-8E96-6DCF4F117F8C}" name="Column26" totalsRowFunction="custom" headerRowDxfId="86" dataDxfId="85" totalsRowDxfId="84" totalsRowCellStyle="Normal 2">
      <totalsRowFormula>IFERROR(SUBTOTAL(101,AG26:AG35),"")</totalsRowFormula>
    </tableColumn>
    <tableColumn id="27" xr3:uid="{6B64B7EF-B04F-47A1-BC2F-483C0C668303}" name="Column27" totalsRowFunction="count" headerRowDxfId="83" dataDxfId="82" totalsRowDxfId="81" totalsRowCellStyle="Normal 2"/>
    <tableColumn id="28" xr3:uid="{51B2C91B-979F-4FBE-9AA2-3A36FFB0800F}" name="Column28" totalsRowFunction="sum" headerRowDxfId="80" dataDxfId="79" totalsRowDxfId="78" totalsRowCellStyle="Normal 2"/>
    <tableColumn id="29" xr3:uid="{58F26F4F-E227-4D08-BBBF-B6EB7799E6A5}" name="Column29" totalsRowFunction="custom" headerRowDxfId="77" dataDxfId="76" totalsRowDxfId="75" totalsRowCellStyle="Normal 2">
      <totalsRowFormula>IFERROR(SUBTOTAL(101,AJ26:AJ35),"")</totalsRowFormula>
    </tableColumn>
    <tableColumn id="30" xr3:uid="{89F836D0-3715-42F0-B1FB-C22BA4453289}" name="Column30" totalsRowFunction="count" headerRowDxfId="74" dataDxfId="73" totalsRowDxfId="72" totalsRowCellStyle="Normal 2"/>
    <tableColumn id="31" xr3:uid="{A4244E2E-C716-4ECE-AA7E-EF8A843F865C}" name="Column31" totalsRowFunction="sum" headerRowDxfId="71" dataDxfId="70" totalsRowDxfId="69" totalsRowCellStyle="Normal 2"/>
    <tableColumn id="32" xr3:uid="{9035CFE2-79C4-46A1-B451-363BC80EB943}" name="Column32" totalsRowFunction="custom" headerRowDxfId="68" dataDxfId="67" totalsRowDxfId="66" totalsRowCellStyle="Normal 2">
      <totalsRowFormula>IFERROR(SUBTOTAL(101,AM26:AM35),"")</totalsRowFormula>
    </tableColumn>
    <tableColumn id="33" xr3:uid="{07D2B9DD-90A1-4CAA-B8D7-D1D62F565ACE}" name="Column33" totalsRowFunction="count" headerRowDxfId="65" dataDxfId="64" totalsRowDxfId="63" totalsRowCellStyle="Normal 2"/>
    <tableColumn id="34" xr3:uid="{3AA3B466-2BD7-4317-A62F-09595DDE4592}" name="Column34" totalsRowFunction="sum" headerRowDxfId="62" dataDxfId="61" totalsRowDxfId="60" totalsRowCellStyle="Normal 2"/>
    <tableColumn id="35" xr3:uid="{A5C93C6F-B95C-49B6-BE7E-6DD65E90615C}" name="Column35" totalsRowFunction="custom" headerRowDxfId="59" dataDxfId="58" totalsRowDxfId="57" totalsRowCellStyle="Normal 2">
      <totalsRowFormula>IFERROR(SUBTOTAL(101,AP26:AP35),"")</totalsRowFormula>
    </tableColumn>
    <tableColumn id="36" xr3:uid="{4C528CCE-8090-4974-88A8-6B11FBA0550D}" name="Column36" totalsRowFunction="count" headerRowDxfId="56" dataDxfId="55" totalsRowDxfId="54" totalsRowCellStyle="Normal 2"/>
    <tableColumn id="37" xr3:uid="{A269E967-87C0-4A51-B18D-6AF49025E5FC}" name="Column37" totalsRowFunction="sum" headerRowDxfId="53" dataDxfId="52" totalsRowDxfId="51" totalsRowCellStyle="Normal 2"/>
    <tableColumn id="38" xr3:uid="{1DF1F245-B3A4-4F83-99B5-91A30FACE610}" name="Column38" totalsRowFunction="custom" headerRowDxfId="50" dataDxfId="49" totalsRowDxfId="48" totalsRowCellStyle="Normal 2">
      <totalsRowFormula>IFERROR(SUBTOTAL(101,AS26:AS35),"")</totalsRowFormula>
    </tableColumn>
    <tableColumn id="39" xr3:uid="{E9E1D645-1D40-4DFD-BD88-CF0F01AED411}" name="Column39" totalsRowFunction="count" headerRowDxfId="47" dataDxfId="46" totalsRowDxfId="45" totalsRowCellStyle="Normal 2"/>
    <tableColumn id="40" xr3:uid="{C9F7C565-BD28-43FE-BCBA-3BB7AE2E3185}" name="Column40" totalsRowFunction="sum" headerRowDxfId="44" dataDxfId="43" totalsRowDxfId="42" totalsRowCellStyle="Normal 2"/>
    <tableColumn id="41" xr3:uid="{6FFC7EEE-3D22-4D12-A8F1-85E26FE85D81}" name="Column41" totalsRowFunction="custom" headerRowDxfId="41" dataDxfId="40" totalsRowDxfId="39" totalsRowCellStyle="Normal 2">
      <totalsRowFormula>IFERROR(SUBTOTAL(101,AV26:AV35),"")</totalsRowFormula>
    </tableColumn>
    <tableColumn id="42" xr3:uid="{5660B1C7-EBD7-4C30-9D10-CEBC9DE62C83}" name="Column42" totalsRowFunction="count" headerRowDxfId="38" dataDxfId="37" totalsRowDxfId="36" totalsRowCellStyle="Normal 2"/>
    <tableColumn id="43" xr3:uid="{96A516E1-AEBC-42F6-8474-F5DE0D36325E}" name="Column43" totalsRowFunction="sum" headerRowDxfId="35" dataDxfId="34" totalsRowDxfId="33" totalsRowCellStyle="Normal 2"/>
    <tableColumn id="44" xr3:uid="{F2B050B9-767A-4A49-B3A2-A3455336A24E}" name="Column44" totalsRowFunction="custom" headerRowDxfId="32" dataDxfId="31" totalsRowDxfId="30" totalsRowCellStyle="Normal 2">
      <totalsRowFormula>IFERROR(SUBTOTAL(101,AY26:AY35),"")</totalsRowFormula>
    </tableColumn>
    <tableColumn id="45" xr3:uid="{82E82385-9554-43B4-808A-AA9E0696DFDB}" name="Column45" totalsRowFunction="count" headerRowDxfId="29" dataDxfId="28" totalsRowDxfId="27" totalsRowCellStyle="Normal 2"/>
    <tableColumn id="46" xr3:uid="{BAF98C38-0418-41E2-B9BD-97243F5680A9}" name="Column46" totalsRowFunction="sum" headerRowDxfId="26" dataDxfId="25" totalsRowDxfId="24" totalsRowCellStyle="Normal 2"/>
    <tableColumn id="47" xr3:uid="{DB5DF147-EAA4-44AD-84EB-6C9CC2C34476}" name="Column47" totalsRowFunction="custom" headerRowDxfId="23" dataDxfId="22" totalsRowDxfId="21" totalsRowCellStyle="Normal 2">
      <totalsRowFormula>IFERROR(SUBTOTAL(101,BB26:BB35),"")</totalsRowFormula>
    </tableColumn>
    <tableColumn id="48" xr3:uid="{B05E8EDB-AAAE-4CE1-A06C-108C57DE0FAD}" name="Column48" totalsRowFunction="count" headerRowDxfId="20" dataDxfId="19" totalsRowDxfId="18" totalsRowCellStyle="Normal 2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357C-7393-4FDA-AC65-E58ED65F9D1D}">
  <sheetPr codeName="Sheet24">
    <tabColor theme="3" tint="-0.499984740745262"/>
  </sheetPr>
  <dimension ref="A1:J70"/>
  <sheetViews>
    <sheetView showRowColHeaders="0" workbookViewId="0">
      <selection activeCell="J13" sqref="J13"/>
    </sheetView>
  </sheetViews>
  <sheetFormatPr defaultRowHeight="14.25" outlineLevelRow="2"/>
  <cols>
    <col min="1" max="1" width="3" style="407" customWidth="1"/>
    <col min="2" max="2" width="3.85546875" style="407" customWidth="1"/>
    <col min="3" max="3" width="25.85546875" style="407" customWidth="1"/>
    <col min="4" max="9" width="13.28515625" style="407" customWidth="1"/>
    <col min="10" max="10" width="52.140625" style="407" customWidth="1"/>
    <col min="11" max="11" width="12.140625" style="407" customWidth="1"/>
    <col min="12" max="13" width="9.140625" style="407" customWidth="1"/>
    <col min="14" max="16384" width="9.140625" style="407"/>
  </cols>
  <sheetData>
    <row r="1" spans="1:10" ht="15" thickBot="1">
      <c r="B1" s="408"/>
      <c r="C1" s="408"/>
      <c r="D1" s="408"/>
      <c r="E1" s="408"/>
      <c r="F1" s="408"/>
      <c r="G1" s="409"/>
      <c r="H1" s="409"/>
      <c r="I1" s="409"/>
    </row>
    <row r="2" spans="1:10" ht="21.75" customHeight="1" thickBot="1">
      <c r="A2" s="410"/>
      <c r="B2" s="624" t="s">
        <v>898</v>
      </c>
      <c r="C2" s="625"/>
      <c r="D2" s="625"/>
      <c r="E2" s="625"/>
      <c r="F2" s="625"/>
      <c r="G2" s="625"/>
      <c r="H2" s="625"/>
      <c r="I2" s="626"/>
      <c r="J2" s="411"/>
    </row>
    <row r="3" spans="1:10" ht="15.75" customHeight="1">
      <c r="A3" s="410"/>
      <c r="B3" s="568" t="s">
        <v>1043</v>
      </c>
      <c r="C3" s="569"/>
      <c r="D3" s="627"/>
      <c r="E3" s="627"/>
      <c r="F3" s="628" t="s">
        <v>1044</v>
      </c>
      <c r="G3" s="629"/>
      <c r="H3" s="627"/>
      <c r="I3" s="630"/>
      <c r="J3" s="411"/>
    </row>
    <row r="4" spans="1:10">
      <c r="A4" s="410"/>
      <c r="B4" s="551" t="s">
        <v>1045</v>
      </c>
      <c r="C4" s="552"/>
      <c r="D4" s="620"/>
      <c r="E4" s="620"/>
      <c r="F4" s="620"/>
      <c r="G4" s="620"/>
      <c r="H4" s="620"/>
      <c r="I4" s="621"/>
      <c r="J4" s="411"/>
    </row>
    <row r="5" spans="1:10" outlineLevel="1">
      <c r="A5" s="410"/>
      <c r="B5" s="551" t="s">
        <v>1046</v>
      </c>
      <c r="C5" s="552"/>
      <c r="D5" s="620"/>
      <c r="E5" s="620"/>
      <c r="F5" s="620"/>
      <c r="G5" s="620"/>
      <c r="H5" s="620"/>
      <c r="I5" s="621"/>
      <c r="J5" s="411"/>
    </row>
    <row r="6" spans="1:10" outlineLevel="1">
      <c r="A6" s="410"/>
      <c r="B6" s="551" t="s">
        <v>1047</v>
      </c>
      <c r="C6" s="552"/>
      <c r="D6" s="620"/>
      <c r="E6" s="620"/>
      <c r="F6" s="620"/>
      <c r="G6" s="620"/>
      <c r="H6" s="620"/>
      <c r="I6" s="621"/>
      <c r="J6" s="411"/>
    </row>
    <row r="7" spans="1:10" outlineLevel="1">
      <c r="A7" s="410"/>
      <c r="B7" s="551" t="s">
        <v>1048</v>
      </c>
      <c r="C7" s="552"/>
      <c r="D7" s="620"/>
      <c r="E7" s="620"/>
      <c r="F7" s="577" t="s">
        <v>1049</v>
      </c>
      <c r="G7" s="578"/>
      <c r="H7" s="622"/>
      <c r="I7" s="623"/>
      <c r="J7" s="411"/>
    </row>
    <row r="8" spans="1:10" outlineLevel="1">
      <c r="A8" s="410"/>
      <c r="B8" s="551" t="s">
        <v>1050</v>
      </c>
      <c r="C8" s="552"/>
      <c r="D8" s="631">
        <f>GST!E3</f>
        <v>0</v>
      </c>
      <c r="E8" s="631"/>
      <c r="F8" s="577" t="s">
        <v>1051</v>
      </c>
      <c r="G8" s="578"/>
      <c r="H8" s="631">
        <f>GST!E8</f>
        <v>0</v>
      </c>
      <c r="I8" s="632"/>
      <c r="J8" s="411"/>
    </row>
    <row r="9" spans="1:10">
      <c r="A9" s="410"/>
      <c r="B9" s="551" t="s">
        <v>1052</v>
      </c>
      <c r="C9" s="552"/>
      <c r="D9" s="617"/>
      <c r="E9" s="617"/>
      <c r="F9" s="577" t="s">
        <v>1053</v>
      </c>
      <c r="G9" s="578"/>
      <c r="H9" s="618" t="str">
        <f ca="1">IF(D9&lt;&gt;"",DATEDIF(D9,TODAY(),"Y")&amp;" Years","")</f>
        <v/>
      </c>
      <c r="I9" s="619"/>
      <c r="J9" s="411"/>
    </row>
    <row r="10" spans="1:10" ht="14.25" customHeight="1">
      <c r="A10" s="410"/>
      <c r="B10" s="551" t="s">
        <v>1054</v>
      </c>
      <c r="C10" s="552"/>
      <c r="D10" s="615"/>
      <c r="E10" s="615"/>
      <c r="F10" s="577" t="s">
        <v>1055</v>
      </c>
      <c r="G10" s="578"/>
      <c r="H10" s="615"/>
      <c r="I10" s="616"/>
      <c r="J10" s="411"/>
    </row>
    <row r="11" spans="1:10" outlineLevel="1">
      <c r="A11" s="410"/>
      <c r="B11" s="551" t="s">
        <v>1056</v>
      </c>
      <c r="C11" s="552"/>
      <c r="D11" s="613">
        <f>ROC!E3</f>
        <v>0</v>
      </c>
      <c r="E11" s="613"/>
      <c r="F11" s="577" t="s">
        <v>1051</v>
      </c>
      <c r="G11" s="578"/>
      <c r="H11" s="613">
        <f>ROC!E22</f>
        <v>0</v>
      </c>
      <c r="I11" s="614"/>
      <c r="J11" s="411"/>
    </row>
    <row r="12" spans="1:10" outlineLevel="1">
      <c r="A12" s="410"/>
      <c r="B12" s="551" t="s">
        <v>1057</v>
      </c>
      <c r="C12" s="552"/>
      <c r="D12" s="611">
        <f>ROC!E10</f>
        <v>0</v>
      </c>
      <c r="E12" s="611"/>
      <c r="F12" s="577" t="s">
        <v>1058</v>
      </c>
      <c r="G12" s="578"/>
      <c r="H12" s="611">
        <f>ROC!E11</f>
        <v>0</v>
      </c>
      <c r="I12" s="612"/>
      <c r="J12" s="411"/>
    </row>
    <row r="13" spans="1:10" ht="31.5" customHeight="1">
      <c r="A13" s="410"/>
      <c r="B13" s="551" t="s">
        <v>1059</v>
      </c>
      <c r="C13" s="552"/>
      <c r="D13" s="613"/>
      <c r="E13" s="613"/>
      <c r="F13" s="613"/>
      <c r="G13" s="613"/>
      <c r="H13" s="613"/>
      <c r="I13" s="614"/>
      <c r="J13" s="411"/>
    </row>
    <row r="14" spans="1:10" ht="15" thickBot="1">
      <c r="A14" s="410"/>
      <c r="B14" s="603" t="s">
        <v>1167</v>
      </c>
      <c r="C14" s="604"/>
      <c r="D14" s="605">
        <v>0</v>
      </c>
      <c r="E14" s="605"/>
      <c r="F14" s="606" t="s">
        <v>1168</v>
      </c>
      <c r="G14" s="587"/>
      <c r="H14" s="605">
        <v>0</v>
      </c>
      <c r="I14" s="607"/>
      <c r="J14" s="411"/>
    </row>
    <row r="15" spans="1:10" ht="21" customHeight="1" outlineLevel="1" thickBot="1">
      <c r="A15" s="410"/>
      <c r="B15" s="608" t="s">
        <v>1060</v>
      </c>
      <c r="C15" s="609"/>
      <c r="D15" s="609"/>
      <c r="E15" s="609"/>
      <c r="F15" s="609"/>
      <c r="G15" s="609"/>
      <c r="H15" s="609"/>
      <c r="I15" s="610"/>
      <c r="J15" s="411"/>
    </row>
    <row r="16" spans="1:10" ht="15" outlineLevel="1">
      <c r="A16" s="410"/>
      <c r="B16" s="573" t="s">
        <v>1061</v>
      </c>
      <c r="C16" s="574"/>
      <c r="D16" s="574"/>
      <c r="E16" s="574"/>
      <c r="F16" s="574"/>
      <c r="G16" s="574"/>
      <c r="H16" s="574"/>
      <c r="I16" s="575"/>
      <c r="J16" s="411"/>
    </row>
    <row r="17" spans="1:10" ht="15" hidden="1" outlineLevel="2">
      <c r="A17" s="410"/>
      <c r="B17" s="596" t="s">
        <v>980</v>
      </c>
      <c r="C17" s="598" t="s">
        <v>1005</v>
      </c>
      <c r="D17" s="600">
        <v>0</v>
      </c>
      <c r="E17" s="601"/>
      <c r="F17" s="600" t="s">
        <v>1169</v>
      </c>
      <c r="G17" s="601"/>
      <c r="H17" s="600" t="s">
        <v>1169</v>
      </c>
      <c r="I17" s="602"/>
      <c r="J17" s="411"/>
    </row>
    <row r="18" spans="1:10" hidden="1" outlineLevel="2">
      <c r="A18" s="410"/>
      <c r="B18" s="597"/>
      <c r="C18" s="599"/>
      <c r="D18" s="412" t="s">
        <v>1062</v>
      </c>
      <c r="E18" s="412" t="s">
        <v>1063</v>
      </c>
      <c r="F18" s="412" t="s">
        <v>1062</v>
      </c>
      <c r="G18" s="412" t="s">
        <v>1063</v>
      </c>
      <c r="H18" s="412" t="s">
        <v>1062</v>
      </c>
      <c r="I18" s="413" t="s">
        <v>1063</v>
      </c>
      <c r="J18" s="411"/>
    </row>
    <row r="19" spans="1:10" ht="18" hidden="1" customHeight="1" outlineLevel="2">
      <c r="A19" s="410"/>
      <c r="B19" s="414">
        <v>1</v>
      </c>
      <c r="C19" s="415"/>
      <c r="D19" s="416"/>
      <c r="E19" s="417" t="str">
        <f>IFERROR(D19/$D$25,"")</f>
        <v/>
      </c>
      <c r="F19" s="418"/>
      <c r="G19" s="417" t="str">
        <f>IFERROR(F19/$F$25,"")</f>
        <v/>
      </c>
      <c r="H19" s="416"/>
      <c r="I19" s="419" t="str">
        <f>IFERROR(H19/$H$25,"")</f>
        <v/>
      </c>
      <c r="J19" s="411"/>
    </row>
    <row r="20" spans="1:10" ht="14.25" hidden="1" customHeight="1" outlineLevel="2">
      <c r="A20" s="410"/>
      <c r="B20" s="414">
        <v>2</v>
      </c>
      <c r="C20" s="415"/>
      <c r="D20" s="416"/>
      <c r="E20" s="417" t="str">
        <f>IFERROR(D20/$D$25,"")</f>
        <v/>
      </c>
      <c r="F20" s="418"/>
      <c r="G20" s="417" t="str">
        <f t="shared" ref="G20:G24" si="0">IFERROR(F20/$F$25,"")</f>
        <v/>
      </c>
      <c r="H20" s="416"/>
      <c r="I20" s="419" t="str">
        <f t="shared" ref="I20:I24" si="1">IFERROR(H20/$H$25,"")</f>
        <v/>
      </c>
      <c r="J20" s="411"/>
    </row>
    <row r="21" spans="1:10" ht="14.25" hidden="1" customHeight="1" outlineLevel="2">
      <c r="A21" s="410"/>
      <c r="B21" s="414">
        <v>3</v>
      </c>
      <c r="C21" s="415"/>
      <c r="D21" s="416"/>
      <c r="E21" s="417" t="str">
        <f>IFERROR(D21/$D$25,"")</f>
        <v/>
      </c>
      <c r="F21" s="418"/>
      <c r="G21" s="417" t="str">
        <f t="shared" si="0"/>
        <v/>
      </c>
      <c r="H21" s="416"/>
      <c r="I21" s="419" t="str">
        <f t="shared" si="1"/>
        <v/>
      </c>
      <c r="J21" s="411"/>
    </row>
    <row r="22" spans="1:10" ht="14.25" hidden="1" customHeight="1" outlineLevel="2">
      <c r="A22" s="410"/>
      <c r="B22" s="414">
        <v>4</v>
      </c>
      <c r="C22" s="415"/>
      <c r="D22" s="416"/>
      <c r="E22" s="417" t="str">
        <f>IFERROR(D22/$D$25,"")</f>
        <v/>
      </c>
      <c r="F22" s="418"/>
      <c r="G22" s="417" t="str">
        <f t="shared" si="0"/>
        <v/>
      </c>
      <c r="H22" s="416"/>
      <c r="I22" s="419" t="str">
        <f t="shared" si="1"/>
        <v/>
      </c>
      <c r="J22" s="411"/>
    </row>
    <row r="23" spans="1:10" ht="14.25" hidden="1" customHeight="1" outlineLevel="2">
      <c r="A23" s="410"/>
      <c r="B23" s="414">
        <v>5</v>
      </c>
      <c r="C23" s="415"/>
      <c r="D23" s="416"/>
      <c r="E23" s="417" t="str">
        <f t="shared" ref="E23" si="2">IFERROR(D23/$D$25,"")</f>
        <v/>
      </c>
      <c r="F23" s="418"/>
      <c r="G23" s="417" t="str">
        <f t="shared" si="0"/>
        <v/>
      </c>
      <c r="H23" s="416"/>
      <c r="I23" s="419" t="str">
        <f t="shared" si="1"/>
        <v/>
      </c>
      <c r="J23" s="411"/>
    </row>
    <row r="24" spans="1:10" ht="14.25" hidden="1" customHeight="1" outlineLevel="2">
      <c r="A24" s="410"/>
      <c r="B24" s="414">
        <v>6</v>
      </c>
      <c r="C24" s="415" t="s">
        <v>1064</v>
      </c>
      <c r="D24" s="420">
        <f>D25-SUM(D19:D23)</f>
        <v>0</v>
      </c>
      <c r="E24" s="417" t="str">
        <f>IFERROR(D24/$D$25,"")</f>
        <v/>
      </c>
      <c r="F24" s="420">
        <f>F25-SUM(F19:F23)</f>
        <v>0</v>
      </c>
      <c r="G24" s="417" t="str">
        <f t="shared" si="0"/>
        <v/>
      </c>
      <c r="H24" s="420">
        <f>H25-SUM(H19:H23)</f>
        <v>0</v>
      </c>
      <c r="I24" s="419" t="str">
        <f t="shared" si="1"/>
        <v/>
      </c>
      <c r="J24" s="411"/>
    </row>
    <row r="25" spans="1:10" ht="14.25" hidden="1" customHeight="1" outlineLevel="2">
      <c r="A25" s="410"/>
      <c r="B25" s="582" t="s">
        <v>145</v>
      </c>
      <c r="C25" s="583"/>
      <c r="D25" s="421"/>
      <c r="E25" s="422">
        <f>SUM(E19:E24)</f>
        <v>0</v>
      </c>
      <c r="F25" s="421"/>
      <c r="G25" s="422">
        <f>SUM(G19:G24)</f>
        <v>0</v>
      </c>
      <c r="H25" s="421"/>
      <c r="I25" s="423">
        <f>SUM(I19:I24)</f>
        <v>0</v>
      </c>
      <c r="J25" s="411"/>
    </row>
    <row r="26" spans="1:10" ht="15" outlineLevel="1" collapsed="1">
      <c r="A26" s="410"/>
      <c r="B26" s="591" t="s">
        <v>1065</v>
      </c>
      <c r="C26" s="592"/>
      <c r="D26" s="592"/>
      <c r="E26" s="592"/>
      <c r="F26" s="592"/>
      <c r="G26" s="592"/>
      <c r="H26" s="592"/>
      <c r="I26" s="593"/>
      <c r="J26" s="411"/>
    </row>
    <row r="27" spans="1:10" ht="15" hidden="1" customHeight="1" outlineLevel="2">
      <c r="A27" s="410"/>
      <c r="B27" s="596" t="s">
        <v>980</v>
      </c>
      <c r="C27" s="598" t="s">
        <v>1005</v>
      </c>
      <c r="D27" s="600">
        <v>0</v>
      </c>
      <c r="E27" s="601"/>
      <c r="F27" s="600" t="s">
        <v>1169</v>
      </c>
      <c r="G27" s="601"/>
      <c r="H27" s="600" t="s">
        <v>1169</v>
      </c>
      <c r="I27" s="602"/>
      <c r="J27" s="411"/>
    </row>
    <row r="28" spans="1:10" hidden="1" outlineLevel="2">
      <c r="A28" s="410"/>
      <c r="B28" s="597"/>
      <c r="C28" s="599"/>
      <c r="D28" s="412" t="s">
        <v>1062</v>
      </c>
      <c r="E28" s="412" t="s">
        <v>1063</v>
      </c>
      <c r="F28" s="412" t="s">
        <v>1062</v>
      </c>
      <c r="G28" s="412" t="s">
        <v>1063</v>
      </c>
      <c r="H28" s="412" t="s">
        <v>1062</v>
      </c>
      <c r="I28" s="413" t="s">
        <v>1063</v>
      </c>
      <c r="J28" s="411"/>
    </row>
    <row r="29" spans="1:10" ht="14.25" hidden="1" customHeight="1" outlineLevel="2">
      <c r="A29" s="410"/>
      <c r="B29" s="414">
        <v>1</v>
      </c>
      <c r="C29" s="415"/>
      <c r="D29" s="416"/>
      <c r="E29" s="417" t="str">
        <f>IFERROR(D29/$D$35,"")</f>
        <v/>
      </c>
      <c r="F29" s="418"/>
      <c r="G29" s="417" t="str">
        <f>IFERROR(F29/$F$35,"")</f>
        <v/>
      </c>
      <c r="H29" s="416"/>
      <c r="I29" s="419" t="str">
        <f>IFERROR(H29/$H$35,"")</f>
        <v/>
      </c>
      <c r="J29" s="411"/>
    </row>
    <row r="30" spans="1:10" ht="14.25" hidden="1" customHeight="1" outlineLevel="2">
      <c r="A30" s="410"/>
      <c r="B30" s="414">
        <v>2</v>
      </c>
      <c r="C30" s="415"/>
      <c r="D30" s="416"/>
      <c r="E30" s="417" t="str">
        <f t="shared" ref="E30:E34" si="3">IFERROR(D30/$D$35,"")</f>
        <v/>
      </c>
      <c r="F30" s="418"/>
      <c r="G30" s="417" t="str">
        <f t="shared" ref="G30:G34" si="4">IFERROR(F30/$F$35,"")</f>
        <v/>
      </c>
      <c r="H30" s="416"/>
      <c r="I30" s="419" t="str">
        <f t="shared" ref="I30:I34" si="5">IFERROR(H30/$H$35,"")</f>
        <v/>
      </c>
      <c r="J30" s="411"/>
    </row>
    <row r="31" spans="1:10" ht="14.25" hidden="1" customHeight="1" outlineLevel="2">
      <c r="A31" s="410"/>
      <c r="B31" s="414">
        <v>3</v>
      </c>
      <c r="C31" s="415"/>
      <c r="D31" s="416"/>
      <c r="E31" s="417" t="str">
        <f t="shared" si="3"/>
        <v/>
      </c>
      <c r="F31" s="418"/>
      <c r="G31" s="417" t="str">
        <f t="shared" si="4"/>
        <v/>
      </c>
      <c r="H31" s="416"/>
      <c r="I31" s="419" t="str">
        <f t="shared" si="5"/>
        <v/>
      </c>
      <c r="J31" s="411"/>
    </row>
    <row r="32" spans="1:10" ht="14.25" hidden="1" customHeight="1" outlineLevel="2">
      <c r="A32" s="410"/>
      <c r="B32" s="414">
        <v>4</v>
      </c>
      <c r="C32" s="415"/>
      <c r="D32" s="416"/>
      <c r="E32" s="417" t="str">
        <f t="shared" si="3"/>
        <v/>
      </c>
      <c r="F32" s="418"/>
      <c r="G32" s="417" t="str">
        <f t="shared" si="4"/>
        <v/>
      </c>
      <c r="H32" s="416"/>
      <c r="I32" s="419" t="str">
        <f t="shared" si="5"/>
        <v/>
      </c>
      <c r="J32" s="411"/>
    </row>
    <row r="33" spans="1:10" ht="14.25" hidden="1" customHeight="1" outlineLevel="2">
      <c r="A33" s="410"/>
      <c r="B33" s="414">
        <v>5</v>
      </c>
      <c r="C33" s="415"/>
      <c r="D33" s="416"/>
      <c r="E33" s="417" t="str">
        <f t="shared" si="3"/>
        <v/>
      </c>
      <c r="F33" s="418"/>
      <c r="G33" s="417" t="str">
        <f t="shared" si="4"/>
        <v/>
      </c>
      <c r="H33" s="416"/>
      <c r="I33" s="419" t="str">
        <f t="shared" si="5"/>
        <v/>
      </c>
      <c r="J33" s="411"/>
    </row>
    <row r="34" spans="1:10" ht="14.25" hidden="1" customHeight="1" outlineLevel="2">
      <c r="A34" s="410"/>
      <c r="B34" s="414">
        <v>6</v>
      </c>
      <c r="C34" s="415" t="s">
        <v>1064</v>
      </c>
      <c r="D34" s="420">
        <f>D35-SUM(D29:D33)</f>
        <v>0</v>
      </c>
      <c r="E34" s="417" t="str">
        <f t="shared" si="3"/>
        <v/>
      </c>
      <c r="F34" s="420">
        <f>F35-SUM(F29:F33)</f>
        <v>0</v>
      </c>
      <c r="G34" s="417" t="str">
        <f t="shared" si="4"/>
        <v/>
      </c>
      <c r="H34" s="420">
        <f>H35-SUM(H29:H33)</f>
        <v>0</v>
      </c>
      <c r="I34" s="419" t="str">
        <f t="shared" si="5"/>
        <v/>
      </c>
      <c r="J34" s="411"/>
    </row>
    <row r="35" spans="1:10" ht="14.25" hidden="1" customHeight="1" outlineLevel="2">
      <c r="A35" s="410"/>
      <c r="B35" s="582" t="s">
        <v>145</v>
      </c>
      <c r="C35" s="583"/>
      <c r="D35" s="421"/>
      <c r="E35" s="422">
        <f>SUM(E29:E34)</f>
        <v>0</v>
      </c>
      <c r="F35" s="421"/>
      <c r="G35" s="422">
        <f>SUM(G29:G34)</f>
        <v>0</v>
      </c>
      <c r="H35" s="421"/>
      <c r="I35" s="423">
        <f>SUM(I29:I34)</f>
        <v>0</v>
      </c>
      <c r="J35" s="411"/>
    </row>
    <row r="36" spans="1:10" ht="15" outlineLevel="1" collapsed="1">
      <c r="A36" s="410"/>
      <c r="B36" s="591" t="s">
        <v>1066</v>
      </c>
      <c r="C36" s="592"/>
      <c r="D36" s="592"/>
      <c r="E36" s="592"/>
      <c r="F36" s="592"/>
      <c r="G36" s="592"/>
      <c r="H36" s="592"/>
      <c r="I36" s="593"/>
      <c r="J36" s="411"/>
    </row>
    <row r="37" spans="1:10" ht="15" hidden="1" customHeight="1" outlineLevel="2">
      <c r="A37" s="410"/>
      <c r="B37" s="596" t="s">
        <v>980</v>
      </c>
      <c r="C37" s="598" t="s">
        <v>1005</v>
      </c>
      <c r="D37" s="600">
        <v>0</v>
      </c>
      <c r="E37" s="601"/>
      <c r="F37" s="600" t="s">
        <v>1169</v>
      </c>
      <c r="G37" s="601"/>
      <c r="H37" s="600" t="s">
        <v>1169</v>
      </c>
      <c r="I37" s="602"/>
      <c r="J37" s="411"/>
    </row>
    <row r="38" spans="1:10" hidden="1" outlineLevel="2">
      <c r="A38" s="410"/>
      <c r="B38" s="597"/>
      <c r="C38" s="599"/>
      <c r="D38" s="412" t="s">
        <v>1062</v>
      </c>
      <c r="E38" s="412" t="s">
        <v>1063</v>
      </c>
      <c r="F38" s="412" t="s">
        <v>1062</v>
      </c>
      <c r="G38" s="412" t="s">
        <v>1063</v>
      </c>
      <c r="H38" s="412" t="s">
        <v>1062</v>
      </c>
      <c r="I38" s="413" t="s">
        <v>1063</v>
      </c>
      <c r="J38" s="411"/>
    </row>
    <row r="39" spans="1:10" hidden="1" outlineLevel="2">
      <c r="A39" s="410"/>
      <c r="B39" s="414">
        <v>1</v>
      </c>
      <c r="C39" s="415"/>
      <c r="D39" s="416"/>
      <c r="E39" s="417" t="str">
        <f>IFERROR(D39/$D$35,"")</f>
        <v/>
      </c>
      <c r="F39" s="418"/>
      <c r="G39" s="417" t="str">
        <f>IFERROR(F39/$F$35,"")</f>
        <v/>
      </c>
      <c r="H39" s="416"/>
      <c r="I39" s="419" t="str">
        <f>IFERROR(H39/$H$35,"")</f>
        <v/>
      </c>
      <c r="J39" s="411"/>
    </row>
    <row r="40" spans="1:10" hidden="1" outlineLevel="2">
      <c r="A40" s="410"/>
      <c r="B40" s="414">
        <v>2</v>
      </c>
      <c r="C40" s="415"/>
      <c r="D40" s="416"/>
      <c r="E40" s="417" t="str">
        <f t="shared" ref="E40:E44" si="6">IFERROR(D40/$D$35,"")</f>
        <v/>
      </c>
      <c r="F40" s="418"/>
      <c r="G40" s="417" t="str">
        <f t="shared" ref="G40:G44" si="7">IFERROR(F40/$F$35,"")</f>
        <v/>
      </c>
      <c r="H40" s="416"/>
      <c r="I40" s="419" t="str">
        <f t="shared" ref="I40:I44" si="8">IFERROR(H40/$H$35,"")</f>
        <v/>
      </c>
      <c r="J40" s="411"/>
    </row>
    <row r="41" spans="1:10" hidden="1" outlineLevel="2">
      <c r="A41" s="410"/>
      <c r="B41" s="414">
        <v>3</v>
      </c>
      <c r="C41" s="415"/>
      <c r="D41" s="416"/>
      <c r="E41" s="417" t="str">
        <f t="shared" si="6"/>
        <v/>
      </c>
      <c r="F41" s="418"/>
      <c r="G41" s="417" t="str">
        <f t="shared" si="7"/>
        <v/>
      </c>
      <c r="H41" s="416"/>
      <c r="I41" s="419" t="str">
        <f t="shared" si="8"/>
        <v/>
      </c>
      <c r="J41" s="411"/>
    </row>
    <row r="42" spans="1:10" hidden="1" outlineLevel="2">
      <c r="A42" s="410"/>
      <c r="B42" s="414">
        <v>4</v>
      </c>
      <c r="C42" s="415"/>
      <c r="D42" s="416"/>
      <c r="E42" s="417" t="str">
        <f t="shared" si="6"/>
        <v/>
      </c>
      <c r="F42" s="418"/>
      <c r="G42" s="417" t="str">
        <f t="shared" si="7"/>
        <v/>
      </c>
      <c r="H42" s="416"/>
      <c r="I42" s="419" t="str">
        <f t="shared" si="8"/>
        <v/>
      </c>
      <c r="J42" s="411"/>
    </row>
    <row r="43" spans="1:10" hidden="1" outlineLevel="2">
      <c r="A43" s="410"/>
      <c r="B43" s="414">
        <v>5</v>
      </c>
      <c r="C43" s="415"/>
      <c r="D43" s="416"/>
      <c r="E43" s="417" t="str">
        <f t="shared" si="6"/>
        <v/>
      </c>
      <c r="F43" s="418"/>
      <c r="G43" s="417" t="str">
        <f t="shared" si="7"/>
        <v/>
      </c>
      <c r="H43" s="416"/>
      <c r="I43" s="419" t="str">
        <f t="shared" si="8"/>
        <v/>
      </c>
      <c r="J43" s="411"/>
    </row>
    <row r="44" spans="1:10" hidden="1" outlineLevel="2">
      <c r="A44" s="410"/>
      <c r="B44" s="414">
        <v>6</v>
      </c>
      <c r="C44" s="415" t="s">
        <v>1064</v>
      </c>
      <c r="D44" s="420">
        <f>D45-SUM(D39:D43)</f>
        <v>0</v>
      </c>
      <c r="E44" s="417" t="str">
        <f t="shared" si="6"/>
        <v/>
      </c>
      <c r="F44" s="420">
        <f>F45-SUM(F39:F43)</f>
        <v>0</v>
      </c>
      <c r="G44" s="417" t="str">
        <f t="shared" si="7"/>
        <v/>
      </c>
      <c r="H44" s="420">
        <f>H45-SUM(H39:H43)</f>
        <v>0</v>
      </c>
      <c r="I44" s="419" t="str">
        <f t="shared" si="8"/>
        <v/>
      </c>
      <c r="J44" s="411"/>
    </row>
    <row r="45" spans="1:10" hidden="1" outlineLevel="2">
      <c r="A45" s="410"/>
      <c r="B45" s="582" t="s">
        <v>145</v>
      </c>
      <c r="C45" s="583"/>
      <c r="D45" s="421"/>
      <c r="E45" s="422">
        <f>SUM(E39:E44)</f>
        <v>0</v>
      </c>
      <c r="F45" s="421"/>
      <c r="G45" s="422">
        <f>SUM(G39:G44)</f>
        <v>0</v>
      </c>
      <c r="H45" s="421"/>
      <c r="I45" s="423">
        <f>SUM(I39:I44)</f>
        <v>0</v>
      </c>
      <c r="J45" s="411"/>
    </row>
    <row r="46" spans="1:10" ht="15" outlineLevel="1" collapsed="1">
      <c r="A46" s="410"/>
      <c r="B46" s="591" t="s">
        <v>1067</v>
      </c>
      <c r="C46" s="592"/>
      <c r="D46" s="592"/>
      <c r="E46" s="592"/>
      <c r="F46" s="592"/>
      <c r="G46" s="592"/>
      <c r="H46" s="592"/>
      <c r="I46" s="593"/>
      <c r="J46" s="411"/>
    </row>
    <row r="47" spans="1:10" ht="25.5" hidden="1" outlineLevel="2">
      <c r="A47" s="410"/>
      <c r="B47" s="424" t="s">
        <v>980</v>
      </c>
      <c r="C47" s="425" t="s">
        <v>1005</v>
      </c>
      <c r="D47" s="412" t="s">
        <v>1068</v>
      </c>
      <c r="E47" s="594" t="s">
        <v>1069</v>
      </c>
      <c r="F47" s="595"/>
      <c r="G47" s="426">
        <f>D37</f>
        <v>0</v>
      </c>
      <c r="H47" s="426" t="str">
        <f>F37</f>
        <v>-</v>
      </c>
      <c r="I47" s="427" t="str">
        <f>H37</f>
        <v>-</v>
      </c>
      <c r="J47" s="411"/>
    </row>
    <row r="48" spans="1:10" hidden="1" outlineLevel="2">
      <c r="A48" s="410"/>
      <c r="B48" s="414">
        <v>1</v>
      </c>
      <c r="C48" s="415"/>
      <c r="D48" s="416"/>
      <c r="E48" s="580" t="str">
        <f>IFERROR(D48/$D$35,"")</f>
        <v/>
      </c>
      <c r="F48" s="581"/>
      <c r="G48" s="417" t="str">
        <f>IFERROR(F48/$F$35,"")</f>
        <v/>
      </c>
      <c r="H48" s="428"/>
      <c r="I48" s="419" t="str">
        <f>IFERROR(H48/$H$35,"")</f>
        <v/>
      </c>
      <c r="J48" s="411"/>
    </row>
    <row r="49" spans="1:10" hidden="1" outlineLevel="2">
      <c r="A49" s="410"/>
      <c r="B49" s="414">
        <v>2</v>
      </c>
      <c r="C49" s="415"/>
      <c r="D49" s="416"/>
      <c r="E49" s="580" t="str">
        <f t="shared" ref="E49:E53" si="9">IFERROR(D49/$D$35,"")</f>
        <v/>
      </c>
      <c r="F49" s="581"/>
      <c r="G49" s="417" t="str">
        <f t="shared" ref="G49:G53" si="10">IFERROR(F49/$F$35,"")</f>
        <v/>
      </c>
      <c r="H49" s="428"/>
      <c r="I49" s="419" t="str">
        <f t="shared" ref="I49:I53" si="11">IFERROR(H49/$H$35,"")</f>
        <v/>
      </c>
      <c r="J49" s="411"/>
    </row>
    <row r="50" spans="1:10" hidden="1" outlineLevel="2">
      <c r="A50" s="410"/>
      <c r="B50" s="414">
        <v>3</v>
      </c>
      <c r="C50" s="415"/>
      <c r="D50" s="416"/>
      <c r="E50" s="580" t="str">
        <f t="shared" si="9"/>
        <v/>
      </c>
      <c r="F50" s="581"/>
      <c r="G50" s="417" t="str">
        <f t="shared" si="10"/>
        <v/>
      </c>
      <c r="H50" s="428"/>
      <c r="I50" s="419" t="str">
        <f t="shared" si="11"/>
        <v/>
      </c>
      <c r="J50" s="411"/>
    </row>
    <row r="51" spans="1:10" hidden="1" outlineLevel="2">
      <c r="A51" s="410"/>
      <c r="B51" s="414">
        <v>4</v>
      </c>
      <c r="C51" s="415"/>
      <c r="D51" s="416"/>
      <c r="E51" s="580" t="str">
        <f t="shared" si="9"/>
        <v/>
      </c>
      <c r="F51" s="581"/>
      <c r="G51" s="417" t="str">
        <f t="shared" si="10"/>
        <v/>
      </c>
      <c r="H51" s="428"/>
      <c r="I51" s="419" t="str">
        <f t="shared" si="11"/>
        <v/>
      </c>
      <c r="J51" s="411"/>
    </row>
    <row r="52" spans="1:10" hidden="1" outlineLevel="2">
      <c r="A52" s="410"/>
      <c r="B52" s="414">
        <v>5</v>
      </c>
      <c r="C52" s="415"/>
      <c r="D52" s="416"/>
      <c r="E52" s="580" t="str">
        <f t="shared" si="9"/>
        <v/>
      </c>
      <c r="F52" s="581"/>
      <c r="G52" s="417" t="str">
        <f t="shared" si="10"/>
        <v/>
      </c>
      <c r="H52" s="428"/>
      <c r="I52" s="419" t="str">
        <f t="shared" si="11"/>
        <v/>
      </c>
      <c r="J52" s="411"/>
    </row>
    <row r="53" spans="1:10" hidden="1" outlineLevel="2">
      <c r="A53" s="410"/>
      <c r="B53" s="414">
        <v>6</v>
      </c>
      <c r="C53" s="415" t="s">
        <v>1064</v>
      </c>
      <c r="D53" s="420"/>
      <c r="E53" s="580" t="str">
        <f t="shared" si="9"/>
        <v/>
      </c>
      <c r="F53" s="581"/>
      <c r="G53" s="417" t="str">
        <f t="shared" si="10"/>
        <v/>
      </c>
      <c r="H53" s="428"/>
      <c r="I53" s="419" t="str">
        <f t="shared" si="11"/>
        <v/>
      </c>
      <c r="J53" s="411"/>
    </row>
    <row r="54" spans="1:10" hidden="1" outlineLevel="2">
      <c r="A54" s="410"/>
      <c r="B54" s="582" t="s">
        <v>145</v>
      </c>
      <c r="C54" s="583"/>
      <c r="D54" s="421"/>
      <c r="E54" s="584"/>
      <c r="F54" s="585"/>
      <c r="G54" s="422">
        <f>SUM(G48:G53)</f>
        <v>0</v>
      </c>
      <c r="H54" s="422">
        <f>SUM(H48:H53)</f>
        <v>0</v>
      </c>
      <c r="I54" s="423">
        <f>SUM(I48:I53)</f>
        <v>0</v>
      </c>
      <c r="J54" s="411"/>
    </row>
    <row r="55" spans="1:10" ht="15" outlineLevel="1" collapsed="1" thickBot="1">
      <c r="A55" s="410"/>
      <c r="B55" s="586" t="s">
        <v>1070</v>
      </c>
      <c r="C55" s="587"/>
      <c r="D55" s="588"/>
      <c r="E55" s="589"/>
      <c r="F55" s="589"/>
      <c r="G55" s="589"/>
      <c r="H55" s="589"/>
      <c r="I55" s="590"/>
      <c r="J55" s="411"/>
    </row>
    <row r="56" spans="1:10" ht="15" thickBot="1">
      <c r="A56" s="410"/>
      <c r="B56" s="429"/>
      <c r="C56" s="430"/>
      <c r="D56" s="430"/>
      <c r="E56" s="430"/>
      <c r="F56" s="430"/>
      <c r="G56" s="430"/>
      <c r="H56" s="430"/>
      <c r="I56" s="431"/>
      <c r="J56" s="411"/>
    </row>
    <row r="57" spans="1:10" ht="15" outlineLevel="1">
      <c r="A57" s="410"/>
      <c r="B57" s="573" t="s">
        <v>1071</v>
      </c>
      <c r="C57" s="574"/>
      <c r="D57" s="574"/>
      <c r="E57" s="574"/>
      <c r="F57" s="574"/>
      <c r="G57" s="574"/>
      <c r="H57" s="574"/>
      <c r="I57" s="575"/>
      <c r="J57" s="411"/>
    </row>
    <row r="58" spans="1:10" outlineLevel="1">
      <c r="A58" s="410"/>
      <c r="B58" s="551" t="s">
        <v>1072</v>
      </c>
      <c r="C58" s="552"/>
      <c r="D58" s="576"/>
      <c r="E58" s="576"/>
      <c r="F58" s="577" t="s">
        <v>1073</v>
      </c>
      <c r="G58" s="578"/>
      <c r="H58" s="576"/>
      <c r="I58" s="579"/>
      <c r="J58" s="411"/>
    </row>
    <row r="59" spans="1:10" outlineLevel="1">
      <c r="A59" s="410"/>
      <c r="B59" s="551" t="s">
        <v>1074</v>
      </c>
      <c r="C59" s="552"/>
      <c r="D59" s="576"/>
      <c r="E59" s="576"/>
      <c r="F59" s="577" t="s">
        <v>1075</v>
      </c>
      <c r="G59" s="578"/>
      <c r="H59" s="576"/>
      <c r="I59" s="579"/>
      <c r="J59" s="411"/>
    </row>
    <row r="60" spans="1:10" ht="39.75" customHeight="1" outlineLevel="1">
      <c r="A60" s="410"/>
      <c r="B60" s="551" t="s">
        <v>1076</v>
      </c>
      <c r="C60" s="552"/>
      <c r="D60" s="561"/>
      <c r="E60" s="561"/>
      <c r="F60" s="561"/>
      <c r="G60" s="561"/>
      <c r="H60" s="561"/>
      <c r="I60" s="562"/>
      <c r="J60" s="411"/>
    </row>
    <row r="61" spans="1:10" ht="15" outlineLevel="1" thickBot="1">
      <c r="A61" s="410"/>
      <c r="B61" s="556" t="s">
        <v>1070</v>
      </c>
      <c r="C61" s="557"/>
      <c r="D61" s="563" t="s">
        <v>1077</v>
      </c>
      <c r="E61" s="563"/>
      <c r="F61" s="563"/>
      <c r="G61" s="563"/>
      <c r="H61" s="563"/>
      <c r="I61" s="564"/>
      <c r="J61" s="411"/>
    </row>
    <row r="62" spans="1:10" ht="15" thickBot="1">
      <c r="A62" s="410"/>
      <c r="B62" s="432"/>
      <c r="C62" s="408"/>
      <c r="D62" s="408"/>
      <c r="E62" s="408"/>
      <c r="F62" s="408"/>
      <c r="G62" s="408"/>
      <c r="H62" s="433"/>
      <c r="I62" s="433"/>
      <c r="J62" s="411"/>
    </row>
    <row r="63" spans="1:10" ht="15.75" outlineLevel="1" thickBot="1">
      <c r="A63" s="410"/>
      <c r="B63" s="565" t="s">
        <v>1078</v>
      </c>
      <c r="C63" s="566"/>
      <c r="D63" s="566"/>
      <c r="E63" s="566"/>
      <c r="F63" s="567"/>
      <c r="G63" s="411"/>
      <c r="I63" s="411"/>
    </row>
    <row r="64" spans="1:10" ht="13.5" customHeight="1" outlineLevel="1">
      <c r="A64" s="410"/>
      <c r="B64" s="568" t="s">
        <v>1079</v>
      </c>
      <c r="C64" s="569"/>
      <c r="D64" s="570"/>
      <c r="E64" s="571"/>
      <c r="F64" s="572"/>
      <c r="G64" s="434"/>
      <c r="I64" s="411"/>
    </row>
    <row r="65" spans="1:10" ht="13.5" customHeight="1" outlineLevel="1">
      <c r="A65" s="410"/>
      <c r="B65" s="551" t="s">
        <v>1080</v>
      </c>
      <c r="C65" s="552"/>
      <c r="D65" s="553">
        <f>G65</f>
        <v>0</v>
      </c>
      <c r="E65" s="554"/>
      <c r="F65" s="555"/>
      <c r="G65" s="434"/>
      <c r="I65" s="411"/>
    </row>
    <row r="66" spans="1:10" ht="13.5" customHeight="1" outlineLevel="1">
      <c r="A66" s="410"/>
      <c r="B66" s="551" t="s">
        <v>1081</v>
      </c>
      <c r="C66" s="552"/>
      <c r="D66" s="553">
        <f>G66</f>
        <v>0</v>
      </c>
      <c r="E66" s="554"/>
      <c r="F66" s="555"/>
      <c r="G66" s="434"/>
      <c r="I66" s="411"/>
    </row>
    <row r="67" spans="1:10" ht="13.5" customHeight="1" outlineLevel="1">
      <c r="A67" s="410"/>
      <c r="B67" s="551" t="s">
        <v>1082</v>
      </c>
      <c r="C67" s="552"/>
      <c r="D67" s="553">
        <f>G67</f>
        <v>0</v>
      </c>
      <c r="E67" s="554"/>
      <c r="F67" s="555"/>
      <c r="G67" s="435"/>
    </row>
    <row r="68" spans="1:10" ht="13.5" customHeight="1" outlineLevel="1">
      <c r="A68" s="410"/>
      <c r="B68" s="551" t="s">
        <v>1051</v>
      </c>
      <c r="C68" s="552"/>
      <c r="D68" s="553">
        <f>G68</f>
        <v>0</v>
      </c>
      <c r="E68" s="554"/>
      <c r="F68" s="555"/>
      <c r="G68" s="436"/>
      <c r="I68" s="411"/>
    </row>
    <row r="69" spans="1:10" ht="15" outlineLevel="1" thickBot="1">
      <c r="A69" s="410"/>
      <c r="B69" s="556" t="s">
        <v>1049</v>
      </c>
      <c r="C69" s="557"/>
      <c r="D69" s="558">
        <f>G69</f>
        <v>0</v>
      </c>
      <c r="E69" s="559"/>
      <c r="F69" s="560"/>
      <c r="G69" s="437"/>
      <c r="I69" s="411"/>
    </row>
    <row r="70" spans="1:10" ht="15">
      <c r="B70" s="438"/>
      <c r="C70" s="438"/>
      <c r="D70" s="438"/>
      <c r="E70" s="438"/>
      <c r="F70" s="438"/>
      <c r="G70" s="438"/>
      <c r="H70" s="438"/>
      <c r="I70" s="438"/>
      <c r="J70" s="438"/>
    </row>
  </sheetData>
  <mergeCells count="101">
    <mergeCell ref="B2:I2"/>
    <mergeCell ref="B3:C3"/>
    <mergeCell ref="D3:E3"/>
    <mergeCell ref="F3:G3"/>
    <mergeCell ref="H3:I3"/>
    <mergeCell ref="B4:C4"/>
    <mergeCell ref="D4:I4"/>
    <mergeCell ref="B8:C8"/>
    <mergeCell ref="D8:E8"/>
    <mergeCell ref="F8:G8"/>
    <mergeCell ref="H8:I8"/>
    <mergeCell ref="B9:C9"/>
    <mergeCell ref="D9:E9"/>
    <mergeCell ref="F9:G9"/>
    <mergeCell ref="H9:I9"/>
    <mergeCell ref="B5:C5"/>
    <mergeCell ref="D5:I5"/>
    <mergeCell ref="B6:C6"/>
    <mergeCell ref="D6:I6"/>
    <mergeCell ref="B7:C7"/>
    <mergeCell ref="D7:E7"/>
    <mergeCell ref="F7:G7"/>
    <mergeCell ref="H7:I7"/>
    <mergeCell ref="B12:C12"/>
    <mergeCell ref="D12:E12"/>
    <mergeCell ref="F12:G12"/>
    <mergeCell ref="H12:I12"/>
    <mergeCell ref="B13:C13"/>
    <mergeCell ref="D13:I13"/>
    <mergeCell ref="B10:C10"/>
    <mergeCell ref="D10:E10"/>
    <mergeCell ref="F10:G10"/>
    <mergeCell ref="H10:I10"/>
    <mergeCell ref="B11:C11"/>
    <mergeCell ref="D11:E11"/>
    <mergeCell ref="F11:G11"/>
    <mergeCell ref="H11:I11"/>
    <mergeCell ref="B17:B18"/>
    <mergeCell ref="C17:C18"/>
    <mergeCell ref="D17:E17"/>
    <mergeCell ref="F17:G17"/>
    <mergeCell ref="H17:I17"/>
    <mergeCell ref="B25:C25"/>
    <mergeCell ref="B14:C14"/>
    <mergeCell ref="D14:E14"/>
    <mergeCell ref="F14:G14"/>
    <mergeCell ref="H14:I14"/>
    <mergeCell ref="B15:I15"/>
    <mergeCell ref="B16:I16"/>
    <mergeCell ref="B35:C35"/>
    <mergeCell ref="B36:I36"/>
    <mergeCell ref="B37:B38"/>
    <mergeCell ref="C37:C38"/>
    <mergeCell ref="D37:E37"/>
    <mergeCell ref="F37:G37"/>
    <mergeCell ref="H37:I37"/>
    <mergeCell ref="B26:I26"/>
    <mergeCell ref="B27:B28"/>
    <mergeCell ref="C27:C28"/>
    <mergeCell ref="D27:E27"/>
    <mergeCell ref="F27:G27"/>
    <mergeCell ref="H27:I27"/>
    <mergeCell ref="E51:F51"/>
    <mergeCell ref="E52:F52"/>
    <mergeCell ref="E53:F53"/>
    <mergeCell ref="B54:C54"/>
    <mergeCell ref="E54:F54"/>
    <mergeCell ref="B55:C55"/>
    <mergeCell ref="D55:I55"/>
    <mergeCell ref="B45:C45"/>
    <mergeCell ref="B46:I46"/>
    <mergeCell ref="E47:F47"/>
    <mergeCell ref="E48:F48"/>
    <mergeCell ref="E49:F49"/>
    <mergeCell ref="E50:F50"/>
    <mergeCell ref="B60:C60"/>
    <mergeCell ref="D60:I60"/>
    <mergeCell ref="B61:C61"/>
    <mergeCell ref="D61:I61"/>
    <mergeCell ref="B63:F63"/>
    <mergeCell ref="B64:C64"/>
    <mergeCell ref="D64:F64"/>
    <mergeCell ref="B57:I57"/>
    <mergeCell ref="B58:C58"/>
    <mergeCell ref="D58:E58"/>
    <mergeCell ref="F58:G58"/>
    <mergeCell ref="H58:I58"/>
    <mergeCell ref="B59:C59"/>
    <mergeCell ref="D59:E59"/>
    <mergeCell ref="F59:G59"/>
    <mergeCell ref="H59:I59"/>
    <mergeCell ref="B68:C68"/>
    <mergeCell ref="D68:F68"/>
    <mergeCell ref="B69:C69"/>
    <mergeCell ref="D69:F69"/>
    <mergeCell ref="B65:C65"/>
    <mergeCell ref="D65:F65"/>
    <mergeCell ref="B66:C66"/>
    <mergeCell ref="D66:F66"/>
    <mergeCell ref="B67:C67"/>
    <mergeCell ref="D67:F67"/>
  </mergeCells>
  <dataValidations count="1">
    <dataValidation type="list" allowBlank="1" showInputMessage="1" showErrorMessage="1" sqref="D10" xr:uid="{3BF08702-5828-401D-B110-6794BB05F4F2}">
      <formula1>"Proprietorship, Partnership, Private Ltd Company, Limited Liablity Partnership, Public Ltd Co, Trust, Society"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F0DF-BA1D-4DC9-B42C-43D26D62395C}">
  <sheetPr codeName="Sheet29">
    <tabColor theme="3" tint="-0.499984740745262"/>
  </sheetPr>
  <dimension ref="A1:ES10"/>
  <sheetViews>
    <sheetView workbookViewId="0">
      <selection activeCell="D27" sqref="D27:E27"/>
    </sheetView>
  </sheetViews>
  <sheetFormatPr defaultRowHeight="12.75"/>
  <cols>
    <col min="1" max="1" width="2.7109375" style="439" customWidth="1"/>
    <col min="2" max="2" width="3.140625" style="439" customWidth="1"/>
    <col min="3" max="3" width="25.7109375" style="439" customWidth="1"/>
    <col min="4" max="5" width="17.7109375" style="439" customWidth="1"/>
    <col min="6" max="6" width="35.42578125" style="439" customWidth="1"/>
    <col min="7" max="8" width="17.7109375" style="439" customWidth="1"/>
    <col min="9" max="9" width="9.140625" style="439" customWidth="1"/>
    <col min="10" max="16384" width="9.140625" style="439"/>
  </cols>
  <sheetData>
    <row r="1" spans="1:149" ht="13.5" thickBot="1"/>
    <row r="2" spans="1:149" ht="17.25" thickBot="1">
      <c r="A2" s="440"/>
      <c r="B2" s="642" t="s">
        <v>1083</v>
      </c>
      <c r="C2" s="643"/>
      <c r="D2" s="643"/>
      <c r="E2" s="643"/>
      <c r="F2" s="643"/>
      <c r="G2" s="643"/>
      <c r="H2" s="644"/>
    </row>
    <row r="3" spans="1:149">
      <c r="B3" s="645" t="s">
        <v>1005</v>
      </c>
      <c r="C3" s="646"/>
      <c r="D3" s="647"/>
      <c r="E3" s="647"/>
      <c r="F3" s="441" t="s">
        <v>1048</v>
      </c>
      <c r="G3" s="647"/>
      <c r="H3" s="648"/>
    </row>
    <row r="4" spans="1:149" s="443" customFormat="1">
      <c r="A4" s="442"/>
      <c r="B4" s="649"/>
      <c r="C4" s="650"/>
      <c r="D4" s="650"/>
      <c r="E4" s="650"/>
      <c r="F4" s="650"/>
      <c r="G4" s="650"/>
      <c r="H4" s="651"/>
      <c r="J4" s="439"/>
      <c r="K4" s="439"/>
      <c r="L4" s="439"/>
      <c r="M4" s="439"/>
      <c r="N4" s="439"/>
      <c r="O4" s="439"/>
      <c r="P4" s="439"/>
      <c r="Q4" s="439"/>
      <c r="R4" s="439"/>
      <c r="S4" s="439"/>
      <c r="T4" s="439"/>
      <c r="U4" s="439"/>
      <c r="V4" s="439"/>
      <c r="W4" s="439"/>
      <c r="X4" s="439"/>
      <c r="Y4" s="439"/>
      <c r="Z4" s="439"/>
      <c r="AA4" s="439"/>
      <c r="AB4" s="439"/>
      <c r="AC4" s="439"/>
      <c r="AD4" s="439"/>
      <c r="AE4" s="439"/>
      <c r="AF4" s="439"/>
      <c r="AG4" s="439"/>
      <c r="AH4" s="439"/>
      <c r="AI4" s="439"/>
      <c r="AJ4" s="439"/>
      <c r="AK4" s="439"/>
      <c r="AL4" s="439"/>
      <c r="AM4" s="439"/>
      <c r="AN4" s="439"/>
      <c r="AO4" s="439"/>
      <c r="AP4" s="439"/>
      <c r="AQ4" s="439"/>
      <c r="AR4" s="439"/>
      <c r="AS4" s="439"/>
      <c r="AT4" s="439"/>
      <c r="AU4" s="439"/>
      <c r="AV4" s="439"/>
      <c r="AW4" s="439"/>
      <c r="AX4" s="439"/>
      <c r="AY4" s="439"/>
      <c r="AZ4" s="439"/>
      <c r="BA4" s="439"/>
      <c r="BB4" s="439"/>
      <c r="BC4" s="439"/>
      <c r="BD4" s="439"/>
      <c r="BE4" s="439"/>
      <c r="BF4" s="439"/>
      <c r="BG4" s="439"/>
      <c r="BH4" s="439"/>
      <c r="BI4" s="439"/>
      <c r="BJ4" s="439"/>
      <c r="BK4" s="439"/>
      <c r="BL4" s="439"/>
      <c r="BM4" s="439"/>
      <c r="BN4" s="439"/>
      <c r="BO4" s="439"/>
      <c r="BP4" s="439"/>
      <c r="BQ4" s="439"/>
      <c r="BR4" s="439"/>
      <c r="BS4" s="439"/>
      <c r="BT4" s="439"/>
      <c r="BU4" s="439"/>
      <c r="BV4" s="439"/>
      <c r="BW4" s="439"/>
      <c r="BX4" s="439"/>
      <c r="BY4" s="439"/>
      <c r="BZ4" s="439"/>
      <c r="CA4" s="439"/>
      <c r="CB4" s="439"/>
      <c r="CC4" s="439"/>
      <c r="CD4" s="439"/>
      <c r="CE4" s="439"/>
      <c r="CF4" s="439"/>
      <c r="CG4" s="439"/>
      <c r="CH4" s="439"/>
      <c r="CI4" s="439"/>
      <c r="CJ4" s="439"/>
      <c r="CK4" s="439"/>
      <c r="CL4" s="439"/>
      <c r="CM4" s="439"/>
      <c r="CN4" s="439"/>
      <c r="CO4" s="439"/>
      <c r="CP4" s="439"/>
      <c r="CQ4" s="439"/>
      <c r="CR4" s="439"/>
      <c r="CS4" s="439"/>
      <c r="CT4" s="439"/>
      <c r="CU4" s="439"/>
      <c r="CV4" s="439"/>
      <c r="CW4" s="439"/>
      <c r="CX4" s="439"/>
      <c r="CY4" s="439"/>
      <c r="CZ4" s="439"/>
      <c r="DA4" s="439"/>
      <c r="DB4" s="439"/>
      <c r="DC4" s="439"/>
      <c r="DD4" s="439"/>
      <c r="DE4" s="439"/>
      <c r="DF4" s="439"/>
      <c r="DG4" s="439"/>
      <c r="DH4" s="439"/>
      <c r="DI4" s="439"/>
      <c r="DJ4" s="439"/>
      <c r="DK4" s="439"/>
      <c r="DL4" s="439"/>
      <c r="DM4" s="439"/>
      <c r="DN4" s="439"/>
      <c r="DO4" s="439"/>
      <c r="DP4" s="439"/>
      <c r="DQ4" s="439"/>
      <c r="DR4" s="439"/>
      <c r="DS4" s="439"/>
      <c r="DT4" s="439"/>
      <c r="DU4" s="439"/>
      <c r="DV4" s="439"/>
      <c r="DW4" s="439"/>
      <c r="DX4" s="439"/>
      <c r="DY4" s="439"/>
      <c r="DZ4" s="439"/>
      <c r="EA4" s="439"/>
      <c r="EB4" s="439"/>
      <c r="EC4" s="439"/>
      <c r="ED4" s="439"/>
      <c r="EE4" s="439"/>
      <c r="EF4" s="439"/>
      <c r="EG4" s="439"/>
      <c r="EH4" s="439"/>
      <c r="EI4" s="439"/>
      <c r="EJ4" s="439"/>
      <c r="EK4" s="439"/>
      <c r="EL4" s="439"/>
      <c r="EM4" s="439"/>
      <c r="EN4" s="439"/>
      <c r="EO4" s="439"/>
      <c r="EP4" s="439"/>
      <c r="EQ4" s="439"/>
      <c r="ER4" s="439"/>
      <c r="ES4" s="439"/>
    </row>
    <row r="5" spans="1:149">
      <c r="B5" s="639"/>
      <c r="C5" s="444" t="s">
        <v>1084</v>
      </c>
      <c r="D5" s="636"/>
      <c r="E5" s="637"/>
      <c r="F5" s="445"/>
      <c r="G5" s="636"/>
      <c r="H5" s="638"/>
    </row>
    <row r="6" spans="1:149">
      <c r="B6" s="640"/>
      <c r="C6" s="444" t="s">
        <v>1085</v>
      </c>
      <c r="D6" s="636"/>
      <c r="E6" s="637"/>
      <c r="F6" s="445"/>
      <c r="G6" s="636"/>
      <c r="H6" s="638"/>
    </row>
    <row r="7" spans="1:149">
      <c r="B7" s="640"/>
      <c r="C7" s="446" t="s">
        <v>1051</v>
      </c>
      <c r="D7" s="636"/>
      <c r="E7" s="637"/>
      <c r="F7" s="445"/>
      <c r="G7" s="636"/>
      <c r="H7" s="638"/>
    </row>
    <row r="8" spans="1:149">
      <c r="B8" s="640"/>
      <c r="C8" s="447" t="s">
        <v>1086</v>
      </c>
      <c r="D8" s="636"/>
      <c r="E8" s="637"/>
      <c r="F8" s="445"/>
      <c r="G8" s="636"/>
      <c r="H8" s="638"/>
    </row>
    <row r="9" spans="1:149">
      <c r="B9" s="641"/>
      <c r="C9" s="447" t="s">
        <v>1087</v>
      </c>
      <c r="D9" s="636"/>
      <c r="E9" s="637"/>
      <c r="F9" s="448"/>
      <c r="G9" s="636"/>
      <c r="H9" s="638"/>
    </row>
    <row r="10" spans="1:149" s="443" customFormat="1" ht="13.5" thickBot="1">
      <c r="B10" s="633"/>
      <c r="C10" s="634"/>
      <c r="D10" s="634"/>
      <c r="E10" s="634"/>
      <c r="F10" s="634"/>
      <c r="G10" s="634"/>
      <c r="H10" s="635"/>
      <c r="J10" s="439"/>
      <c r="K10" s="439"/>
      <c r="L10" s="439"/>
      <c r="M10" s="439"/>
      <c r="N10" s="439"/>
      <c r="O10" s="439"/>
      <c r="P10" s="439"/>
      <c r="Q10" s="439"/>
      <c r="R10" s="439"/>
      <c r="S10" s="439"/>
      <c r="T10" s="439"/>
      <c r="U10" s="439"/>
      <c r="V10" s="439"/>
      <c r="W10" s="439"/>
      <c r="X10" s="439"/>
      <c r="Y10" s="439"/>
      <c r="Z10" s="439"/>
      <c r="AA10" s="439"/>
      <c r="AB10" s="439"/>
      <c r="AC10" s="439"/>
      <c r="AD10" s="439"/>
      <c r="AE10" s="439"/>
      <c r="AF10" s="439"/>
      <c r="AG10" s="439"/>
      <c r="AH10" s="439"/>
      <c r="AI10" s="439"/>
      <c r="AJ10" s="439"/>
      <c r="AK10" s="439"/>
      <c r="AL10" s="439"/>
      <c r="AM10" s="439"/>
      <c r="AN10" s="439"/>
      <c r="AO10" s="439"/>
      <c r="AP10" s="439"/>
      <c r="AQ10" s="439"/>
      <c r="AR10" s="439"/>
      <c r="AS10" s="439"/>
      <c r="AT10" s="439"/>
      <c r="AU10" s="439"/>
      <c r="AV10" s="439"/>
      <c r="AW10" s="439"/>
      <c r="AX10" s="439"/>
      <c r="AY10" s="439"/>
      <c r="AZ10" s="439"/>
      <c r="BA10" s="439"/>
      <c r="BB10" s="439"/>
      <c r="BC10" s="439"/>
      <c r="BD10" s="439"/>
      <c r="BE10" s="439"/>
      <c r="BF10" s="439"/>
      <c r="BG10" s="439"/>
      <c r="BH10" s="439"/>
      <c r="BI10" s="439"/>
      <c r="BJ10" s="439"/>
      <c r="BK10" s="439"/>
      <c r="BL10" s="439"/>
      <c r="BM10" s="439"/>
      <c r="BN10" s="439"/>
      <c r="BO10" s="439"/>
      <c r="BP10" s="439"/>
      <c r="BQ10" s="439"/>
      <c r="BR10" s="439"/>
      <c r="BS10" s="439"/>
      <c r="BT10" s="439"/>
      <c r="BU10" s="439"/>
      <c r="BV10" s="439"/>
      <c r="BW10" s="439"/>
      <c r="BX10" s="439"/>
      <c r="BY10" s="439"/>
      <c r="BZ10" s="439"/>
      <c r="CA10" s="439"/>
      <c r="CB10" s="439"/>
      <c r="CC10" s="439"/>
      <c r="CD10" s="439"/>
      <c r="CE10" s="439"/>
      <c r="CF10" s="439"/>
      <c r="CG10" s="439"/>
      <c r="CH10" s="439"/>
      <c r="CI10" s="439"/>
      <c r="CJ10" s="439"/>
      <c r="CK10" s="439"/>
      <c r="CL10" s="439"/>
      <c r="CM10" s="439"/>
      <c r="CN10" s="439"/>
      <c r="CO10" s="439"/>
      <c r="CP10" s="439"/>
      <c r="CQ10" s="439"/>
      <c r="CR10" s="439"/>
      <c r="CS10" s="439"/>
      <c r="CT10" s="439"/>
      <c r="CU10" s="439"/>
      <c r="CV10" s="439"/>
      <c r="CW10" s="439"/>
      <c r="CX10" s="439"/>
      <c r="CY10" s="439"/>
      <c r="CZ10" s="439"/>
      <c r="DA10" s="439"/>
      <c r="DB10" s="439"/>
      <c r="DC10" s="439"/>
      <c r="DD10" s="439"/>
      <c r="DE10" s="439"/>
      <c r="DF10" s="439"/>
      <c r="DG10" s="439"/>
      <c r="DH10" s="439"/>
      <c r="DI10" s="439"/>
      <c r="DJ10" s="439"/>
      <c r="DK10" s="439"/>
      <c r="DL10" s="439"/>
      <c r="DM10" s="439"/>
      <c r="DN10" s="439"/>
      <c r="DO10" s="439"/>
      <c r="DP10" s="439"/>
      <c r="DQ10" s="439"/>
      <c r="DR10" s="439"/>
      <c r="DS10" s="439"/>
      <c r="DT10" s="439"/>
      <c r="DU10" s="439"/>
      <c r="DV10" s="439"/>
      <c r="DW10" s="439"/>
      <c r="DX10" s="439"/>
      <c r="DY10" s="439"/>
      <c r="DZ10" s="439"/>
      <c r="EA10" s="439"/>
      <c r="EB10" s="439"/>
      <c r="EC10" s="439"/>
      <c r="ED10" s="439"/>
      <c r="EE10" s="439"/>
      <c r="EF10" s="439"/>
      <c r="EG10" s="439"/>
      <c r="EH10" s="439"/>
      <c r="EI10" s="439"/>
      <c r="EJ10" s="439"/>
      <c r="EK10" s="439"/>
      <c r="EL10" s="439"/>
      <c r="EM10" s="439"/>
      <c r="EN10" s="439"/>
      <c r="EO10" s="439"/>
      <c r="EP10" s="439"/>
      <c r="EQ10" s="439"/>
      <c r="ER10" s="439"/>
      <c r="ES10" s="439"/>
    </row>
  </sheetData>
  <mergeCells count="17">
    <mergeCell ref="B2:H2"/>
    <mergeCell ref="B3:C3"/>
    <mergeCell ref="D3:E3"/>
    <mergeCell ref="G3:H3"/>
    <mergeCell ref="B4:H4"/>
    <mergeCell ref="B10:H10"/>
    <mergeCell ref="D7:E7"/>
    <mergeCell ref="G7:H7"/>
    <mergeCell ref="D8:E8"/>
    <mergeCell ref="G8:H8"/>
    <mergeCell ref="D9:E9"/>
    <mergeCell ref="G9:H9"/>
    <mergeCell ref="B5:B9"/>
    <mergeCell ref="D5:E5"/>
    <mergeCell ref="G5:H5"/>
    <mergeCell ref="D6:E6"/>
    <mergeCell ref="G6:H6"/>
  </mergeCells>
  <dataValidations count="1">
    <dataValidation type="list" allowBlank="1" showInputMessage="1" showErrorMessage="1" sqref="D7:H7" xr:uid="{4B8195CD-856C-455F-BE1F-D6BDBF0F7E6F}">
      <formula1>"Return Submitted and verified, Return Processed and Refund Paid, Successfully e-Verified, ITR Processed, e-Return for this PAN and Acknowledgement Number has been Digitally signed, Return Processed with No Demand and No Refund,No Records found 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61B8-A4B3-4CF8-96B9-8EFFB77D7854}">
  <sheetPr codeName="Sheet25">
    <tabColor theme="3" tint="-0.499984740745262"/>
  </sheetPr>
  <dimension ref="B1:J38"/>
  <sheetViews>
    <sheetView showRowColHeaders="0" topLeftCell="A5" workbookViewId="0">
      <selection activeCell="D27" sqref="D27:E27"/>
    </sheetView>
  </sheetViews>
  <sheetFormatPr defaultRowHeight="15"/>
  <cols>
    <col min="1" max="1" width="2.7109375" style="449" customWidth="1"/>
    <col min="2" max="2" width="3.85546875" style="449" customWidth="1"/>
    <col min="3" max="3" width="19.42578125" style="449" customWidth="1"/>
    <col min="4" max="4" width="23.7109375" style="449" customWidth="1"/>
    <col min="5" max="5" width="40.7109375" style="449" customWidth="1"/>
    <col min="6" max="8" width="12.7109375" style="449" customWidth="1"/>
    <col min="9" max="9" width="13.7109375" style="449" customWidth="1"/>
    <col min="10" max="10" width="62.7109375" style="449" customWidth="1"/>
    <col min="11" max="16384" width="9.140625" style="449"/>
  </cols>
  <sheetData>
    <row r="1" spans="2:7" ht="15.75" thickBot="1"/>
    <row r="2" spans="2:7" ht="20.25" customHeight="1" thickBot="1">
      <c r="B2" s="693" t="s">
        <v>1088</v>
      </c>
      <c r="C2" s="694"/>
      <c r="D2" s="694"/>
      <c r="E2" s="694"/>
      <c r="F2" s="694"/>
      <c r="G2" s="695"/>
    </row>
    <row r="3" spans="2:7">
      <c r="B3" s="696" t="s">
        <v>1089</v>
      </c>
      <c r="C3" s="697"/>
      <c r="D3" s="698"/>
      <c r="E3" s="699"/>
      <c r="F3" s="699"/>
      <c r="G3" s="700"/>
    </row>
    <row r="4" spans="2:7">
      <c r="B4" s="668" t="s">
        <v>1090</v>
      </c>
      <c r="C4" s="669"/>
      <c r="D4" s="670"/>
      <c r="E4" s="671"/>
      <c r="F4" s="671"/>
      <c r="G4" s="672"/>
    </row>
    <row r="5" spans="2:7">
      <c r="B5" s="668" t="s">
        <v>1091</v>
      </c>
      <c r="C5" s="669"/>
      <c r="D5" s="670"/>
      <c r="E5" s="671"/>
      <c r="F5" s="671"/>
      <c r="G5" s="672"/>
    </row>
    <row r="6" spans="2:7">
      <c r="B6" s="668" t="s">
        <v>1092</v>
      </c>
      <c r="C6" s="669"/>
      <c r="D6" s="670"/>
      <c r="E6" s="690"/>
      <c r="F6" s="691"/>
      <c r="G6" s="692"/>
    </row>
    <row r="7" spans="2:7">
      <c r="B7" s="668" t="s">
        <v>1093</v>
      </c>
      <c r="C7" s="669"/>
      <c r="D7" s="670"/>
      <c r="E7" s="671"/>
      <c r="F7" s="671"/>
      <c r="G7" s="672"/>
    </row>
    <row r="8" spans="2:7">
      <c r="B8" s="668" t="s">
        <v>1094</v>
      </c>
      <c r="C8" s="669"/>
      <c r="D8" s="670"/>
      <c r="E8" s="671"/>
      <c r="F8" s="671"/>
      <c r="G8" s="672"/>
    </row>
    <row r="9" spans="2:7">
      <c r="B9" s="668" t="s">
        <v>1095</v>
      </c>
      <c r="C9" s="669"/>
      <c r="D9" s="670"/>
      <c r="E9" s="671"/>
      <c r="F9" s="671"/>
      <c r="G9" s="672"/>
    </row>
    <row r="10" spans="2:7">
      <c r="B10" s="668" t="s">
        <v>1096</v>
      </c>
      <c r="C10" s="669"/>
      <c r="D10" s="670"/>
      <c r="E10" s="688"/>
      <c r="F10" s="688"/>
      <c r="G10" s="689"/>
    </row>
    <row r="11" spans="2:7">
      <c r="B11" s="668" t="s">
        <v>1097</v>
      </c>
      <c r="C11" s="669"/>
      <c r="D11" s="670"/>
      <c r="E11" s="688"/>
      <c r="F11" s="688"/>
      <c r="G11" s="689"/>
    </row>
    <row r="12" spans="2:7">
      <c r="B12" s="668" t="s">
        <v>1098</v>
      </c>
      <c r="C12" s="669"/>
      <c r="D12" s="670"/>
      <c r="E12" s="671"/>
      <c r="F12" s="671"/>
      <c r="G12" s="672"/>
    </row>
    <row r="13" spans="2:7">
      <c r="B13" s="668" t="s">
        <v>1052</v>
      </c>
      <c r="C13" s="669"/>
      <c r="D13" s="670"/>
      <c r="E13" s="450"/>
      <c r="F13" s="451" t="s">
        <v>1099</v>
      </c>
      <c r="G13" s="452" t="str">
        <f ca="1">IF(E13&lt;&gt;"",DATEDIF(E13,TODAY(),"Y")&amp;" Years","")</f>
        <v/>
      </c>
    </row>
    <row r="14" spans="2:7" ht="30" customHeight="1">
      <c r="B14" s="668" t="s">
        <v>1100</v>
      </c>
      <c r="C14" s="669"/>
      <c r="D14" s="670"/>
      <c r="E14" s="686"/>
      <c r="F14" s="686"/>
      <c r="G14" s="687"/>
    </row>
    <row r="15" spans="2:7" ht="39" customHeight="1">
      <c r="B15" s="683" t="s">
        <v>1101</v>
      </c>
      <c r="C15" s="684"/>
      <c r="D15" s="685"/>
      <c r="E15" s="686"/>
      <c r="F15" s="686"/>
      <c r="G15" s="687"/>
    </row>
    <row r="16" spans="2:7">
      <c r="B16" s="668" t="s">
        <v>1102</v>
      </c>
      <c r="C16" s="669"/>
      <c r="D16" s="670"/>
      <c r="E16" s="671"/>
      <c r="F16" s="671"/>
      <c r="G16" s="672"/>
    </row>
    <row r="17" spans="2:10">
      <c r="B17" s="668" t="s">
        <v>1103</v>
      </c>
      <c r="C17" s="669"/>
      <c r="D17" s="670"/>
      <c r="E17" s="671"/>
      <c r="F17" s="671"/>
      <c r="G17" s="672"/>
    </row>
    <row r="18" spans="2:10">
      <c r="B18" s="668" t="s">
        <v>1104</v>
      </c>
      <c r="C18" s="669"/>
      <c r="D18" s="670"/>
      <c r="E18" s="671"/>
      <c r="F18" s="671"/>
      <c r="G18" s="672"/>
    </row>
    <row r="19" spans="2:10">
      <c r="B19" s="668" t="s">
        <v>1105</v>
      </c>
      <c r="C19" s="669"/>
      <c r="D19" s="670"/>
      <c r="E19" s="671"/>
      <c r="F19" s="671"/>
      <c r="G19" s="672"/>
    </row>
    <row r="20" spans="2:10">
      <c r="B20" s="668" t="s">
        <v>1106</v>
      </c>
      <c r="C20" s="669"/>
      <c r="D20" s="670"/>
      <c r="E20" s="673"/>
      <c r="F20" s="673"/>
      <c r="G20" s="674"/>
    </row>
    <row r="21" spans="2:10">
      <c r="B21" s="668" t="s">
        <v>1107</v>
      </c>
      <c r="C21" s="669"/>
      <c r="D21" s="670"/>
      <c r="E21" s="673"/>
      <c r="F21" s="673"/>
      <c r="G21" s="674"/>
    </row>
    <row r="22" spans="2:10">
      <c r="B22" s="668" t="s">
        <v>1108</v>
      </c>
      <c r="C22" s="669"/>
      <c r="D22" s="670"/>
      <c r="E22" s="675"/>
      <c r="F22" s="675"/>
      <c r="G22" s="676"/>
    </row>
    <row r="23" spans="2:10" ht="15.75" thickBot="1">
      <c r="B23" s="677" t="s">
        <v>1049</v>
      </c>
      <c r="C23" s="678"/>
      <c r="D23" s="679"/>
      <c r="E23" s="680"/>
      <c r="F23" s="681"/>
      <c r="G23" s="682"/>
    </row>
    <row r="24" spans="2:10" ht="15.75" thickBot="1"/>
    <row r="25" spans="2:10" ht="20.25" customHeight="1" thickBot="1">
      <c r="B25" s="658" t="s">
        <v>1022</v>
      </c>
      <c r="C25" s="659"/>
      <c r="D25" s="659"/>
      <c r="E25" s="660"/>
    </row>
    <row r="26" spans="2:10">
      <c r="B26" s="654" t="s">
        <v>1109</v>
      </c>
      <c r="C26" s="655"/>
      <c r="D26" s="453">
        <f>COUNTIF(H32:H33,"-")</f>
        <v>0</v>
      </c>
      <c r="E26" s="454">
        <f>SUMIF(H32:H33,"-",I32:I33)</f>
        <v>0</v>
      </c>
    </row>
    <row r="27" spans="2:10">
      <c r="B27" s="654" t="s">
        <v>1110</v>
      </c>
      <c r="C27" s="655"/>
      <c r="D27" s="453">
        <f>COUNTIFS(H32:H33,"&lt;&gt;-",H32:H33,"&lt;&gt;")</f>
        <v>0</v>
      </c>
      <c r="E27" s="454">
        <f>SUMIF(H32:H33,"&lt;&gt;-",I32:I33)</f>
        <v>0</v>
      </c>
    </row>
    <row r="28" spans="2:10" ht="15.75" thickBot="1">
      <c r="B28" s="656" t="s">
        <v>145</v>
      </c>
      <c r="C28" s="657"/>
      <c r="D28" s="455">
        <f>SUM(D26:D27)</f>
        <v>0</v>
      </c>
      <c r="E28" s="456">
        <f>+SUM(E26:E27)</f>
        <v>0</v>
      </c>
    </row>
    <row r="29" spans="2:10" ht="15.75" thickBot="1"/>
    <row r="30" spans="2:10" ht="20.25" customHeight="1" thickBot="1">
      <c r="B30" s="658" t="s">
        <v>1111</v>
      </c>
      <c r="C30" s="659"/>
      <c r="D30" s="659"/>
      <c r="E30" s="659"/>
      <c r="F30" s="659"/>
      <c r="G30" s="659"/>
      <c r="H30" s="659"/>
      <c r="I30" s="659"/>
      <c r="J30" s="660"/>
    </row>
    <row r="31" spans="2:10" ht="30">
      <c r="B31" s="457" t="s">
        <v>1024</v>
      </c>
      <c r="C31" s="458" t="s">
        <v>1112</v>
      </c>
      <c r="D31" s="458" t="s">
        <v>1113</v>
      </c>
      <c r="E31" s="458" t="s">
        <v>1114</v>
      </c>
      <c r="F31" s="458" t="s">
        <v>1115</v>
      </c>
      <c r="G31" s="458" t="s">
        <v>1116</v>
      </c>
      <c r="H31" s="458" t="s">
        <v>1117</v>
      </c>
      <c r="I31" s="458" t="s">
        <v>982</v>
      </c>
      <c r="J31" s="459" t="s">
        <v>1069</v>
      </c>
    </row>
    <row r="32" spans="2:10">
      <c r="B32" s="460"/>
      <c r="C32" s="461"/>
      <c r="D32" s="461"/>
      <c r="E32" s="461"/>
      <c r="F32" s="462"/>
      <c r="G32" s="462"/>
      <c r="H32" s="462"/>
      <c r="I32" s="463"/>
      <c r="J32" s="464"/>
    </row>
    <row r="33" spans="2:10" ht="15.75" thickBot="1">
      <c r="B33" s="465"/>
      <c r="C33" s="466"/>
      <c r="D33" s="466"/>
      <c r="E33" s="466"/>
      <c r="F33" s="467"/>
      <c r="G33" s="467"/>
      <c r="H33" s="467"/>
      <c r="I33" s="468"/>
      <c r="J33" s="469"/>
    </row>
    <row r="34" spans="2:10" ht="15.75" thickBot="1">
      <c r="J34" s="470"/>
    </row>
    <row r="35" spans="2:10" ht="20.25" customHeight="1" thickBot="1">
      <c r="B35" s="661" t="s">
        <v>1118</v>
      </c>
      <c r="C35" s="662"/>
      <c r="D35" s="662"/>
      <c r="E35" s="662"/>
      <c r="F35" s="662"/>
      <c r="G35" s="662"/>
      <c r="H35" s="662"/>
      <c r="I35" s="662"/>
      <c r="J35" s="663"/>
    </row>
    <row r="36" spans="2:10" s="473" customFormat="1" ht="30">
      <c r="B36" s="471" t="s">
        <v>1024</v>
      </c>
      <c r="C36" s="472" t="s">
        <v>1119</v>
      </c>
      <c r="D36" s="472" t="s">
        <v>1005</v>
      </c>
      <c r="E36" s="472" t="s">
        <v>1120</v>
      </c>
      <c r="F36" s="472" t="s">
        <v>1121</v>
      </c>
      <c r="G36" s="472" t="s">
        <v>1122</v>
      </c>
      <c r="H36" s="472" t="s">
        <v>1123</v>
      </c>
      <c r="I36" s="664" t="s">
        <v>1124</v>
      </c>
      <c r="J36" s="665"/>
    </row>
    <row r="37" spans="2:10">
      <c r="B37" s="474">
        <v>1</v>
      </c>
      <c r="C37" s="475"/>
      <c r="D37" s="461"/>
      <c r="E37" s="461"/>
      <c r="F37" s="462"/>
      <c r="G37" s="461"/>
      <c r="H37" s="462"/>
      <c r="I37" s="666"/>
      <c r="J37" s="667"/>
    </row>
    <row r="38" spans="2:10" ht="15.75" thickBot="1">
      <c r="B38" s="476"/>
      <c r="C38" s="477"/>
      <c r="D38" s="466"/>
      <c r="E38" s="466"/>
      <c r="F38" s="467"/>
      <c r="G38" s="466"/>
      <c r="H38" s="467"/>
      <c r="I38" s="652"/>
      <c r="J38" s="653"/>
    </row>
  </sheetData>
  <mergeCells count="51">
    <mergeCell ref="B5:D5"/>
    <mergeCell ref="E5:G5"/>
    <mergeCell ref="B2:G2"/>
    <mergeCell ref="B3:D3"/>
    <mergeCell ref="E3:G3"/>
    <mergeCell ref="B4:D4"/>
    <mergeCell ref="E4:G4"/>
    <mergeCell ref="B6:D6"/>
    <mergeCell ref="E6:G6"/>
    <mergeCell ref="B7:D7"/>
    <mergeCell ref="E7:G7"/>
    <mergeCell ref="B8:D8"/>
    <mergeCell ref="E8:G8"/>
    <mergeCell ref="B15:D15"/>
    <mergeCell ref="E15:G15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B14:D14"/>
    <mergeCell ref="E14:G14"/>
    <mergeCell ref="B16:D16"/>
    <mergeCell ref="E16:G16"/>
    <mergeCell ref="B17:D17"/>
    <mergeCell ref="E17:G17"/>
    <mergeCell ref="B18:D18"/>
    <mergeCell ref="E18:G18"/>
    <mergeCell ref="B26:C26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5:E25"/>
    <mergeCell ref="I38:J38"/>
    <mergeCell ref="B27:C27"/>
    <mergeCell ref="B28:C28"/>
    <mergeCell ref="B30:J30"/>
    <mergeCell ref="B35:J35"/>
    <mergeCell ref="I36:J36"/>
    <mergeCell ref="I37:J37"/>
  </mergeCells>
  <pageMargins left="0.7" right="0.7" top="0.75" bottom="0.75" header="0.3" footer="0.3"/>
  <pageSetup paperSize="9" orientation="portrait" horizontalDpi="4294967292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43A5-24F9-4FA9-9679-9F1F3F0BCB4A}">
  <sheetPr codeName="Sheet26">
    <tabColor theme="3" tint="-0.499984740745262"/>
  </sheetPr>
  <dimension ref="B1:H46"/>
  <sheetViews>
    <sheetView showGridLines="0" showRowColHeaders="0" workbookViewId="0">
      <selection activeCell="D27" sqref="D27:E27"/>
    </sheetView>
  </sheetViews>
  <sheetFormatPr defaultRowHeight="14.25" outlineLevelRow="1"/>
  <cols>
    <col min="1" max="1" width="2.7109375" style="479" customWidth="1"/>
    <col min="2" max="2" width="3.7109375" style="479" customWidth="1"/>
    <col min="3" max="3" width="12.7109375" style="478" customWidth="1"/>
    <col min="4" max="7" width="14.7109375" style="478" customWidth="1"/>
    <col min="8" max="16384" width="9.140625" style="479"/>
  </cols>
  <sheetData>
    <row r="1" spans="2:7" s="478" customFormat="1" ht="13.5" thickBot="1"/>
    <row r="2" spans="2:7" ht="21" customHeight="1" thickBot="1">
      <c r="B2" s="705" t="s">
        <v>1125</v>
      </c>
      <c r="C2" s="706"/>
      <c r="D2" s="706"/>
      <c r="E2" s="706"/>
      <c r="F2" s="706"/>
      <c r="G2" s="707"/>
    </row>
    <row r="3" spans="2:7" ht="15" customHeight="1">
      <c r="B3" s="727" t="s">
        <v>1126</v>
      </c>
      <c r="C3" s="728"/>
      <c r="D3" s="728"/>
      <c r="E3" s="729"/>
      <c r="F3" s="729"/>
      <c r="G3" s="730"/>
    </row>
    <row r="4" spans="2:7" s="480" customFormat="1" ht="28.5" customHeight="1">
      <c r="B4" s="725" t="s">
        <v>1127</v>
      </c>
      <c r="C4" s="726"/>
      <c r="D4" s="726"/>
      <c r="E4" s="719"/>
      <c r="F4" s="719"/>
      <c r="G4" s="720"/>
    </row>
    <row r="5" spans="2:7" s="480" customFormat="1" ht="28.5" customHeight="1">
      <c r="B5" s="725" t="s">
        <v>1128</v>
      </c>
      <c r="C5" s="726"/>
      <c r="D5" s="726"/>
      <c r="E5" s="719"/>
      <c r="F5" s="719"/>
      <c r="G5" s="720"/>
    </row>
    <row r="6" spans="2:7" ht="13.5" customHeight="1">
      <c r="B6" s="717" t="s">
        <v>1129</v>
      </c>
      <c r="C6" s="718"/>
      <c r="D6" s="718"/>
      <c r="E6" s="721"/>
      <c r="F6" s="721"/>
      <c r="G6" s="722"/>
    </row>
    <row r="7" spans="2:7" ht="13.5" customHeight="1">
      <c r="B7" s="717" t="s">
        <v>1130</v>
      </c>
      <c r="C7" s="718"/>
      <c r="D7" s="718"/>
      <c r="E7" s="721"/>
      <c r="F7" s="721"/>
      <c r="G7" s="722"/>
    </row>
    <row r="8" spans="2:7" ht="13.5" customHeight="1">
      <c r="B8" s="717" t="s">
        <v>1131</v>
      </c>
      <c r="C8" s="718"/>
      <c r="D8" s="718"/>
      <c r="E8" s="724"/>
      <c r="F8" s="721"/>
      <c r="G8" s="722"/>
    </row>
    <row r="9" spans="2:7" ht="13.5" customHeight="1">
      <c r="B9" s="717" t="s">
        <v>1132</v>
      </c>
      <c r="C9" s="718"/>
      <c r="D9" s="718"/>
      <c r="E9" s="721"/>
      <c r="F9" s="721"/>
      <c r="G9" s="722"/>
    </row>
    <row r="10" spans="2:7" ht="36.75" customHeight="1">
      <c r="B10" s="717" t="s">
        <v>1133</v>
      </c>
      <c r="C10" s="718"/>
      <c r="D10" s="718"/>
      <c r="E10" s="719"/>
      <c r="F10" s="719"/>
      <c r="G10" s="720"/>
    </row>
    <row r="11" spans="2:7" ht="36.75" customHeight="1">
      <c r="B11" s="717" t="s">
        <v>1134</v>
      </c>
      <c r="C11" s="718"/>
      <c r="D11" s="718"/>
      <c r="E11" s="719"/>
      <c r="F11" s="719"/>
      <c r="G11" s="720"/>
    </row>
    <row r="12" spans="2:7" ht="36.75" customHeight="1">
      <c r="B12" s="717" t="s">
        <v>1135</v>
      </c>
      <c r="C12" s="718"/>
      <c r="D12" s="718"/>
      <c r="E12" s="719"/>
      <c r="F12" s="719"/>
      <c r="G12" s="720"/>
    </row>
    <row r="13" spans="2:7" ht="13.5" customHeight="1">
      <c r="B13" s="717" t="s">
        <v>1136</v>
      </c>
      <c r="C13" s="718"/>
      <c r="D13" s="718"/>
      <c r="E13" s="721"/>
      <c r="F13" s="721"/>
      <c r="G13" s="722"/>
    </row>
    <row r="14" spans="2:7" ht="13.5" customHeight="1">
      <c r="B14" s="717" t="s">
        <v>1049</v>
      </c>
      <c r="C14" s="718"/>
      <c r="D14" s="718"/>
      <c r="E14" s="723"/>
      <c r="F14" s="721"/>
      <c r="G14" s="722"/>
    </row>
    <row r="15" spans="2:7">
      <c r="B15" s="481"/>
      <c r="C15" s="482"/>
      <c r="D15" s="482"/>
      <c r="E15" s="482"/>
      <c r="F15" s="482"/>
      <c r="G15" s="483"/>
    </row>
    <row r="16" spans="2:7" ht="25.5">
      <c r="B16" s="484" t="s">
        <v>1024</v>
      </c>
      <c r="C16" s="485" t="s">
        <v>1137</v>
      </c>
      <c r="D16" s="485" t="s">
        <v>1138</v>
      </c>
      <c r="E16" s="485" t="s">
        <v>1139</v>
      </c>
      <c r="F16" s="485" t="s">
        <v>1140</v>
      </c>
      <c r="G16" s="486" t="s">
        <v>1051</v>
      </c>
    </row>
    <row r="17" spans="2:8" ht="13.5" customHeight="1">
      <c r="B17" s="487"/>
      <c r="C17" s="488"/>
      <c r="D17" s="488"/>
      <c r="E17" s="488"/>
      <c r="F17" s="489"/>
      <c r="G17" s="490"/>
    </row>
    <row r="18" spans="2:8" ht="13.5" customHeight="1">
      <c r="B18" s="487"/>
      <c r="C18" s="488"/>
      <c r="D18" s="488"/>
      <c r="E18" s="488"/>
      <c r="F18" s="489"/>
      <c r="G18" s="490"/>
    </row>
    <row r="19" spans="2:8" ht="13.5" customHeight="1">
      <c r="B19" s="487"/>
      <c r="C19" s="488"/>
      <c r="D19" s="488"/>
      <c r="E19" s="488"/>
      <c r="F19" s="489"/>
      <c r="G19" s="490"/>
    </row>
    <row r="20" spans="2:8" ht="13.5" customHeight="1">
      <c r="B20" s="487"/>
      <c r="C20" s="488"/>
      <c r="D20" s="488"/>
      <c r="E20" s="488"/>
      <c r="F20" s="489"/>
      <c r="G20" s="490"/>
    </row>
    <row r="21" spans="2:8" ht="13.5" customHeight="1">
      <c r="B21" s="487"/>
      <c r="C21" s="488"/>
      <c r="D21" s="488"/>
      <c r="E21" s="488"/>
      <c r="F21" s="489"/>
      <c r="G21" s="490"/>
    </row>
    <row r="22" spans="2:8" ht="13.5" customHeight="1">
      <c r="B22" s="487"/>
      <c r="C22" s="488"/>
      <c r="D22" s="488"/>
      <c r="E22" s="488"/>
      <c r="F22" s="489"/>
      <c r="G22" s="490"/>
    </row>
    <row r="23" spans="2:8" ht="13.5" customHeight="1">
      <c r="B23" s="487"/>
      <c r="C23" s="488"/>
      <c r="D23" s="488"/>
      <c r="E23" s="488"/>
      <c r="F23" s="489"/>
      <c r="G23" s="490"/>
    </row>
    <row r="24" spans="2:8" ht="13.5" customHeight="1">
      <c r="B24" s="487"/>
      <c r="C24" s="488"/>
      <c r="D24" s="488"/>
      <c r="E24" s="488"/>
      <c r="F24" s="489"/>
      <c r="G24" s="490"/>
    </row>
    <row r="25" spans="2:8" ht="13.5" customHeight="1">
      <c r="B25" s="487"/>
      <c r="C25" s="488"/>
      <c r="D25" s="488"/>
      <c r="E25" s="488"/>
      <c r="F25" s="489"/>
      <c r="G25" s="490"/>
    </row>
    <row r="26" spans="2:8" ht="13.5" customHeight="1" thickBot="1">
      <c r="B26" s="491"/>
      <c r="C26" s="492"/>
      <c r="D26" s="492"/>
      <c r="E26" s="492"/>
      <c r="F26" s="493"/>
      <c r="G26" s="494"/>
    </row>
    <row r="27" spans="2:8" ht="15" thickBot="1"/>
    <row r="28" spans="2:8" ht="17.25" outlineLevel="1" thickBot="1">
      <c r="B28" s="705" t="s">
        <v>1141</v>
      </c>
      <c r="C28" s="706"/>
      <c r="D28" s="706"/>
      <c r="E28" s="706"/>
      <c r="F28" s="706"/>
      <c r="G28" s="707"/>
    </row>
    <row r="29" spans="2:8" ht="30" outlineLevel="1">
      <c r="B29" s="708" t="s">
        <v>1142</v>
      </c>
      <c r="C29" s="709"/>
      <c r="D29" s="495"/>
      <c r="E29" s="496"/>
      <c r="F29" s="497" t="s">
        <v>1143</v>
      </c>
      <c r="G29" s="498"/>
    </row>
    <row r="30" spans="2:8" ht="15" outlineLevel="1">
      <c r="B30" s="710" t="s">
        <v>1144</v>
      </c>
      <c r="C30" s="711"/>
      <c r="D30" s="712"/>
      <c r="E30" s="712"/>
      <c r="F30" s="499" t="s">
        <v>1145</v>
      </c>
      <c r="G30" s="500"/>
    </row>
    <row r="31" spans="2:8" outlineLevel="1">
      <c r="B31" s="713" t="s">
        <v>1146</v>
      </c>
      <c r="C31" s="714"/>
      <c r="D31" s="715" t="s">
        <v>1147</v>
      </c>
      <c r="E31" s="715"/>
      <c r="F31" s="715"/>
      <c r="G31" s="716" t="s">
        <v>1148</v>
      </c>
      <c r="H31" s="478"/>
    </row>
    <row r="32" spans="2:8" ht="25.5" outlineLevel="1">
      <c r="B32" s="713"/>
      <c r="C32" s="714"/>
      <c r="D32" s="501" t="s">
        <v>1149</v>
      </c>
      <c r="E32" s="501" t="s">
        <v>1150</v>
      </c>
      <c r="F32" s="501" t="s">
        <v>1151</v>
      </c>
      <c r="G32" s="716"/>
      <c r="H32" s="478"/>
    </row>
    <row r="33" spans="2:8" outlineLevel="1">
      <c r="B33" s="703">
        <v>43556</v>
      </c>
      <c r="C33" s="704"/>
      <c r="D33" s="502"/>
      <c r="E33" s="502"/>
      <c r="F33" s="502"/>
      <c r="G33" s="503">
        <f>SUM(D33:F33)</f>
        <v>0</v>
      </c>
      <c r="H33" s="478"/>
    </row>
    <row r="34" spans="2:8" outlineLevel="1">
      <c r="B34" s="703">
        <f>EDATE(B33,1)</f>
        <v>43586</v>
      </c>
      <c r="C34" s="704"/>
      <c r="D34" s="502"/>
      <c r="E34" s="502"/>
      <c r="F34" s="502"/>
      <c r="G34" s="503">
        <f t="shared" ref="G34:G44" si="0">SUM(D34:F34)</f>
        <v>0</v>
      </c>
      <c r="H34" s="478"/>
    </row>
    <row r="35" spans="2:8" outlineLevel="1">
      <c r="B35" s="703">
        <f t="shared" ref="B35:B44" si="1">EDATE(B34,1)</f>
        <v>43617</v>
      </c>
      <c r="C35" s="704"/>
      <c r="D35" s="502"/>
      <c r="E35" s="502"/>
      <c r="F35" s="502"/>
      <c r="G35" s="503">
        <f t="shared" si="0"/>
        <v>0</v>
      </c>
      <c r="H35" s="478"/>
    </row>
    <row r="36" spans="2:8" outlineLevel="1">
      <c r="B36" s="703">
        <f t="shared" si="1"/>
        <v>43647</v>
      </c>
      <c r="C36" s="704"/>
      <c r="D36" s="502"/>
      <c r="E36" s="502"/>
      <c r="F36" s="502"/>
      <c r="G36" s="503">
        <f t="shared" si="0"/>
        <v>0</v>
      </c>
      <c r="H36" s="478"/>
    </row>
    <row r="37" spans="2:8" outlineLevel="1">
      <c r="B37" s="703">
        <f t="shared" si="1"/>
        <v>43678</v>
      </c>
      <c r="C37" s="704"/>
      <c r="D37" s="502"/>
      <c r="E37" s="502"/>
      <c r="F37" s="502"/>
      <c r="G37" s="503">
        <f t="shared" si="0"/>
        <v>0</v>
      </c>
      <c r="H37" s="478"/>
    </row>
    <row r="38" spans="2:8" outlineLevel="1">
      <c r="B38" s="703">
        <f t="shared" si="1"/>
        <v>43709</v>
      </c>
      <c r="C38" s="704"/>
      <c r="D38" s="502"/>
      <c r="E38" s="502"/>
      <c r="F38" s="502"/>
      <c r="G38" s="503">
        <f t="shared" si="0"/>
        <v>0</v>
      </c>
      <c r="H38" s="478"/>
    </row>
    <row r="39" spans="2:8" outlineLevel="1">
      <c r="B39" s="703">
        <f t="shared" si="1"/>
        <v>43739</v>
      </c>
      <c r="C39" s="704"/>
      <c r="D39" s="502"/>
      <c r="E39" s="502"/>
      <c r="F39" s="502"/>
      <c r="G39" s="503">
        <f t="shared" si="0"/>
        <v>0</v>
      </c>
      <c r="H39" s="478"/>
    </row>
    <row r="40" spans="2:8" outlineLevel="1">
      <c r="B40" s="703">
        <f t="shared" si="1"/>
        <v>43770</v>
      </c>
      <c r="C40" s="704"/>
      <c r="D40" s="502"/>
      <c r="E40" s="502"/>
      <c r="F40" s="502"/>
      <c r="G40" s="503">
        <f t="shared" si="0"/>
        <v>0</v>
      </c>
      <c r="H40" s="478"/>
    </row>
    <row r="41" spans="2:8" outlineLevel="1">
      <c r="B41" s="703">
        <f t="shared" si="1"/>
        <v>43800</v>
      </c>
      <c r="C41" s="704"/>
      <c r="D41" s="502"/>
      <c r="E41" s="502"/>
      <c r="F41" s="502"/>
      <c r="G41" s="503">
        <f t="shared" si="0"/>
        <v>0</v>
      </c>
      <c r="H41" s="478"/>
    </row>
    <row r="42" spans="2:8" outlineLevel="1">
      <c r="B42" s="703">
        <f t="shared" si="1"/>
        <v>43831</v>
      </c>
      <c r="C42" s="704"/>
      <c r="D42" s="502"/>
      <c r="E42" s="502"/>
      <c r="F42" s="502"/>
      <c r="G42" s="503">
        <f t="shared" si="0"/>
        <v>0</v>
      </c>
      <c r="H42" s="478"/>
    </row>
    <row r="43" spans="2:8" outlineLevel="1">
      <c r="B43" s="703">
        <f t="shared" si="1"/>
        <v>43862</v>
      </c>
      <c r="C43" s="704"/>
      <c r="D43" s="502"/>
      <c r="E43" s="502"/>
      <c r="F43" s="502"/>
      <c r="G43" s="503">
        <f t="shared" si="0"/>
        <v>0</v>
      </c>
      <c r="H43" s="478"/>
    </row>
    <row r="44" spans="2:8" outlineLevel="1">
      <c r="B44" s="703">
        <f t="shared" si="1"/>
        <v>43891</v>
      </c>
      <c r="C44" s="704"/>
      <c r="D44" s="502"/>
      <c r="E44" s="502"/>
      <c r="F44" s="502"/>
      <c r="G44" s="503">
        <f t="shared" si="0"/>
        <v>0</v>
      </c>
      <c r="H44" s="478"/>
    </row>
    <row r="45" spans="2:8" ht="15" outlineLevel="1">
      <c r="B45" s="701" t="s">
        <v>1152</v>
      </c>
      <c r="C45" s="702"/>
      <c r="D45" s="504">
        <f>SUM(D33:D44)</f>
        <v>0</v>
      </c>
      <c r="E45" s="504">
        <f>SUM(E33:E44)</f>
        <v>0</v>
      </c>
      <c r="F45" s="504">
        <f>SUM(F33:F44)</f>
        <v>0</v>
      </c>
      <c r="G45" s="505">
        <f>SUM(G33:G44)</f>
        <v>0</v>
      </c>
      <c r="H45" s="478"/>
    </row>
    <row r="46" spans="2:8" ht="15" outlineLevel="1" thickBot="1">
      <c r="B46" s="506" t="s">
        <v>1153</v>
      </c>
      <c r="C46" s="507"/>
      <c r="D46" s="508" t="str">
        <f>IFERROR(_xlfn.IFS($G$30="Monthly",AVERAGE(D33:D44),$G$30="Quaterly",AVERAGE(D33:D36),$G$30="Half Yearly",AVERAGE(D33:D34),$G$30="Annually",D33),"")</f>
        <v/>
      </c>
      <c r="E46" s="508" t="str">
        <f t="shared" ref="E46:G46" si="2">IFERROR(_xlfn.IFS($G$30="Monthly",AVERAGE(E33:E44),$G$30="Quaterly",AVERAGE(E33:E36),$G$30="Half Yearly",AVERAGE(E33:E34),$G$30="Annually",E33),"")</f>
        <v/>
      </c>
      <c r="F46" s="508" t="str">
        <f t="shared" si="2"/>
        <v/>
      </c>
      <c r="G46" s="509" t="str">
        <f t="shared" si="2"/>
        <v/>
      </c>
      <c r="H46" s="478"/>
    </row>
  </sheetData>
  <mergeCells count="45">
    <mergeCell ref="B5:D5"/>
    <mergeCell ref="E5:G5"/>
    <mergeCell ref="B2:G2"/>
    <mergeCell ref="B3:D3"/>
    <mergeCell ref="E3:G3"/>
    <mergeCell ref="B4:D4"/>
    <mergeCell ref="E4:G4"/>
    <mergeCell ref="B6:D6"/>
    <mergeCell ref="E6:G6"/>
    <mergeCell ref="B7:D7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38:C38"/>
    <mergeCell ref="B28:G28"/>
    <mergeCell ref="B29:C29"/>
    <mergeCell ref="B30:C30"/>
    <mergeCell ref="D30:E30"/>
    <mergeCell ref="B31:C32"/>
    <mergeCell ref="D31:F31"/>
    <mergeCell ref="G31:G32"/>
    <mergeCell ref="B33:C33"/>
    <mergeCell ref="B34:C34"/>
    <mergeCell ref="B35:C35"/>
    <mergeCell ref="B36:C36"/>
    <mergeCell ref="B37:C37"/>
    <mergeCell ref="B45:C45"/>
    <mergeCell ref="B39:C39"/>
    <mergeCell ref="B40:C40"/>
    <mergeCell ref="B41:C41"/>
    <mergeCell ref="B42:C42"/>
    <mergeCell ref="B43:C43"/>
    <mergeCell ref="B44:C44"/>
  </mergeCells>
  <dataValidations count="1">
    <dataValidation type="list" allowBlank="1" showInputMessage="1" showErrorMessage="1" sqref="G30" xr:uid="{AB38B806-E700-4872-8BB8-A0897E52A167}">
      <formula1>"Monthly,Quaterly,Half Yearly,Annually"</formula1>
    </dataValidation>
  </dataValidations>
  <pageMargins left="0.7" right="0.7" top="0.75" bottom="0.75" header="0.3" footer="0.3"/>
  <pageSetup paperSize="9" orientation="portrait" horizontalDpi="4294967292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CF24-A7CE-4C41-8964-24BBFD73671B}">
  <sheetPr codeName="Sheet27">
    <tabColor theme="3" tint="-0.499984740745262"/>
  </sheetPr>
  <dimension ref="A1:H16"/>
  <sheetViews>
    <sheetView showRowColHeaders="0" workbookViewId="0">
      <selection activeCell="D27" sqref="D27:E27"/>
    </sheetView>
  </sheetViews>
  <sheetFormatPr defaultRowHeight="12.75"/>
  <cols>
    <col min="1" max="1" width="2.7109375" style="439" customWidth="1"/>
    <col min="2" max="2" width="3.140625" style="439" customWidth="1"/>
    <col min="3" max="3" width="25.7109375" style="439" customWidth="1"/>
    <col min="4" max="5" width="17.7109375" style="439" customWidth="1"/>
    <col min="6" max="6" width="35.42578125" style="439" customWidth="1"/>
    <col min="7" max="8" width="17.7109375" style="439" customWidth="1"/>
    <col min="9" max="9" width="9.140625" style="439" customWidth="1"/>
    <col min="10" max="16384" width="9.140625" style="439"/>
  </cols>
  <sheetData>
    <row r="1" spans="1:8" ht="13.5" thickBot="1"/>
    <row r="2" spans="1:8" ht="17.25" thickBot="1">
      <c r="A2" s="440"/>
      <c r="B2" s="642" t="s">
        <v>1154</v>
      </c>
      <c r="C2" s="643"/>
      <c r="D2" s="643"/>
      <c r="E2" s="643"/>
      <c r="F2" s="643"/>
      <c r="G2" s="643"/>
      <c r="H2" s="644"/>
    </row>
    <row r="3" spans="1:8">
      <c r="B3" s="746" t="s">
        <v>1155</v>
      </c>
      <c r="C3" s="747"/>
      <c r="D3" s="748"/>
      <c r="E3" s="748"/>
      <c r="F3" s="510" t="s">
        <v>1156</v>
      </c>
      <c r="G3" s="748"/>
      <c r="H3" s="749"/>
    </row>
    <row r="4" spans="1:8" s="443" customFormat="1">
      <c r="A4" s="442"/>
      <c r="B4" s="649"/>
      <c r="C4" s="650"/>
      <c r="D4" s="650"/>
      <c r="E4" s="650"/>
      <c r="F4" s="650"/>
      <c r="G4" s="650"/>
      <c r="H4" s="651"/>
    </row>
    <row r="5" spans="1:8">
      <c r="B5" s="511">
        <v>1</v>
      </c>
      <c r="C5" s="444" t="s">
        <v>1157</v>
      </c>
      <c r="D5" s="743"/>
      <c r="E5" s="743"/>
      <c r="F5" s="512" t="s">
        <v>1119</v>
      </c>
      <c r="G5" s="744"/>
      <c r="H5" s="745"/>
    </row>
    <row r="6" spans="1:8" ht="15">
      <c r="B6" s="513"/>
      <c r="C6" s="514"/>
      <c r="D6" s="739" t="s">
        <v>1048</v>
      </c>
      <c r="E6" s="739"/>
      <c r="F6" s="515" t="s">
        <v>1158</v>
      </c>
      <c r="G6" s="739" t="s">
        <v>1159</v>
      </c>
      <c r="H6" s="740"/>
    </row>
    <row r="7" spans="1:8">
      <c r="B7" s="513"/>
      <c r="C7" s="446" t="s">
        <v>1160</v>
      </c>
      <c r="D7" s="733" t="s">
        <v>1161</v>
      </c>
      <c r="E7" s="733"/>
      <c r="F7" s="445" t="s">
        <v>1161</v>
      </c>
      <c r="G7" s="733" t="s">
        <v>1161</v>
      </c>
      <c r="H7" s="738"/>
    </row>
    <row r="8" spans="1:8" s="516" customFormat="1">
      <c r="B8" s="513"/>
      <c r="C8" s="517" t="s">
        <v>1162</v>
      </c>
      <c r="D8" s="741"/>
      <c r="E8" s="741"/>
      <c r="F8" s="518"/>
      <c r="G8" s="741"/>
      <c r="H8" s="742"/>
    </row>
    <row r="9" spans="1:8">
      <c r="B9" s="513"/>
      <c r="C9" s="446" t="s">
        <v>1163</v>
      </c>
      <c r="D9" s="733"/>
      <c r="E9" s="733"/>
      <c r="F9" s="445"/>
      <c r="G9" s="733"/>
      <c r="H9" s="738"/>
    </row>
    <row r="10" spans="1:8">
      <c r="B10" s="513"/>
      <c r="C10" s="446" t="s">
        <v>1164</v>
      </c>
      <c r="D10" s="733"/>
      <c r="E10" s="733"/>
      <c r="F10" s="519"/>
      <c r="G10" s="736"/>
      <c r="H10" s="737"/>
    </row>
    <row r="11" spans="1:8">
      <c r="B11" s="513"/>
      <c r="C11" s="446" t="s">
        <v>1165</v>
      </c>
      <c r="D11" s="736"/>
      <c r="E11" s="736"/>
      <c r="F11" s="519"/>
      <c r="G11" s="736"/>
      <c r="H11" s="737"/>
    </row>
    <row r="12" spans="1:8">
      <c r="B12" s="513"/>
      <c r="C12" s="446" t="s">
        <v>1069</v>
      </c>
      <c r="D12" s="733"/>
      <c r="E12" s="733"/>
      <c r="F12" s="520"/>
      <c r="G12" s="734"/>
      <c r="H12" s="735"/>
    </row>
    <row r="13" spans="1:8">
      <c r="B13" s="513"/>
      <c r="C13" s="446" t="s">
        <v>1166</v>
      </c>
      <c r="D13" s="736"/>
      <c r="E13" s="736"/>
      <c r="F13" s="519"/>
      <c r="G13" s="736"/>
      <c r="H13" s="737"/>
    </row>
    <row r="14" spans="1:8">
      <c r="B14" s="513"/>
      <c r="C14" s="446" t="s">
        <v>1051</v>
      </c>
      <c r="D14" s="733"/>
      <c r="E14" s="733"/>
      <c r="F14" s="521"/>
      <c r="G14" s="731"/>
      <c r="H14" s="732"/>
    </row>
    <row r="15" spans="1:8">
      <c r="B15" s="513"/>
      <c r="C15" s="446" t="s">
        <v>1049</v>
      </c>
      <c r="D15" s="731"/>
      <c r="E15" s="731"/>
      <c r="F15" s="521"/>
      <c r="G15" s="731"/>
      <c r="H15" s="732"/>
    </row>
    <row r="16" spans="1:8" s="443" customFormat="1" ht="13.5" thickBot="1">
      <c r="B16" s="633"/>
      <c r="C16" s="634"/>
      <c r="D16" s="634"/>
      <c r="E16" s="634"/>
      <c r="F16" s="634"/>
      <c r="G16" s="634"/>
      <c r="H16" s="635"/>
    </row>
  </sheetData>
  <mergeCells count="28">
    <mergeCell ref="D5:E5"/>
    <mergeCell ref="G5:H5"/>
    <mergeCell ref="B2:H2"/>
    <mergeCell ref="B3:C3"/>
    <mergeCell ref="D3:E3"/>
    <mergeCell ref="G3:H3"/>
    <mergeCell ref="B4:H4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5:E15"/>
    <mergeCell ref="G15:H15"/>
    <mergeCell ref="B16:H16"/>
    <mergeCell ref="D12:E12"/>
    <mergeCell ref="G12:H12"/>
    <mergeCell ref="D13:E13"/>
    <mergeCell ref="G13:H13"/>
    <mergeCell ref="D14:E14"/>
    <mergeCell ref="G14:H14"/>
  </mergeCells>
  <conditionalFormatting sqref="D8">
    <cfRule type="expression" dxfId="204" priority="3">
      <formula>$D8&lt;&gt;$D10</formula>
    </cfRule>
  </conditionalFormatting>
  <conditionalFormatting sqref="F8">
    <cfRule type="expression" dxfId="203" priority="2">
      <formula>$F8&lt;&gt;$F10</formula>
    </cfRule>
  </conditionalFormatting>
  <conditionalFormatting sqref="G8">
    <cfRule type="expression" dxfId="202" priority="1">
      <formula>$G8&lt;&gt;$G10</formula>
    </cfRule>
  </conditionalFormatting>
  <dataValidations count="2">
    <dataValidation type="list" allowBlank="1" showInputMessage="1" showErrorMessage="1" sqref="D14 F14:G14" xr:uid="{557BBB51-48A2-452A-A750-EDB44B147084}">
      <formula1>"Active,In-Active,Not Valid"</formula1>
    </dataValidation>
    <dataValidation type="list" allowBlank="1" showInputMessage="1" showErrorMessage="1" sqref="D7 F7:G7" xr:uid="{16BFAFF5-0367-4346-AD44-746329F5F225}">
      <formula1>"Available,Not Available"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L107"/>
  <sheetViews>
    <sheetView view="pageBreakPreview" topLeftCell="A37" zoomScale="90" zoomScaleSheetLayoutView="90" workbookViewId="0">
      <selection activeCell="B45" sqref="B45"/>
    </sheetView>
  </sheetViews>
  <sheetFormatPr defaultColWidth="13.5703125" defaultRowHeight="32.1" customHeight="1"/>
  <cols>
    <col min="1" max="1" width="37.28515625" style="112" customWidth="1"/>
    <col min="2" max="2" width="13" style="112" bestFit="1" customWidth="1"/>
    <col min="3" max="3" width="12.7109375" style="112" customWidth="1"/>
    <col min="4" max="4" width="10.140625" style="129" customWidth="1"/>
    <col min="5" max="5" width="12.28515625" style="112" customWidth="1"/>
    <col min="6" max="6" width="15.7109375" style="129" customWidth="1"/>
    <col min="7" max="7" width="12.28515625" style="112" customWidth="1"/>
    <col min="8" max="8" width="15.7109375" style="129" customWidth="1"/>
    <col min="9" max="9" width="17.42578125" style="129" bestFit="1" customWidth="1"/>
    <col min="10" max="10" width="22" style="112" customWidth="1"/>
    <col min="11" max="11" width="12" style="112" customWidth="1"/>
    <col min="12" max="16384" width="13.5703125" style="112"/>
  </cols>
  <sheetData>
    <row r="1" spans="1:10" ht="18">
      <c r="A1" s="751"/>
      <c r="B1" s="751"/>
      <c r="C1" s="751"/>
      <c r="D1" s="751"/>
      <c r="E1" s="751"/>
      <c r="F1" s="751"/>
      <c r="G1" s="751"/>
      <c r="H1" s="751"/>
      <c r="I1" s="752"/>
    </row>
    <row r="2" spans="1:10" ht="7.5" customHeight="1">
      <c r="A2" s="751"/>
      <c r="B2" s="751"/>
      <c r="C2" s="751"/>
      <c r="D2" s="751"/>
      <c r="E2" s="751"/>
      <c r="F2" s="751"/>
      <c r="G2" s="751"/>
      <c r="H2" s="751"/>
      <c r="I2" s="752"/>
    </row>
    <row r="3" spans="1:10" ht="18">
      <c r="A3" s="753" t="s">
        <v>301</v>
      </c>
      <c r="B3" s="113" t="s">
        <v>558</v>
      </c>
      <c r="C3" s="114" t="s">
        <v>303</v>
      </c>
      <c r="D3" s="113" t="s">
        <v>559</v>
      </c>
      <c r="E3" s="114" t="s">
        <v>303</v>
      </c>
      <c r="F3" s="113" t="s">
        <v>560</v>
      </c>
      <c r="G3" s="114" t="s">
        <v>303</v>
      </c>
      <c r="H3" s="113" t="s">
        <v>561</v>
      </c>
      <c r="I3" s="115"/>
    </row>
    <row r="4" spans="1:10" ht="18">
      <c r="A4" s="753"/>
      <c r="B4" s="114" t="s">
        <v>307</v>
      </c>
      <c r="C4" s="113" t="s">
        <v>562</v>
      </c>
      <c r="D4" s="114" t="s">
        <v>307</v>
      </c>
      <c r="E4" s="113" t="s">
        <v>563</v>
      </c>
      <c r="F4" s="114" t="s">
        <v>307</v>
      </c>
      <c r="G4" s="113" t="s">
        <v>564</v>
      </c>
      <c r="H4" s="114" t="s">
        <v>307</v>
      </c>
      <c r="I4" s="115"/>
    </row>
    <row r="5" spans="1:10" ht="18">
      <c r="A5" s="116" t="s">
        <v>185</v>
      </c>
      <c r="B5" s="117">
        <v>599999</v>
      </c>
      <c r="C5" s="118">
        <f>(B5-D5)/D5*100</f>
        <v>85614.142857142855</v>
      </c>
      <c r="D5" s="117">
        <v>700</v>
      </c>
      <c r="E5" s="118" t="e">
        <f>(D5-F5)/F5*100</f>
        <v>#DIV/0!</v>
      </c>
      <c r="F5" s="119">
        <v>0</v>
      </c>
      <c r="G5" s="118" t="e">
        <f>(F5-H5)/H5*100</f>
        <v>#DIV/0!</v>
      </c>
      <c r="H5" s="119">
        <v>0</v>
      </c>
      <c r="I5" s="120"/>
    </row>
    <row r="6" spans="1:10" ht="25.35" customHeight="1">
      <c r="A6" s="121" t="s">
        <v>311</v>
      </c>
      <c r="B6" s="117">
        <v>12</v>
      </c>
      <c r="C6" s="118">
        <f>(B6-D6)/D6*100</f>
        <v>0</v>
      </c>
      <c r="D6" s="117">
        <v>12</v>
      </c>
      <c r="E6" s="118" t="e">
        <f>(D6-F6)/F6*100</f>
        <v>#DIV/0!</v>
      </c>
      <c r="F6" s="117">
        <v>0</v>
      </c>
      <c r="G6" s="118" t="e">
        <f>(F6-H6)/H6*100</f>
        <v>#DIV/0!</v>
      </c>
      <c r="H6" s="117">
        <v>0</v>
      </c>
      <c r="I6" s="120"/>
    </row>
    <row r="7" spans="1:10" ht="18">
      <c r="A7" s="121" t="s">
        <v>312</v>
      </c>
      <c r="B7" s="117">
        <v>5</v>
      </c>
      <c r="C7" s="118">
        <f>(B7-D7)/D7*100</f>
        <v>0</v>
      </c>
      <c r="D7" s="117">
        <v>5</v>
      </c>
      <c r="E7" s="118" t="e">
        <f>(D7-F7)/F7*100</f>
        <v>#DIV/0!</v>
      </c>
      <c r="F7" s="117">
        <v>0</v>
      </c>
      <c r="G7" s="118" t="e">
        <f>(F7-H7)/H7*100</f>
        <v>#DIV/0!</v>
      </c>
      <c r="H7" s="117">
        <v>0</v>
      </c>
      <c r="I7" s="120"/>
    </row>
    <row r="8" spans="1:10" ht="18.75" thickBot="1">
      <c r="A8" s="122" t="s">
        <v>313</v>
      </c>
      <c r="B8" s="123">
        <f>B5+B6+B7</f>
        <v>600016</v>
      </c>
      <c r="C8" s="118">
        <f>(B8-D8)/D8*100</f>
        <v>83584.239888423981</v>
      </c>
      <c r="D8" s="123">
        <f>D5+D6+D7</f>
        <v>717</v>
      </c>
      <c r="E8" s="118" t="e">
        <f>(D8-F8)/F8*100</f>
        <v>#DIV/0!</v>
      </c>
      <c r="F8" s="123">
        <f>F5+F6+F7</f>
        <v>0</v>
      </c>
      <c r="G8" s="118" t="e">
        <f>(F8-H8)/H8*100</f>
        <v>#DIV/0!</v>
      </c>
      <c r="H8" s="123">
        <f>H5+H6+H7</f>
        <v>0</v>
      </c>
      <c r="I8" s="120"/>
    </row>
    <row r="9" spans="1:10" ht="39" thickBot="1">
      <c r="A9" s="122"/>
      <c r="B9" s="123"/>
      <c r="C9" s="124" t="s">
        <v>565</v>
      </c>
      <c r="D9" s="123"/>
      <c r="E9" s="124" t="s">
        <v>566</v>
      </c>
      <c r="F9" s="125"/>
      <c r="G9" s="124" t="s">
        <v>567</v>
      </c>
      <c r="H9" s="125"/>
      <c r="I9" s="126" t="s">
        <v>568</v>
      </c>
    </row>
    <row r="10" spans="1:10" ht="18.75" thickBot="1">
      <c r="A10" s="127" t="s">
        <v>314</v>
      </c>
      <c r="B10" s="117">
        <v>1</v>
      </c>
      <c r="C10" s="118">
        <f t="shared" ref="C10:C29" si="0">B10/$B$5*100</f>
        <v>1.6666694444490742E-4</v>
      </c>
      <c r="D10" s="117">
        <v>1</v>
      </c>
      <c r="E10" s="118">
        <f t="shared" ref="E10:E29" si="1">D10/$D$5*100</f>
        <v>0.14285714285714285</v>
      </c>
      <c r="F10" s="117">
        <v>0</v>
      </c>
      <c r="G10" s="118" t="e">
        <f t="shared" ref="G10:G29" si="2">F10/$F$5*100</f>
        <v>#DIV/0!</v>
      </c>
      <c r="H10" s="117">
        <v>0</v>
      </c>
      <c r="I10" s="128" t="e">
        <f t="shared" ref="I10:I29" si="3">H10/$H$5*100</f>
        <v>#DIV/0!</v>
      </c>
    </row>
    <row r="11" spans="1:10" ht="18.75" thickBot="1">
      <c r="A11" s="127" t="s">
        <v>315</v>
      </c>
      <c r="B11" s="117">
        <v>0</v>
      </c>
      <c r="C11" s="118">
        <f t="shared" si="0"/>
        <v>0</v>
      </c>
      <c r="D11" s="117">
        <v>50</v>
      </c>
      <c r="E11" s="118">
        <f t="shared" si="1"/>
        <v>7.1428571428571423</v>
      </c>
      <c r="F11" s="119">
        <v>0</v>
      </c>
      <c r="G11" s="118" t="e">
        <f t="shared" si="2"/>
        <v>#DIV/0!</v>
      </c>
      <c r="H11" s="119">
        <v>0</v>
      </c>
      <c r="I11" s="128" t="e">
        <f t="shared" si="3"/>
        <v>#DIV/0!</v>
      </c>
      <c r="J11" s="129"/>
    </row>
    <row r="12" spans="1:10" ht="18.75" thickBot="1">
      <c r="A12" s="127" t="s">
        <v>316</v>
      </c>
      <c r="B12" s="117">
        <v>850</v>
      </c>
      <c r="C12" s="118">
        <f t="shared" si="0"/>
        <v>0.14166690277817129</v>
      </c>
      <c r="D12" s="117">
        <v>600</v>
      </c>
      <c r="E12" s="118">
        <f t="shared" si="1"/>
        <v>85.714285714285708</v>
      </c>
      <c r="F12" s="119">
        <v>0</v>
      </c>
      <c r="G12" s="118" t="e">
        <f t="shared" si="2"/>
        <v>#DIV/0!</v>
      </c>
      <c r="H12" s="119">
        <v>0</v>
      </c>
      <c r="I12" s="128" t="e">
        <f t="shared" si="3"/>
        <v>#DIV/0!</v>
      </c>
    </row>
    <row r="13" spans="1:10" ht="18.75" thickBot="1">
      <c r="A13" s="130" t="s">
        <v>317</v>
      </c>
      <c r="B13" s="131">
        <f>B8-B10-B11-B12</f>
        <v>599165</v>
      </c>
      <c r="C13" s="118">
        <f t="shared" si="0"/>
        <v>99.860999768332945</v>
      </c>
      <c r="D13" s="131">
        <f>D8-D10-D11-D12</f>
        <v>66</v>
      </c>
      <c r="E13" s="118">
        <f t="shared" si="1"/>
        <v>9.4285714285714288</v>
      </c>
      <c r="F13" s="131">
        <f>F8-F10-F11-F12</f>
        <v>0</v>
      </c>
      <c r="G13" s="118" t="e">
        <f t="shared" si="2"/>
        <v>#DIV/0!</v>
      </c>
      <c r="H13" s="131">
        <f>H8-H10-H11-H12</f>
        <v>0</v>
      </c>
      <c r="I13" s="128" t="e">
        <f t="shared" si="3"/>
        <v>#DIV/0!</v>
      </c>
    </row>
    <row r="14" spans="1:10" ht="18.75" thickBot="1">
      <c r="A14" s="132" t="s">
        <v>318</v>
      </c>
      <c r="B14" s="117">
        <v>3</v>
      </c>
      <c r="C14" s="118">
        <f t="shared" si="0"/>
        <v>5.000008333347222E-4</v>
      </c>
      <c r="D14" s="117">
        <v>3</v>
      </c>
      <c r="E14" s="118">
        <f t="shared" si="1"/>
        <v>0.4285714285714286</v>
      </c>
      <c r="F14" s="119">
        <v>0</v>
      </c>
      <c r="G14" s="118" t="e">
        <f t="shared" si="2"/>
        <v>#DIV/0!</v>
      </c>
      <c r="H14" s="119">
        <v>0</v>
      </c>
      <c r="I14" s="128" t="e">
        <f t="shared" si="3"/>
        <v>#DIV/0!</v>
      </c>
      <c r="J14" s="129"/>
    </row>
    <row r="15" spans="1:10" ht="18.75" thickBot="1">
      <c r="A15" s="132" t="s">
        <v>319</v>
      </c>
      <c r="B15" s="117">
        <v>2</v>
      </c>
      <c r="C15" s="118">
        <f t="shared" si="0"/>
        <v>3.3333388888981484E-4</v>
      </c>
      <c r="D15" s="117">
        <v>2</v>
      </c>
      <c r="E15" s="118">
        <f t="shared" si="1"/>
        <v>0.2857142857142857</v>
      </c>
      <c r="F15" s="119">
        <v>0</v>
      </c>
      <c r="G15" s="118" t="e">
        <f t="shared" si="2"/>
        <v>#DIV/0!</v>
      </c>
      <c r="H15" s="119">
        <v>0</v>
      </c>
      <c r="I15" s="128" t="e">
        <f t="shared" si="3"/>
        <v>#DIV/0!</v>
      </c>
      <c r="J15" s="129"/>
    </row>
    <row r="16" spans="1:10" ht="18.75" thickBot="1">
      <c r="A16" s="130" t="s">
        <v>320</v>
      </c>
      <c r="B16" s="131">
        <f>B13-B14-B15</f>
        <v>599160</v>
      </c>
      <c r="C16" s="118">
        <f t="shared" si="0"/>
        <v>99.860166433610715</v>
      </c>
      <c r="D16" s="131">
        <f>D13-D14-D15</f>
        <v>61</v>
      </c>
      <c r="E16" s="118">
        <f t="shared" si="1"/>
        <v>8.7142857142857153</v>
      </c>
      <c r="F16" s="131">
        <f>F13-F14-F15</f>
        <v>0</v>
      </c>
      <c r="G16" s="118" t="e">
        <f t="shared" si="2"/>
        <v>#DIV/0!</v>
      </c>
      <c r="H16" s="131">
        <f>H13-H14-H15</f>
        <v>0</v>
      </c>
      <c r="I16" s="128" t="e">
        <f t="shared" si="3"/>
        <v>#DIV/0!</v>
      </c>
    </row>
    <row r="17" spans="1:12" ht="18.75" thickBot="1">
      <c r="A17" s="133" t="s">
        <v>218</v>
      </c>
      <c r="B17" s="117">
        <v>1</v>
      </c>
      <c r="C17" s="118">
        <f t="shared" si="0"/>
        <v>1.6666694444490742E-4</v>
      </c>
      <c r="D17" s="117">
        <v>0.25</v>
      </c>
      <c r="E17" s="118">
        <f t="shared" si="1"/>
        <v>3.5714285714285712E-2</v>
      </c>
      <c r="F17" s="119">
        <v>0</v>
      </c>
      <c r="G17" s="118" t="e">
        <f t="shared" si="2"/>
        <v>#DIV/0!</v>
      </c>
      <c r="H17" s="119">
        <v>0</v>
      </c>
      <c r="I17" s="128" t="e">
        <f t="shared" si="3"/>
        <v>#DIV/0!</v>
      </c>
      <c r="L17" s="134"/>
    </row>
    <row r="18" spans="1:12" s="134" customFormat="1" ht="18.75" thickBot="1">
      <c r="A18" s="127" t="s">
        <v>321</v>
      </c>
      <c r="B18" s="117">
        <v>34</v>
      </c>
      <c r="C18" s="118">
        <f t="shared" si="0"/>
        <v>5.6666761111268515E-3</v>
      </c>
      <c r="D18" s="117">
        <v>34</v>
      </c>
      <c r="E18" s="118">
        <f t="shared" si="1"/>
        <v>4.8571428571428568</v>
      </c>
      <c r="F18" s="119">
        <v>0</v>
      </c>
      <c r="G18" s="118" t="e">
        <f t="shared" si="2"/>
        <v>#DIV/0!</v>
      </c>
      <c r="H18" s="119">
        <v>0</v>
      </c>
      <c r="I18" s="128" t="e">
        <f t="shared" si="3"/>
        <v>#DIV/0!</v>
      </c>
      <c r="L18" s="112"/>
    </row>
    <row r="19" spans="1:12" s="134" customFormat="1" ht="18.75" thickBot="1">
      <c r="A19" s="127" t="s">
        <v>322</v>
      </c>
      <c r="B19" s="117">
        <v>1</v>
      </c>
      <c r="C19" s="118">
        <f t="shared" si="0"/>
        <v>1.6666694444490742E-4</v>
      </c>
      <c r="D19" s="117">
        <v>1</v>
      </c>
      <c r="E19" s="118">
        <f t="shared" si="1"/>
        <v>0.14285714285714285</v>
      </c>
      <c r="F19" s="119">
        <v>1</v>
      </c>
      <c r="G19" s="118" t="e">
        <f t="shared" si="2"/>
        <v>#DIV/0!</v>
      </c>
      <c r="H19" s="119">
        <v>1</v>
      </c>
      <c r="I19" s="128" t="e">
        <f t="shared" si="3"/>
        <v>#DIV/0!</v>
      </c>
      <c r="L19" s="112"/>
    </row>
    <row r="20" spans="1:12" s="134" customFormat="1" ht="18.75" thickBot="1">
      <c r="A20" s="127" t="s">
        <v>323</v>
      </c>
      <c r="B20" s="117">
        <v>1</v>
      </c>
      <c r="C20" s="118">
        <f t="shared" si="0"/>
        <v>1.6666694444490742E-4</v>
      </c>
      <c r="D20" s="117">
        <v>1</v>
      </c>
      <c r="E20" s="118">
        <f t="shared" si="1"/>
        <v>0.14285714285714285</v>
      </c>
      <c r="F20" s="119">
        <v>1</v>
      </c>
      <c r="G20" s="118" t="e">
        <f t="shared" si="2"/>
        <v>#DIV/0!</v>
      </c>
      <c r="H20" s="119">
        <v>1</v>
      </c>
      <c r="I20" s="128" t="e">
        <f t="shared" si="3"/>
        <v>#DIV/0!</v>
      </c>
      <c r="L20" s="112"/>
    </row>
    <row r="21" spans="1:12" s="134" customFormat="1" ht="18.75" thickBot="1">
      <c r="A21" s="127" t="s">
        <v>324</v>
      </c>
      <c r="B21" s="117">
        <v>5</v>
      </c>
      <c r="C21" s="118">
        <f t="shared" si="0"/>
        <v>8.3333472222453715E-4</v>
      </c>
      <c r="D21" s="117">
        <v>5</v>
      </c>
      <c r="E21" s="118">
        <f t="shared" si="1"/>
        <v>0.7142857142857143</v>
      </c>
      <c r="F21" s="119">
        <v>0</v>
      </c>
      <c r="G21" s="118" t="e">
        <f t="shared" si="2"/>
        <v>#DIV/0!</v>
      </c>
      <c r="H21" s="119">
        <v>0</v>
      </c>
      <c r="I21" s="128" t="e">
        <f t="shared" si="3"/>
        <v>#DIV/0!</v>
      </c>
      <c r="L21" s="112"/>
    </row>
    <row r="22" spans="1:12" ht="18.75" thickBot="1">
      <c r="A22" s="133" t="s">
        <v>325</v>
      </c>
      <c r="B22" s="117">
        <v>6</v>
      </c>
      <c r="C22" s="118">
        <f t="shared" si="0"/>
        <v>1.0000016666694444E-3</v>
      </c>
      <c r="D22" s="117">
        <v>6</v>
      </c>
      <c r="E22" s="118">
        <f t="shared" si="1"/>
        <v>0.85714285714285721</v>
      </c>
      <c r="F22" s="119">
        <v>0</v>
      </c>
      <c r="G22" s="118" t="e">
        <f t="shared" si="2"/>
        <v>#DIV/0!</v>
      </c>
      <c r="H22" s="119">
        <v>0</v>
      </c>
      <c r="I22" s="128" t="e">
        <f t="shared" si="3"/>
        <v>#DIV/0!</v>
      </c>
    </row>
    <row r="23" spans="1:12" ht="18.75" thickBot="1">
      <c r="A23" s="135" t="s">
        <v>326</v>
      </c>
      <c r="B23" s="136">
        <f>B16-B17-B18-B22-B21-B19-B20</f>
        <v>599112</v>
      </c>
      <c r="C23" s="118">
        <f t="shared" si="0"/>
        <v>99.852166420277371</v>
      </c>
      <c r="D23" s="136">
        <f>D16-D17-D18-D22-D21-D19-D20</f>
        <v>13.75</v>
      </c>
      <c r="E23" s="118">
        <f t="shared" si="1"/>
        <v>1.9642857142857142</v>
      </c>
      <c r="F23" s="136">
        <f>F16-F17-F18-F22-F21-F19-F20</f>
        <v>-2</v>
      </c>
      <c r="G23" s="118" t="e">
        <f t="shared" si="2"/>
        <v>#DIV/0!</v>
      </c>
      <c r="H23" s="136">
        <f>H16-H17-H18-H22-H21-H19-H20</f>
        <v>-2</v>
      </c>
      <c r="I23" s="128" t="e">
        <f t="shared" si="3"/>
        <v>#DIV/0!</v>
      </c>
    </row>
    <row r="24" spans="1:12" ht="18.75" thickBot="1">
      <c r="A24" s="121" t="s">
        <v>327</v>
      </c>
      <c r="B24" s="117">
        <v>1</v>
      </c>
      <c r="C24" s="118">
        <f t="shared" si="0"/>
        <v>1.6666694444490742E-4</v>
      </c>
      <c r="D24" s="117">
        <v>1</v>
      </c>
      <c r="E24" s="118">
        <f t="shared" si="1"/>
        <v>0.14285714285714285</v>
      </c>
      <c r="F24" s="117">
        <v>0</v>
      </c>
      <c r="G24" s="118" t="e">
        <f t="shared" si="2"/>
        <v>#DIV/0!</v>
      </c>
      <c r="H24" s="117">
        <v>0</v>
      </c>
      <c r="I24" s="128" t="e">
        <f t="shared" si="3"/>
        <v>#DIV/0!</v>
      </c>
      <c r="K24" s="137"/>
    </row>
    <row r="25" spans="1:12" ht="18.75" thickBot="1">
      <c r="A25" s="138" t="s">
        <v>186</v>
      </c>
      <c r="B25" s="123">
        <f>B23-B24</f>
        <v>599111</v>
      </c>
      <c r="C25" s="139">
        <f t="shared" si="0"/>
        <v>99.851999753332919</v>
      </c>
      <c r="D25" s="123">
        <f>D23-D24</f>
        <v>12.75</v>
      </c>
      <c r="E25" s="139">
        <f t="shared" si="1"/>
        <v>1.8214285714285714</v>
      </c>
      <c r="F25" s="123">
        <f>F23-F24</f>
        <v>-2</v>
      </c>
      <c r="G25" s="118" t="e">
        <f t="shared" si="2"/>
        <v>#DIV/0!</v>
      </c>
      <c r="H25" s="123">
        <f>H23-H24</f>
        <v>-2</v>
      </c>
      <c r="I25" s="128" t="e">
        <f t="shared" si="3"/>
        <v>#DIV/0!</v>
      </c>
      <c r="J25" s="140"/>
    </row>
    <row r="26" spans="1:12" ht="18.75" thickBot="1">
      <c r="A26" s="135" t="s">
        <v>328</v>
      </c>
      <c r="B26" s="136">
        <f>B25+B17+B22</f>
        <v>599118</v>
      </c>
      <c r="C26" s="118">
        <f t="shared" si="0"/>
        <v>99.853166421944039</v>
      </c>
      <c r="D26" s="136">
        <f>D25+D17+D22</f>
        <v>19</v>
      </c>
      <c r="E26" s="118">
        <f t="shared" si="1"/>
        <v>2.7142857142857144</v>
      </c>
      <c r="F26" s="136">
        <f>F25+F17+F22</f>
        <v>-2</v>
      </c>
      <c r="G26" s="118" t="e">
        <f t="shared" si="2"/>
        <v>#DIV/0!</v>
      </c>
      <c r="H26" s="136">
        <f>H25+H17+H22</f>
        <v>-2</v>
      </c>
      <c r="I26" s="128" t="e">
        <f t="shared" si="3"/>
        <v>#DIV/0!</v>
      </c>
    </row>
    <row r="27" spans="1:12" ht="18.75" thickBot="1">
      <c r="A27" s="141" t="s">
        <v>329</v>
      </c>
      <c r="B27" s="117">
        <v>1</v>
      </c>
      <c r="C27" s="118">
        <f t="shared" si="0"/>
        <v>1.6666694444490742E-4</v>
      </c>
      <c r="D27" s="117">
        <v>1</v>
      </c>
      <c r="E27" s="118">
        <f t="shared" si="1"/>
        <v>0.14285714285714285</v>
      </c>
      <c r="F27" s="117">
        <v>0</v>
      </c>
      <c r="G27" s="118" t="e">
        <f t="shared" si="2"/>
        <v>#DIV/0!</v>
      </c>
      <c r="H27" s="117">
        <v>0</v>
      </c>
      <c r="I27" s="128" t="e">
        <f t="shared" si="3"/>
        <v>#DIV/0!</v>
      </c>
    </row>
    <row r="28" spans="1:12" ht="18.75" thickBot="1">
      <c r="A28" s="141" t="s">
        <v>220</v>
      </c>
      <c r="B28" s="117">
        <v>1</v>
      </c>
      <c r="C28" s="118">
        <f t="shared" si="0"/>
        <v>1.6666694444490742E-4</v>
      </c>
      <c r="D28" s="117">
        <v>1</v>
      </c>
      <c r="E28" s="118">
        <f t="shared" si="1"/>
        <v>0.14285714285714285</v>
      </c>
      <c r="F28" s="117">
        <v>0</v>
      </c>
      <c r="G28" s="118" t="e">
        <f t="shared" si="2"/>
        <v>#DIV/0!</v>
      </c>
      <c r="H28" s="117">
        <v>0</v>
      </c>
      <c r="I28" s="128" t="e">
        <f t="shared" si="3"/>
        <v>#DIV/0!</v>
      </c>
    </row>
    <row r="29" spans="1:12" ht="18.75" thickBot="1">
      <c r="A29" s="142" t="s">
        <v>187</v>
      </c>
      <c r="B29" s="143">
        <f>B26+B27+B28</f>
        <v>599120</v>
      </c>
      <c r="C29" s="139">
        <f t="shared" si="0"/>
        <v>99.853499755832928</v>
      </c>
      <c r="D29" s="143">
        <f>D26+D27+D28</f>
        <v>21</v>
      </c>
      <c r="E29" s="139">
        <f t="shared" si="1"/>
        <v>3</v>
      </c>
      <c r="F29" s="143">
        <f>F26+F27+F28</f>
        <v>-2</v>
      </c>
      <c r="G29" s="118" t="e">
        <f t="shared" si="2"/>
        <v>#DIV/0!</v>
      </c>
      <c r="H29" s="143">
        <f>H26+H27+H28</f>
        <v>-2</v>
      </c>
      <c r="I29" s="128" t="e">
        <f t="shared" si="3"/>
        <v>#DIV/0!</v>
      </c>
    </row>
    <row r="30" spans="1:12" ht="18.75" thickBot="1">
      <c r="A30" s="142"/>
      <c r="B30" s="143"/>
      <c r="C30" s="139"/>
      <c r="D30" s="143"/>
      <c r="E30" s="139"/>
      <c r="F30" s="143"/>
      <c r="G30" s="139"/>
      <c r="H30" s="143"/>
      <c r="I30" s="144"/>
      <c r="J30" s="145"/>
    </row>
    <row r="31" spans="1:12" ht="18">
      <c r="A31" s="146"/>
      <c r="B31" s="147"/>
      <c r="C31" s="148"/>
      <c r="D31" s="147"/>
      <c r="E31" s="148"/>
      <c r="F31" s="147"/>
      <c r="G31" s="148"/>
      <c r="H31" s="147"/>
      <c r="I31" s="149" t="s">
        <v>330</v>
      </c>
    </row>
    <row r="32" spans="1:12" ht="18">
      <c r="A32" s="753" t="s">
        <v>331</v>
      </c>
      <c r="B32" s="754" t="str">
        <f>B3</f>
        <v>31.03.2021</v>
      </c>
      <c r="C32" s="150" t="s">
        <v>303</v>
      </c>
      <c r="D32" s="754" t="str">
        <f>D3</f>
        <v>31.03.2020</v>
      </c>
      <c r="E32" s="150" t="s">
        <v>303</v>
      </c>
      <c r="F32" s="754" t="str">
        <f>F3</f>
        <v>31.03.2019</v>
      </c>
      <c r="G32" s="150" t="s">
        <v>303</v>
      </c>
      <c r="H32" s="755" t="s">
        <v>306</v>
      </c>
      <c r="I32" s="151"/>
    </row>
    <row r="33" spans="1:10" ht="18">
      <c r="A33" s="753"/>
      <c r="B33" s="754"/>
      <c r="C33" s="152" t="str">
        <f>C4</f>
        <v>In 2021</v>
      </c>
      <c r="D33" s="754"/>
      <c r="E33" s="152" t="str">
        <f>E4</f>
        <v>In 2020</v>
      </c>
      <c r="F33" s="754"/>
      <c r="G33" s="152" t="str">
        <f>G4</f>
        <v>In 2019</v>
      </c>
      <c r="H33" s="755"/>
      <c r="I33" s="153"/>
    </row>
    <row r="34" spans="1:10" ht="18">
      <c r="A34" s="154" t="s">
        <v>332</v>
      </c>
      <c r="B34" s="117">
        <v>10</v>
      </c>
      <c r="C34" s="118" t="e">
        <f t="shared" ref="C34:C65" si="4">(B34-D34)/D34*100</f>
        <v>#DIV/0!</v>
      </c>
      <c r="D34" s="117">
        <v>0</v>
      </c>
      <c r="E34" s="118" t="e">
        <f t="shared" ref="E34:E65" si="5">(D34-F34)/F34*100</f>
        <v>#DIV/0!</v>
      </c>
      <c r="F34" s="117">
        <v>0</v>
      </c>
      <c r="G34" s="118" t="e">
        <f t="shared" ref="G34:G65" si="6">(F34-H34)/H34*100</f>
        <v>#DIV/0!</v>
      </c>
      <c r="H34" s="117">
        <v>0</v>
      </c>
      <c r="I34" s="112"/>
    </row>
    <row r="35" spans="1:10" ht="26.25">
      <c r="A35" s="154" t="s">
        <v>333</v>
      </c>
      <c r="B35" s="117">
        <v>12</v>
      </c>
      <c r="C35" s="118" t="e">
        <f t="shared" si="4"/>
        <v>#DIV/0!</v>
      </c>
      <c r="D35" s="117">
        <v>0</v>
      </c>
      <c r="E35" s="118" t="e">
        <f t="shared" si="5"/>
        <v>#DIV/0!</v>
      </c>
      <c r="F35" s="119">
        <v>0</v>
      </c>
      <c r="G35" s="118" t="e">
        <f t="shared" si="6"/>
        <v>#DIV/0!</v>
      </c>
      <c r="H35" s="119">
        <v>0</v>
      </c>
      <c r="I35" s="112"/>
    </row>
    <row r="36" spans="1:10" ht="18">
      <c r="A36" s="155" t="s">
        <v>188</v>
      </c>
      <c r="B36" s="123">
        <f>SUM(B34:B35)</f>
        <v>22</v>
      </c>
      <c r="C36" s="118" t="e">
        <f t="shared" si="4"/>
        <v>#DIV/0!</v>
      </c>
      <c r="D36" s="123">
        <f>SUM(D34:D35)</f>
        <v>0</v>
      </c>
      <c r="E36" s="118" t="e">
        <f t="shared" si="5"/>
        <v>#DIV/0!</v>
      </c>
      <c r="F36" s="136">
        <f>SUM(F34:F35)</f>
        <v>0</v>
      </c>
      <c r="G36" s="118" t="e">
        <f t="shared" si="6"/>
        <v>#DIV/0!</v>
      </c>
      <c r="H36" s="136">
        <f>SUM(H34:H35)</f>
        <v>0</v>
      </c>
      <c r="I36" s="112"/>
    </row>
    <row r="37" spans="1:10" ht="18">
      <c r="A37" s="154" t="s">
        <v>334</v>
      </c>
      <c r="B37" s="117">
        <v>0</v>
      </c>
      <c r="C37" s="118" t="e">
        <f t="shared" si="4"/>
        <v>#DIV/0!</v>
      </c>
      <c r="D37" s="117">
        <v>0</v>
      </c>
      <c r="E37" s="118" t="e">
        <f t="shared" si="5"/>
        <v>#DIV/0!</v>
      </c>
      <c r="F37" s="117">
        <v>0</v>
      </c>
      <c r="G37" s="118" t="e">
        <f t="shared" si="6"/>
        <v>#DIV/0!</v>
      </c>
      <c r="H37" s="117">
        <v>0</v>
      </c>
      <c r="I37" s="112"/>
    </row>
    <row r="38" spans="1:10" ht="18">
      <c r="A38" s="155" t="s">
        <v>335</v>
      </c>
      <c r="B38" s="123">
        <f>B34+B35+B43-B62-B64-B52</f>
        <v>22</v>
      </c>
      <c r="C38" s="118" t="e">
        <f t="shared" si="4"/>
        <v>#DIV/0!</v>
      </c>
      <c r="D38" s="123">
        <f>D34+D35+D43-D62-D64-D52</f>
        <v>0</v>
      </c>
      <c r="E38" s="118" t="e">
        <f t="shared" si="5"/>
        <v>#DIV/0!</v>
      </c>
      <c r="F38" s="136">
        <f>F34+F35+F43-F62-F64-F52</f>
        <v>0</v>
      </c>
      <c r="G38" s="118" t="e">
        <f t="shared" si="6"/>
        <v>#DIV/0!</v>
      </c>
      <c r="H38" s="136">
        <f>H34+H35+H43-H62-H64-H52</f>
        <v>0</v>
      </c>
      <c r="I38" s="112"/>
    </row>
    <row r="39" spans="1:10" ht="18">
      <c r="A39" s="154" t="s">
        <v>189</v>
      </c>
      <c r="B39" s="117">
        <v>10</v>
      </c>
      <c r="C39" s="118" t="e">
        <f t="shared" si="4"/>
        <v>#DIV/0!</v>
      </c>
      <c r="D39" s="117">
        <v>0</v>
      </c>
      <c r="E39" s="118" t="e">
        <f t="shared" si="5"/>
        <v>#DIV/0!</v>
      </c>
      <c r="F39" s="119">
        <v>0</v>
      </c>
      <c r="G39" s="118" t="e">
        <f t="shared" si="6"/>
        <v>#DIV/0!</v>
      </c>
      <c r="H39" s="119">
        <v>0</v>
      </c>
    </row>
    <row r="40" spans="1:10" ht="18">
      <c r="A40" s="154" t="s">
        <v>190</v>
      </c>
      <c r="B40" s="117">
        <v>1</v>
      </c>
      <c r="C40" s="118" t="e">
        <f t="shared" si="4"/>
        <v>#DIV/0!</v>
      </c>
      <c r="D40" s="117">
        <v>0</v>
      </c>
      <c r="E40" s="118" t="e">
        <f t="shared" si="5"/>
        <v>#DIV/0!</v>
      </c>
      <c r="F40" s="119">
        <v>0</v>
      </c>
      <c r="G40" s="118" t="e">
        <f t="shared" si="6"/>
        <v>#DIV/0!</v>
      </c>
      <c r="H40" s="119">
        <v>0</v>
      </c>
      <c r="I40" s="156"/>
      <c r="J40" s="157"/>
    </row>
    <row r="41" spans="1:10" ht="18">
      <c r="A41" s="158" t="s">
        <v>336</v>
      </c>
      <c r="B41" s="159">
        <f>B39+B40</f>
        <v>11</v>
      </c>
      <c r="C41" s="118" t="e">
        <f t="shared" si="4"/>
        <v>#DIV/0!</v>
      </c>
      <c r="D41" s="159">
        <f>D39+D40</f>
        <v>0</v>
      </c>
      <c r="E41" s="118" t="e">
        <f t="shared" si="5"/>
        <v>#DIV/0!</v>
      </c>
      <c r="F41" s="159">
        <f>F39+F40</f>
        <v>0</v>
      </c>
      <c r="G41" s="118" t="e">
        <f t="shared" si="6"/>
        <v>#DIV/0!</v>
      </c>
      <c r="H41" s="159">
        <f>H39+H40</f>
        <v>0</v>
      </c>
      <c r="I41" s="112"/>
      <c r="J41" s="157"/>
    </row>
    <row r="42" spans="1:10" ht="18">
      <c r="A42" s="154" t="s">
        <v>337</v>
      </c>
      <c r="B42" s="117">
        <v>1</v>
      </c>
      <c r="C42" s="118" t="e">
        <f t="shared" si="4"/>
        <v>#DIV/0!</v>
      </c>
      <c r="D42" s="117">
        <v>0</v>
      </c>
      <c r="E42" s="118" t="e">
        <f t="shared" si="5"/>
        <v>#DIV/0!</v>
      </c>
      <c r="F42" s="119">
        <v>0</v>
      </c>
      <c r="G42" s="118" t="e">
        <f t="shared" si="6"/>
        <v>#DIV/0!</v>
      </c>
      <c r="H42" s="119">
        <v>0</v>
      </c>
      <c r="I42" s="112"/>
    </row>
    <row r="43" spans="1:10" ht="26.25">
      <c r="A43" s="160" t="s">
        <v>338</v>
      </c>
      <c r="B43" s="117">
        <v>0</v>
      </c>
      <c r="C43" s="118" t="e">
        <f t="shared" si="4"/>
        <v>#DIV/0!</v>
      </c>
      <c r="D43" s="117">
        <v>0</v>
      </c>
      <c r="E43" s="118" t="e">
        <f t="shared" si="5"/>
        <v>#DIV/0!</v>
      </c>
      <c r="F43" s="119">
        <v>0</v>
      </c>
      <c r="G43" s="118" t="e">
        <f t="shared" si="6"/>
        <v>#DIV/0!</v>
      </c>
      <c r="H43" s="119">
        <v>0</v>
      </c>
      <c r="I43" s="112"/>
    </row>
    <row r="44" spans="1:10" ht="18">
      <c r="A44" s="161" t="s">
        <v>339</v>
      </c>
      <c r="B44" s="162">
        <f>B45+B46</f>
        <v>1</v>
      </c>
      <c r="C44" s="118" t="e">
        <f t="shared" si="4"/>
        <v>#DIV/0!</v>
      </c>
      <c r="D44" s="162">
        <f>D45+D46</f>
        <v>0</v>
      </c>
      <c r="E44" s="118" t="e">
        <f t="shared" si="5"/>
        <v>#DIV/0!</v>
      </c>
      <c r="F44" s="162">
        <f>F45+F46</f>
        <v>0</v>
      </c>
      <c r="G44" s="118" t="e">
        <f t="shared" si="6"/>
        <v>#DIV/0!</v>
      </c>
      <c r="H44" s="162">
        <f>H45+H46</f>
        <v>0</v>
      </c>
      <c r="I44" s="112"/>
    </row>
    <row r="45" spans="1:10" ht="18">
      <c r="A45" s="163" t="s">
        <v>340</v>
      </c>
      <c r="B45" s="117">
        <v>1</v>
      </c>
      <c r="C45" s="118" t="e">
        <f t="shared" si="4"/>
        <v>#DIV/0!</v>
      </c>
      <c r="D45" s="117">
        <v>0</v>
      </c>
      <c r="E45" s="118" t="e">
        <f t="shared" si="5"/>
        <v>#DIV/0!</v>
      </c>
      <c r="F45" s="119">
        <v>0</v>
      </c>
      <c r="G45" s="118" t="e">
        <f t="shared" si="6"/>
        <v>#DIV/0!</v>
      </c>
      <c r="H45" s="119">
        <v>0</v>
      </c>
      <c r="I45" s="112"/>
    </row>
    <row r="46" spans="1:10" ht="18">
      <c r="A46" s="154" t="s">
        <v>341</v>
      </c>
      <c r="B46" s="117">
        <v>0</v>
      </c>
      <c r="C46" s="118" t="e">
        <f t="shared" si="4"/>
        <v>#DIV/0!</v>
      </c>
      <c r="D46" s="117">
        <v>0</v>
      </c>
      <c r="E46" s="118" t="e">
        <f t="shared" si="5"/>
        <v>#DIV/0!</v>
      </c>
      <c r="F46" s="119">
        <v>0</v>
      </c>
      <c r="G46" s="118" t="e">
        <f t="shared" si="6"/>
        <v>#DIV/0!</v>
      </c>
      <c r="H46" s="119">
        <v>0</v>
      </c>
      <c r="I46" s="112"/>
    </row>
    <row r="47" spans="1:10" ht="18">
      <c r="A47" s="164" t="s">
        <v>342</v>
      </c>
      <c r="B47" s="136">
        <f>B41+B42+B44</f>
        <v>13</v>
      </c>
      <c r="C47" s="118" t="e">
        <f t="shared" si="4"/>
        <v>#DIV/0!</v>
      </c>
      <c r="D47" s="136">
        <f>D41+D42+D44</f>
        <v>0</v>
      </c>
      <c r="E47" s="118" t="e">
        <f t="shared" si="5"/>
        <v>#DIV/0!</v>
      </c>
      <c r="F47" s="136">
        <f>F41+F42+F44</f>
        <v>0</v>
      </c>
      <c r="G47" s="118" t="e">
        <f t="shared" si="6"/>
        <v>#DIV/0!</v>
      </c>
      <c r="H47" s="136">
        <f>H41+H42+H44</f>
        <v>0</v>
      </c>
      <c r="I47" s="112"/>
    </row>
    <row r="48" spans="1:10" ht="18">
      <c r="A48" s="198" t="s">
        <v>343</v>
      </c>
      <c r="B48" s="199">
        <f>B36+B37+B41+B42+B43+B44</f>
        <v>35</v>
      </c>
      <c r="C48" s="200" t="e">
        <f t="shared" si="4"/>
        <v>#DIV/0!</v>
      </c>
      <c r="D48" s="199">
        <f>D36+D37+D41+D42+D43+D44</f>
        <v>0</v>
      </c>
      <c r="E48" s="200" t="e">
        <f t="shared" si="5"/>
        <v>#DIV/0!</v>
      </c>
      <c r="F48" s="199">
        <f>F36+F37+F41+F42+F43+F44</f>
        <v>0</v>
      </c>
      <c r="G48" s="200" t="e">
        <f t="shared" si="6"/>
        <v>#DIV/0!</v>
      </c>
      <c r="H48" s="199">
        <f>H36+H37+H41+H42+H43+H44</f>
        <v>0</v>
      </c>
      <c r="I48" s="112"/>
    </row>
    <row r="49" spans="1:9" ht="18">
      <c r="A49" s="160" t="s">
        <v>344</v>
      </c>
      <c r="B49" s="117">
        <v>0</v>
      </c>
      <c r="C49" s="118" t="e">
        <f t="shared" si="4"/>
        <v>#DIV/0!</v>
      </c>
      <c r="D49" s="117">
        <v>0</v>
      </c>
      <c r="E49" s="118" t="e">
        <f t="shared" si="5"/>
        <v>#DIV/0!</v>
      </c>
      <c r="F49" s="119">
        <v>0</v>
      </c>
      <c r="G49" s="118" t="e">
        <f t="shared" si="6"/>
        <v>#DIV/0!</v>
      </c>
      <c r="H49" s="119">
        <v>0</v>
      </c>
      <c r="I49" s="165"/>
    </row>
    <row r="50" spans="1:9" ht="18">
      <c r="A50" s="166" t="s">
        <v>345</v>
      </c>
      <c r="B50" s="136">
        <f>B51+B53+B52</f>
        <v>0</v>
      </c>
      <c r="C50" s="118" t="e">
        <f t="shared" si="4"/>
        <v>#DIV/0!</v>
      </c>
      <c r="D50" s="136">
        <f>D51+D53+D52</f>
        <v>0</v>
      </c>
      <c r="E50" s="118" t="e">
        <f t="shared" si="5"/>
        <v>#DIV/0!</v>
      </c>
      <c r="F50" s="136">
        <f>F51+F53+F52</f>
        <v>0</v>
      </c>
      <c r="G50" s="118" t="e">
        <f t="shared" si="6"/>
        <v>#DIV/0!</v>
      </c>
      <c r="H50" s="136">
        <f>H51+H53+H52</f>
        <v>0</v>
      </c>
      <c r="I50" s="112"/>
    </row>
    <row r="51" spans="1:9" ht="18">
      <c r="A51" s="167" t="s">
        <v>346</v>
      </c>
      <c r="B51" s="117">
        <v>0</v>
      </c>
      <c r="C51" s="118" t="e">
        <f t="shared" si="4"/>
        <v>#DIV/0!</v>
      </c>
      <c r="D51" s="117">
        <v>0</v>
      </c>
      <c r="E51" s="118" t="e">
        <f t="shared" si="5"/>
        <v>#DIV/0!</v>
      </c>
      <c r="F51" s="119">
        <v>0</v>
      </c>
      <c r="G51" s="118" t="e">
        <f t="shared" si="6"/>
        <v>#DIV/0!</v>
      </c>
      <c r="H51" s="119">
        <v>0</v>
      </c>
      <c r="I51" s="112"/>
    </row>
    <row r="52" spans="1:9" ht="18">
      <c r="A52" s="167" t="s">
        <v>347</v>
      </c>
      <c r="B52" s="117">
        <v>0</v>
      </c>
      <c r="C52" s="118" t="e">
        <f t="shared" si="4"/>
        <v>#DIV/0!</v>
      </c>
      <c r="D52" s="117">
        <v>0</v>
      </c>
      <c r="E52" s="118" t="e">
        <f t="shared" si="5"/>
        <v>#DIV/0!</v>
      </c>
      <c r="F52" s="117">
        <v>0</v>
      </c>
      <c r="G52" s="118" t="e">
        <f t="shared" si="6"/>
        <v>#DIV/0!</v>
      </c>
      <c r="H52" s="117">
        <v>0</v>
      </c>
      <c r="I52" s="112"/>
    </row>
    <row r="53" spans="1:9" ht="18">
      <c r="A53" s="167" t="s">
        <v>348</v>
      </c>
      <c r="B53" s="117">
        <v>0</v>
      </c>
      <c r="C53" s="118" t="e">
        <f t="shared" si="4"/>
        <v>#DIV/0!</v>
      </c>
      <c r="D53" s="117">
        <v>0</v>
      </c>
      <c r="E53" s="118" t="e">
        <f t="shared" si="5"/>
        <v>#DIV/0!</v>
      </c>
      <c r="F53" s="117">
        <v>0</v>
      </c>
      <c r="G53" s="118" t="e">
        <f t="shared" si="6"/>
        <v>#DIV/0!</v>
      </c>
      <c r="H53" s="117">
        <v>0</v>
      </c>
      <c r="I53" s="112"/>
    </row>
    <row r="54" spans="1:9" ht="18">
      <c r="A54" s="168" t="s">
        <v>349</v>
      </c>
      <c r="B54" s="162">
        <f>B56+B57+B60+B61+B55</f>
        <v>2</v>
      </c>
      <c r="C54" s="118" t="e">
        <f t="shared" si="4"/>
        <v>#DIV/0!</v>
      </c>
      <c r="D54" s="162">
        <f>D56+D57+D60+D61+D55</f>
        <v>0</v>
      </c>
      <c r="E54" s="118" t="e">
        <f t="shared" si="5"/>
        <v>#DIV/0!</v>
      </c>
      <c r="F54" s="162">
        <f>F56+F57+F60+F61+F55</f>
        <v>0</v>
      </c>
      <c r="G54" s="118" t="e">
        <f t="shared" si="6"/>
        <v>#DIV/0!</v>
      </c>
      <c r="H54" s="162">
        <f>H56+H57+H60+H61+H55</f>
        <v>0</v>
      </c>
      <c r="I54" s="112"/>
    </row>
    <row r="55" spans="1:9" ht="18">
      <c r="A55" s="169" t="s">
        <v>350</v>
      </c>
      <c r="B55" s="117">
        <v>0</v>
      </c>
      <c r="C55" s="118" t="e">
        <f t="shared" si="4"/>
        <v>#DIV/0!</v>
      </c>
      <c r="D55" s="117">
        <v>0</v>
      </c>
      <c r="E55" s="118" t="e">
        <f t="shared" si="5"/>
        <v>#DIV/0!</v>
      </c>
      <c r="F55" s="117">
        <v>0</v>
      </c>
      <c r="G55" s="118" t="e">
        <f t="shared" si="6"/>
        <v>#DIV/0!</v>
      </c>
      <c r="H55" s="117">
        <v>0</v>
      </c>
      <c r="I55" s="112"/>
    </row>
    <row r="56" spans="1:9" ht="18">
      <c r="A56" s="160" t="s">
        <v>351</v>
      </c>
      <c r="B56" s="117">
        <v>0</v>
      </c>
      <c r="C56" s="118" t="e">
        <f t="shared" si="4"/>
        <v>#DIV/0!</v>
      </c>
      <c r="D56" s="117">
        <v>0</v>
      </c>
      <c r="E56" s="118" t="e">
        <f t="shared" si="5"/>
        <v>#DIV/0!</v>
      </c>
      <c r="F56" s="119">
        <v>0</v>
      </c>
      <c r="G56" s="118" t="e">
        <f t="shared" si="6"/>
        <v>#DIV/0!</v>
      </c>
      <c r="H56" s="119">
        <v>0</v>
      </c>
      <c r="I56" s="112"/>
    </row>
    <row r="57" spans="1:9" ht="18">
      <c r="A57" s="170" t="s">
        <v>352</v>
      </c>
      <c r="B57" s="162">
        <f>B58+B59</f>
        <v>2</v>
      </c>
      <c r="C57" s="118" t="e">
        <f t="shared" si="4"/>
        <v>#DIV/0!</v>
      </c>
      <c r="D57" s="162">
        <f>D58+D59</f>
        <v>0</v>
      </c>
      <c r="E57" s="118" t="e">
        <f t="shared" si="5"/>
        <v>#DIV/0!</v>
      </c>
      <c r="F57" s="162">
        <f>F58+F59</f>
        <v>0</v>
      </c>
      <c r="G57" s="118" t="e">
        <f t="shared" si="6"/>
        <v>#DIV/0!</v>
      </c>
      <c r="H57" s="162">
        <f>H58+H59</f>
        <v>0</v>
      </c>
      <c r="I57" s="112"/>
    </row>
    <row r="58" spans="1:9" ht="18">
      <c r="A58" s="160" t="s">
        <v>353</v>
      </c>
      <c r="B58" s="117">
        <v>1</v>
      </c>
      <c r="C58" s="118" t="e">
        <f t="shared" si="4"/>
        <v>#DIV/0!</v>
      </c>
      <c r="D58" s="117">
        <v>0</v>
      </c>
      <c r="E58" s="118" t="e">
        <f t="shared" si="5"/>
        <v>#DIV/0!</v>
      </c>
      <c r="F58" s="117">
        <v>0</v>
      </c>
      <c r="G58" s="118" t="e">
        <f t="shared" si="6"/>
        <v>#DIV/0!</v>
      </c>
      <c r="H58" s="117">
        <v>0</v>
      </c>
      <c r="I58" s="112"/>
    </row>
    <row r="59" spans="1:9" ht="18">
      <c r="A59" s="160" t="s">
        <v>354</v>
      </c>
      <c r="B59" s="117">
        <v>1</v>
      </c>
      <c r="C59" s="118" t="e">
        <f t="shared" si="4"/>
        <v>#DIV/0!</v>
      </c>
      <c r="D59" s="117">
        <v>0</v>
      </c>
      <c r="E59" s="118" t="e">
        <f t="shared" si="5"/>
        <v>#DIV/0!</v>
      </c>
      <c r="F59" s="119">
        <v>0</v>
      </c>
      <c r="G59" s="118" t="e">
        <f t="shared" si="6"/>
        <v>#DIV/0!</v>
      </c>
      <c r="H59" s="119">
        <v>0</v>
      </c>
      <c r="I59" s="112"/>
    </row>
    <row r="60" spans="1:9" ht="18">
      <c r="A60" s="160" t="s">
        <v>355</v>
      </c>
      <c r="B60" s="117">
        <v>0</v>
      </c>
      <c r="C60" s="118" t="e">
        <f t="shared" si="4"/>
        <v>#DIV/0!</v>
      </c>
      <c r="D60" s="117">
        <v>0</v>
      </c>
      <c r="E60" s="118" t="e">
        <f t="shared" si="5"/>
        <v>#DIV/0!</v>
      </c>
      <c r="F60" s="119">
        <v>0</v>
      </c>
      <c r="G60" s="118" t="e">
        <f t="shared" si="6"/>
        <v>#DIV/0!</v>
      </c>
      <c r="H60" s="119">
        <v>0</v>
      </c>
      <c r="I60" s="165"/>
    </row>
    <row r="61" spans="1:9" ht="18">
      <c r="A61" s="171" t="s">
        <v>356</v>
      </c>
      <c r="B61" s="172">
        <f>B62+B63</f>
        <v>0</v>
      </c>
      <c r="C61" s="118" t="e">
        <f t="shared" si="4"/>
        <v>#DIV/0!</v>
      </c>
      <c r="D61" s="172">
        <f>D62+D63</f>
        <v>0</v>
      </c>
      <c r="E61" s="118" t="e">
        <f t="shared" si="5"/>
        <v>#DIV/0!</v>
      </c>
      <c r="F61" s="172">
        <f>F62+F63</f>
        <v>0</v>
      </c>
      <c r="G61" s="118" t="e">
        <f t="shared" si="6"/>
        <v>#DIV/0!</v>
      </c>
      <c r="H61" s="172">
        <f>H62+H63</f>
        <v>0</v>
      </c>
      <c r="I61" s="112"/>
    </row>
    <row r="62" spans="1:9" ht="26.25">
      <c r="A62" s="154" t="s">
        <v>357</v>
      </c>
      <c r="B62" s="117">
        <v>0</v>
      </c>
      <c r="C62" s="118" t="e">
        <f t="shared" si="4"/>
        <v>#DIV/0!</v>
      </c>
      <c r="D62" s="117">
        <v>0</v>
      </c>
      <c r="E62" s="118" t="e">
        <f t="shared" si="5"/>
        <v>#DIV/0!</v>
      </c>
      <c r="F62" s="117">
        <v>0</v>
      </c>
      <c r="G62" s="118" t="e">
        <f t="shared" si="6"/>
        <v>#DIV/0!</v>
      </c>
      <c r="H62" s="117">
        <v>0</v>
      </c>
      <c r="I62" s="112"/>
    </row>
    <row r="63" spans="1:9" ht="18">
      <c r="A63" s="154" t="s">
        <v>358</v>
      </c>
      <c r="B63" s="117">
        <v>0</v>
      </c>
      <c r="C63" s="118" t="e">
        <f t="shared" si="4"/>
        <v>#DIV/0!</v>
      </c>
      <c r="D63" s="117">
        <v>0</v>
      </c>
      <c r="E63" s="118" t="e">
        <f t="shared" si="5"/>
        <v>#DIV/0!</v>
      </c>
      <c r="F63" s="119">
        <v>0</v>
      </c>
      <c r="G63" s="118" t="e">
        <f t="shared" si="6"/>
        <v>#DIV/0!</v>
      </c>
      <c r="H63" s="119">
        <v>0</v>
      </c>
      <c r="I63" s="112"/>
    </row>
    <row r="64" spans="1:9" ht="26.25">
      <c r="A64" s="154" t="s">
        <v>359</v>
      </c>
      <c r="B64" s="117">
        <v>0</v>
      </c>
      <c r="C64" s="118" t="e">
        <f t="shared" si="4"/>
        <v>#DIV/0!</v>
      </c>
      <c r="D64" s="117">
        <v>0</v>
      </c>
      <c r="E64" s="118" t="e">
        <f t="shared" si="5"/>
        <v>#DIV/0!</v>
      </c>
      <c r="F64" s="117">
        <v>0</v>
      </c>
      <c r="G64" s="118" t="e">
        <f t="shared" si="6"/>
        <v>#DIV/0!</v>
      </c>
      <c r="H64" s="117">
        <v>0</v>
      </c>
      <c r="I64" s="112"/>
    </row>
    <row r="65" spans="1:10" ht="18">
      <c r="A65" s="198" t="s">
        <v>343</v>
      </c>
      <c r="B65" s="201">
        <f>B49+B50+B54+B64</f>
        <v>2</v>
      </c>
      <c r="C65" s="200" t="e">
        <f t="shared" si="4"/>
        <v>#DIV/0!</v>
      </c>
      <c r="D65" s="201">
        <f>D49+D50+D54+D64</f>
        <v>0</v>
      </c>
      <c r="E65" s="200" t="e">
        <f t="shared" si="5"/>
        <v>#DIV/0!</v>
      </c>
      <c r="F65" s="201">
        <f>F49+F50+F54+F64</f>
        <v>0</v>
      </c>
      <c r="G65" s="200" t="e">
        <f t="shared" si="6"/>
        <v>#DIV/0!</v>
      </c>
      <c r="H65" s="201">
        <f>H49+H50+H54+H64</f>
        <v>0</v>
      </c>
      <c r="I65" s="153"/>
    </row>
    <row r="66" spans="1:10" ht="18">
      <c r="A66" s="173"/>
      <c r="B66" s="173"/>
      <c r="C66" s="173"/>
      <c r="D66" s="173"/>
      <c r="E66" s="173"/>
      <c r="F66" s="173"/>
      <c r="G66" s="173"/>
      <c r="H66" s="173"/>
      <c r="I66" s="112"/>
      <c r="J66" s="129"/>
    </row>
    <row r="67" spans="1:10" ht="18">
      <c r="A67" s="750" t="s">
        <v>360</v>
      </c>
      <c r="B67" s="750"/>
      <c r="C67" s="750"/>
      <c r="D67" s="750"/>
      <c r="E67" s="750"/>
      <c r="F67" s="750"/>
      <c r="G67" s="750"/>
      <c r="H67" s="750"/>
      <c r="I67" s="112"/>
    </row>
    <row r="68" spans="1:10" ht="18">
      <c r="A68" s="750"/>
      <c r="B68" s="750"/>
      <c r="C68" s="750"/>
      <c r="D68" s="750"/>
      <c r="E68" s="750"/>
      <c r="F68" s="750"/>
      <c r="G68" s="750"/>
      <c r="H68" s="750"/>
      <c r="I68" s="112"/>
    </row>
    <row r="69" spans="1:10" ht="18.75" thickBot="1">
      <c r="A69" s="174" t="s">
        <v>361</v>
      </c>
      <c r="B69" s="175">
        <f>B57/B5*365</f>
        <v>1.2166686944478241E-3</v>
      </c>
      <c r="C69" s="174"/>
      <c r="D69" s="175">
        <f>D57/D5*365</f>
        <v>0</v>
      </c>
      <c r="E69" s="174"/>
      <c r="F69" s="175" t="e">
        <f>F57/F5*365</f>
        <v>#DIV/0!</v>
      </c>
      <c r="G69" s="174"/>
      <c r="H69" s="175" t="e">
        <f>H57/H5*365</f>
        <v>#DIV/0!</v>
      </c>
      <c r="I69" s="176"/>
    </row>
    <row r="70" spans="1:10" ht="18">
      <c r="A70" s="174" t="s">
        <v>362</v>
      </c>
      <c r="B70" s="175">
        <f>B56/(B10+B11+B12)*365</f>
        <v>0</v>
      </c>
      <c r="C70" s="174"/>
      <c r="D70" s="175">
        <f>D56/(D10+D11+D12)*365</f>
        <v>0</v>
      </c>
      <c r="E70" s="174"/>
      <c r="F70" s="175" t="e">
        <f>F56/(F10+F11+F12)*365</f>
        <v>#DIV/0!</v>
      </c>
      <c r="G70" s="174"/>
      <c r="H70" s="175" t="e">
        <f>H56/(H10+H11+H12)*365</f>
        <v>#DIV/0!</v>
      </c>
      <c r="I70" s="112"/>
    </row>
    <row r="71" spans="1:10" ht="18">
      <c r="A71" s="174" t="s">
        <v>363</v>
      </c>
      <c r="B71" s="175">
        <f>B56/(B11+B10+B12)</f>
        <v>0</v>
      </c>
      <c r="C71" s="174"/>
      <c r="D71" s="175">
        <f>D56/(D11+D10+D12)</f>
        <v>0</v>
      </c>
      <c r="E71" s="174"/>
      <c r="F71" s="175" t="e">
        <f>F56/(F11+F10+F12)</f>
        <v>#DIV/0!</v>
      </c>
      <c r="G71" s="174"/>
      <c r="H71" s="175" t="e">
        <f>H56/(H11+H10+H12)</f>
        <v>#DIV/0!</v>
      </c>
      <c r="I71" s="112"/>
    </row>
    <row r="72" spans="1:10" ht="18.75" thickBot="1">
      <c r="A72" s="174" t="s">
        <v>364</v>
      </c>
      <c r="B72" s="175">
        <f>B54/(B44+B40)</f>
        <v>1</v>
      </c>
      <c r="C72" s="174"/>
      <c r="D72" s="175" t="e">
        <f>D54/(D44+D40)</f>
        <v>#DIV/0!</v>
      </c>
      <c r="E72" s="174"/>
      <c r="F72" s="175" t="e">
        <f>F54/(F44+F40)</f>
        <v>#DIV/0!</v>
      </c>
      <c r="G72" s="174"/>
      <c r="H72" s="175" t="e">
        <f>H54/(H44+H40)</f>
        <v>#DIV/0!</v>
      </c>
      <c r="I72" s="112"/>
    </row>
    <row r="73" spans="1:10" ht="18.75" thickBot="1">
      <c r="A73" s="174" t="s">
        <v>365</v>
      </c>
      <c r="B73" s="175">
        <f>(B54-B56)/(B44+B40)</f>
        <v>1</v>
      </c>
      <c r="C73" s="174"/>
      <c r="D73" s="175" t="e">
        <f>(D54-D56)/(D44+D40)</f>
        <v>#DIV/0!</v>
      </c>
      <c r="E73" s="174"/>
      <c r="F73" s="175" t="e">
        <f>(F54-F56)/(F44+F40)</f>
        <v>#DIV/0!</v>
      </c>
      <c r="G73" s="174"/>
      <c r="H73" s="175" t="e">
        <f>(H54-H56)/(H44+H40)</f>
        <v>#DIV/0!</v>
      </c>
      <c r="I73" s="177"/>
    </row>
    <row r="74" spans="1:10" ht="18.75" thickBot="1">
      <c r="A74" s="174" t="s">
        <v>366</v>
      </c>
      <c r="B74" s="175">
        <f>(B39+B40+B42)/B36</f>
        <v>0.54545454545454541</v>
      </c>
      <c r="C74" s="174"/>
      <c r="D74" s="175" t="e">
        <f>(D39+D40+D42)/D36</f>
        <v>#DIV/0!</v>
      </c>
      <c r="E74" s="174"/>
      <c r="F74" s="175" t="e">
        <f>(F39+F40+F42)/F36</f>
        <v>#DIV/0!</v>
      </c>
      <c r="G74" s="174"/>
      <c r="H74" s="175" t="e">
        <f>(H39+H40+H42)/H36</f>
        <v>#DIV/0!</v>
      </c>
      <c r="I74" s="177"/>
    </row>
    <row r="75" spans="1:10" ht="18">
      <c r="A75" s="174" t="s">
        <v>367</v>
      </c>
      <c r="B75" s="175">
        <f>B16/(B18+B19+B20+B21)</f>
        <v>14613.658536585366</v>
      </c>
      <c r="C75" s="174"/>
      <c r="D75" s="175">
        <f>D16/(D18+D19+D20+D21)</f>
        <v>1.4878048780487805</v>
      </c>
      <c r="E75" s="174"/>
      <c r="F75" s="175">
        <f>F16/(F18+F19+F20+F21)</f>
        <v>0</v>
      </c>
      <c r="G75" s="174"/>
      <c r="H75" s="175">
        <f>H16/(H18+H19+H20+H21)</f>
        <v>0</v>
      </c>
      <c r="I75" s="112"/>
    </row>
    <row r="76" spans="1:10" ht="18">
      <c r="A76" s="174" t="s">
        <v>368</v>
      </c>
      <c r="B76" s="175">
        <f>$B$16/($B$18+$B$19+$B$20+$B$21+($B$39+$B$42)/5)</f>
        <v>13869.444444444443</v>
      </c>
      <c r="C76" s="174"/>
      <c r="D76" s="175">
        <f>$D$16/($D$18+$D$19+$D$20+$D$21+($D$39+$D$42)/5)</f>
        <v>1.4878048780487805</v>
      </c>
      <c r="E76" s="174"/>
      <c r="F76" s="175">
        <f>$F$16/($F$18+$F$19+$F$20+$F$21+($F$39+$F$42)/5)</f>
        <v>0</v>
      </c>
      <c r="G76" s="174"/>
      <c r="H76" s="175">
        <f>$H$16/($H$18+$H$19+$H$20+$H$21+($H$39+$H$42)/5)</f>
        <v>0</v>
      </c>
      <c r="I76" s="112"/>
    </row>
    <row r="77" spans="1:10" ht="18">
      <c r="A77" s="174" t="s">
        <v>369</v>
      </c>
      <c r="B77" s="175">
        <f>$B$16/($B$18+$B$19+$B$20+$B$21+($B$39+$B$42)/5+('Normal &amp; CGTMSE Eligibility'!F43))</f>
        <v>6.1364069307518827</v>
      </c>
      <c r="C77" s="174"/>
      <c r="D77" s="175">
        <f>$D$16/($D$18+$D$19+$D$20+$D$21+($D$39+$D$42)/5+('Normal &amp; CGTMSE Eligibility'!F43))</f>
        <v>6.2475675454228886E-4</v>
      </c>
      <c r="E77" s="174"/>
      <c r="F77" s="175">
        <f>$F$16/($F$18+$F$19+$F$20+$F$21+($F$39+$F$42)/5+('Normal &amp; CGTMSE Eligibility'!F43))</f>
        <v>0</v>
      </c>
      <c r="G77" s="174"/>
      <c r="H77" s="175">
        <f>$H$16/($H$18+$H$19+$H$20+$H$21+($H$39+$H$42)/5+('Normal &amp; CGTMSE Eligibility'!F43))</f>
        <v>0</v>
      </c>
      <c r="I77" s="112"/>
    </row>
    <row r="78" spans="1:10" ht="18">
      <c r="A78" s="174" t="s">
        <v>370</v>
      </c>
      <c r="B78" s="175">
        <f>(B13-B7)/B5*100</f>
        <v>99.860166433610715</v>
      </c>
      <c r="C78" s="174"/>
      <c r="D78" s="175">
        <f>(D13-D7)/D5*100</f>
        <v>8.7142857142857153</v>
      </c>
      <c r="E78" s="174"/>
      <c r="F78" s="175" t="e">
        <f>(F13-F7)/F5*100</f>
        <v>#DIV/0!</v>
      </c>
      <c r="G78" s="174"/>
      <c r="H78" s="175" t="e">
        <f>(H13-H7)/H5*100</f>
        <v>#DIV/0!</v>
      </c>
      <c r="I78" s="112"/>
    </row>
    <row r="79" spans="1:10" ht="18">
      <c r="A79" s="174" t="s">
        <v>371</v>
      </c>
      <c r="B79" s="175">
        <f>(B25-B7)/B5*100</f>
        <v>99.851166418610688</v>
      </c>
      <c r="C79" s="174"/>
      <c r="D79" s="175">
        <f>(D25-D7)/D5*100</f>
        <v>1.107142857142857</v>
      </c>
      <c r="E79" s="174"/>
      <c r="F79" s="175" t="e">
        <f>(F25-F7)/F5*100</f>
        <v>#DIV/0!</v>
      </c>
      <c r="G79" s="174"/>
      <c r="H79" s="175" t="e">
        <f>(H25-H7)/H5*100</f>
        <v>#DIV/0!</v>
      </c>
      <c r="I79" s="112"/>
    </row>
    <row r="80" spans="1:10" ht="18">
      <c r="A80" s="174" t="s">
        <v>372</v>
      </c>
      <c r="B80" s="175">
        <f>(B26-B7)/B5*100</f>
        <v>99.852333087221808</v>
      </c>
      <c r="C80" s="174"/>
      <c r="D80" s="175">
        <f>(D26-D7)/D5*100</f>
        <v>2</v>
      </c>
      <c r="E80" s="174"/>
      <c r="F80" s="175" t="e">
        <f>(F26-F7)/F5*100</f>
        <v>#DIV/0!</v>
      </c>
      <c r="G80" s="174"/>
      <c r="H80" s="175" t="e">
        <f>(H26-H7)/H5*100</f>
        <v>#DIV/0!</v>
      </c>
      <c r="I80" s="112"/>
    </row>
    <row r="81" spans="1:10" ht="18">
      <c r="A81" s="174" t="s">
        <v>373</v>
      </c>
      <c r="B81" s="178">
        <f>(B5-D5)/D5*100</f>
        <v>85614.142857142855</v>
      </c>
      <c r="C81" s="179"/>
      <c r="D81" s="178" t="e">
        <f>(D5-F5)/F5*100</f>
        <v>#DIV/0!</v>
      </c>
      <c r="E81" s="179"/>
      <c r="F81" s="178" t="e">
        <f>#N/A</f>
        <v>#N/A</v>
      </c>
      <c r="G81" s="179"/>
      <c r="H81" s="178" t="e">
        <f>#N/A</f>
        <v>#N/A</v>
      </c>
      <c r="I81" s="112"/>
      <c r="J81" s="129"/>
    </row>
    <row r="82" spans="1:10" ht="18">
      <c r="A82" s="174" t="s">
        <v>374</v>
      </c>
      <c r="B82" s="178">
        <f>(B25-D25)/D25*100</f>
        <v>4698809.8039215682</v>
      </c>
      <c r="C82" s="179"/>
      <c r="D82" s="178">
        <f>(D25-F25)/F25*100</f>
        <v>-737.5</v>
      </c>
      <c r="E82" s="179"/>
      <c r="F82" s="178" t="e">
        <f>#N/A</f>
        <v>#N/A</v>
      </c>
      <c r="G82" s="179"/>
      <c r="H82" s="178" t="e">
        <f>#N/A</f>
        <v>#N/A</v>
      </c>
      <c r="I82" s="112"/>
    </row>
    <row r="83" spans="1:10" ht="18">
      <c r="A83" s="174"/>
      <c r="B83" s="175"/>
      <c r="C83" s="174"/>
      <c r="D83" s="175"/>
      <c r="E83" s="174"/>
      <c r="F83" s="175"/>
      <c r="G83" s="174"/>
      <c r="H83" s="175"/>
      <c r="I83" s="112"/>
    </row>
    <row r="84" spans="1:10" ht="18">
      <c r="A84" s="180" t="s">
        <v>375</v>
      </c>
      <c r="B84" s="175"/>
      <c r="C84" s="174"/>
      <c r="D84" s="175"/>
      <c r="E84" s="174"/>
      <c r="F84" s="175"/>
      <c r="G84" s="174"/>
      <c r="H84" s="175"/>
      <c r="I84" s="112"/>
    </row>
    <row r="85" spans="1:10" ht="18">
      <c r="A85" s="180"/>
      <c r="B85" s="175"/>
      <c r="C85" s="174"/>
      <c r="D85" s="175"/>
      <c r="E85" s="174"/>
      <c r="F85" s="175"/>
      <c r="G85" s="174"/>
      <c r="H85" s="175"/>
      <c r="I85" s="112"/>
    </row>
    <row r="86" spans="1:10" ht="18">
      <c r="A86" s="174" t="s">
        <v>376</v>
      </c>
      <c r="B86" s="175">
        <f>B25</f>
        <v>599111</v>
      </c>
      <c r="C86" s="174"/>
      <c r="D86" s="175">
        <f>D25</f>
        <v>12.75</v>
      </c>
      <c r="E86" s="174"/>
      <c r="F86" s="175">
        <f>F25</f>
        <v>-2</v>
      </c>
      <c r="G86" s="174"/>
      <c r="H86" s="175">
        <f>H25</f>
        <v>-2</v>
      </c>
      <c r="I86" s="112"/>
    </row>
    <row r="87" spans="1:10" ht="18">
      <c r="A87" s="174" t="s">
        <v>377</v>
      </c>
      <c r="B87" s="175"/>
      <c r="C87" s="174"/>
      <c r="D87" s="175"/>
      <c r="E87" s="174"/>
      <c r="F87" s="175"/>
      <c r="G87" s="174"/>
      <c r="H87" s="175"/>
      <c r="I87" s="112"/>
    </row>
    <row r="88" spans="1:10" ht="18">
      <c r="A88" s="174" t="s">
        <v>378</v>
      </c>
      <c r="B88" s="175">
        <f>B17</f>
        <v>1</v>
      </c>
      <c r="C88" s="174"/>
      <c r="D88" s="175">
        <f>D17</f>
        <v>0.25</v>
      </c>
      <c r="E88" s="174"/>
      <c r="F88" s="175">
        <f>F17</f>
        <v>0</v>
      </c>
      <c r="G88" s="174"/>
      <c r="H88" s="175">
        <f>H17</f>
        <v>0</v>
      </c>
      <c r="I88" s="112"/>
    </row>
    <row r="89" spans="1:10" ht="18">
      <c r="A89" s="174" t="s">
        <v>379</v>
      </c>
      <c r="B89" s="175">
        <f>B22</f>
        <v>6</v>
      </c>
      <c r="C89" s="174"/>
      <c r="D89" s="175">
        <f>D22</f>
        <v>6</v>
      </c>
      <c r="E89" s="174"/>
      <c r="F89" s="175">
        <f>F22</f>
        <v>0</v>
      </c>
      <c r="G89" s="174"/>
      <c r="H89" s="175">
        <f>H22</f>
        <v>0</v>
      </c>
      <c r="I89" s="112"/>
    </row>
    <row r="90" spans="1:10" ht="18">
      <c r="A90" s="174" t="s">
        <v>380</v>
      </c>
      <c r="B90" s="175">
        <f>B27</f>
        <v>1</v>
      </c>
      <c r="C90" s="174"/>
      <c r="D90" s="175">
        <f>D27</f>
        <v>1</v>
      </c>
      <c r="E90" s="174"/>
      <c r="F90" s="175">
        <f>F27</f>
        <v>0</v>
      </c>
      <c r="G90" s="174"/>
      <c r="H90" s="175">
        <f>H27</f>
        <v>0</v>
      </c>
      <c r="I90" s="112"/>
    </row>
    <row r="91" spans="1:10" ht="18">
      <c r="A91" s="174" t="s">
        <v>381</v>
      </c>
      <c r="B91" s="175">
        <f>B28</f>
        <v>1</v>
      </c>
      <c r="C91" s="174"/>
      <c r="D91" s="175">
        <f>D28</f>
        <v>1</v>
      </c>
      <c r="E91" s="174"/>
      <c r="F91" s="175">
        <f>F28</f>
        <v>0</v>
      </c>
      <c r="G91" s="174"/>
      <c r="H91" s="175">
        <f>H28</f>
        <v>0</v>
      </c>
      <c r="I91" s="112"/>
    </row>
    <row r="92" spans="1:10" ht="18">
      <c r="A92" s="174" t="s">
        <v>382</v>
      </c>
      <c r="B92" s="175">
        <f>B24</f>
        <v>1</v>
      </c>
      <c r="C92" s="174"/>
      <c r="D92" s="175">
        <f>D24</f>
        <v>1</v>
      </c>
      <c r="E92" s="174"/>
      <c r="F92" s="175">
        <f>F24</f>
        <v>0</v>
      </c>
      <c r="G92" s="174"/>
      <c r="H92" s="175">
        <f>H24</f>
        <v>0</v>
      </c>
      <c r="I92" s="112"/>
    </row>
    <row r="93" spans="1:10" ht="18">
      <c r="A93" s="174" t="s">
        <v>383</v>
      </c>
      <c r="B93" s="175">
        <f>B18+B19+B20+B21</f>
        <v>41</v>
      </c>
      <c r="C93" s="174"/>
      <c r="D93" s="175">
        <f>D18+D19+D20+D21</f>
        <v>41</v>
      </c>
      <c r="E93" s="174"/>
      <c r="F93" s="175">
        <f>F18+F19+F20+F21</f>
        <v>2</v>
      </c>
      <c r="G93" s="174"/>
      <c r="H93" s="175">
        <f>H18+H19+H20+H21</f>
        <v>2</v>
      </c>
      <c r="I93" s="112"/>
    </row>
    <row r="94" spans="1:10" ht="26.25">
      <c r="A94" s="181" t="s">
        <v>384</v>
      </c>
      <c r="B94" s="182">
        <f>-B7</f>
        <v>-5</v>
      </c>
      <c r="C94" s="180"/>
      <c r="D94" s="182">
        <f>-D7</f>
        <v>-5</v>
      </c>
      <c r="E94" s="180"/>
      <c r="F94" s="182">
        <f>-F7</f>
        <v>0</v>
      </c>
      <c r="G94" s="180"/>
      <c r="H94" s="182">
        <f>-H7</f>
        <v>0</v>
      </c>
      <c r="I94" s="153"/>
    </row>
    <row r="95" spans="1:10" ht="18">
      <c r="A95" s="181"/>
      <c r="B95" s="182"/>
      <c r="C95" s="180"/>
      <c r="D95" s="182"/>
      <c r="E95" s="180"/>
      <c r="F95" s="182"/>
      <c r="G95" s="180"/>
      <c r="H95" s="182"/>
      <c r="I95" s="153"/>
    </row>
    <row r="96" spans="1:10" ht="18">
      <c r="A96" s="174" t="s">
        <v>385</v>
      </c>
      <c r="B96" s="175">
        <f>SUM(B86:B94)</f>
        <v>599157</v>
      </c>
      <c r="C96" s="174"/>
      <c r="D96" s="175">
        <f>SUM(D86:D94)</f>
        <v>58</v>
      </c>
      <c r="E96" s="174"/>
      <c r="F96" s="175">
        <f>SUM(F86:F94)</f>
        <v>0</v>
      </c>
      <c r="G96" s="174"/>
      <c r="H96" s="175">
        <f>SUM(H86:H94)</f>
        <v>0</v>
      </c>
      <c r="I96" s="112"/>
    </row>
    <row r="97" spans="1:9" ht="18">
      <c r="A97" s="174" t="s">
        <v>386</v>
      </c>
      <c r="B97" s="175">
        <f>D57-B57</f>
        <v>-2</v>
      </c>
      <c r="C97" s="174"/>
      <c r="D97" s="175">
        <f>F57-D57</f>
        <v>0</v>
      </c>
      <c r="E97" s="174"/>
      <c r="F97" s="175">
        <f>J57-F57</f>
        <v>0</v>
      </c>
      <c r="G97" s="174"/>
      <c r="H97" s="175">
        <f>L57-H57</f>
        <v>0</v>
      </c>
      <c r="I97" s="112"/>
    </row>
    <row r="98" spans="1:9" ht="18">
      <c r="A98" s="174" t="s">
        <v>387</v>
      </c>
      <c r="B98" s="175">
        <f>D56-B56</f>
        <v>0</v>
      </c>
      <c r="C98" s="174"/>
      <c r="D98" s="175">
        <f>F56-D56</f>
        <v>0</v>
      </c>
      <c r="E98" s="174"/>
      <c r="F98" s="175">
        <f>J56-F56</f>
        <v>0</v>
      </c>
      <c r="G98" s="174"/>
      <c r="H98" s="175">
        <f>L56-H56</f>
        <v>0</v>
      </c>
      <c r="I98" s="112"/>
    </row>
    <row r="99" spans="1:9" ht="18">
      <c r="A99" s="174" t="s">
        <v>388</v>
      </c>
      <c r="B99" s="175">
        <f>D61-B61</f>
        <v>0</v>
      </c>
      <c r="C99" s="174"/>
      <c r="D99" s="175">
        <f>F61-D61</f>
        <v>0</v>
      </c>
      <c r="E99" s="174"/>
      <c r="F99" s="175">
        <f>J61-F61</f>
        <v>0</v>
      </c>
      <c r="G99" s="174"/>
      <c r="H99" s="175">
        <f>L61-H61</f>
        <v>0</v>
      </c>
      <c r="I99" s="112"/>
    </row>
    <row r="100" spans="1:9" ht="18">
      <c r="A100" s="174" t="s">
        <v>389</v>
      </c>
      <c r="B100" s="175">
        <f>B44-D44</f>
        <v>1</v>
      </c>
      <c r="C100" s="174"/>
      <c r="D100" s="175">
        <f>D44-F44</f>
        <v>0</v>
      </c>
      <c r="E100" s="174"/>
      <c r="F100" s="175">
        <f>F44-J44</f>
        <v>0</v>
      </c>
      <c r="G100" s="174"/>
      <c r="H100" s="175">
        <f>H44-L44</f>
        <v>0</v>
      </c>
      <c r="I100" s="112"/>
    </row>
    <row r="101" spans="1:9" ht="18">
      <c r="A101" s="174" t="s">
        <v>390</v>
      </c>
      <c r="B101" s="175">
        <f>SUM(B97:B100)</f>
        <v>-1</v>
      </c>
      <c r="C101" s="174"/>
      <c r="D101" s="175">
        <f>SUM(D97:D100)</f>
        <v>0</v>
      </c>
      <c r="E101" s="174"/>
      <c r="F101" s="175">
        <f>SUM(F97:F100)</f>
        <v>0</v>
      </c>
      <c r="G101" s="174"/>
      <c r="H101" s="175">
        <f>SUM(H97:H100)</f>
        <v>0</v>
      </c>
      <c r="I101" s="112"/>
    </row>
    <row r="102" spans="1:9" ht="18">
      <c r="A102" s="180" t="s">
        <v>391</v>
      </c>
      <c r="B102" s="182">
        <f>B96+B101</f>
        <v>599156</v>
      </c>
      <c r="C102" s="180"/>
      <c r="D102" s="182">
        <f>D96+D101</f>
        <v>58</v>
      </c>
      <c r="E102" s="180"/>
      <c r="F102" s="182">
        <f>F96+F101</f>
        <v>0</v>
      </c>
      <c r="G102" s="180"/>
      <c r="H102" s="182">
        <f>H96+H101</f>
        <v>0</v>
      </c>
      <c r="I102" s="153"/>
    </row>
    <row r="103" spans="1:9" ht="18">
      <c r="A103" s="180"/>
      <c r="B103" s="182"/>
      <c r="C103" s="180"/>
      <c r="D103" s="182"/>
      <c r="E103" s="180"/>
      <c r="F103" s="182"/>
      <c r="G103" s="180"/>
      <c r="H103" s="182"/>
      <c r="I103" s="153"/>
    </row>
    <row r="104" spans="1:9" ht="18">
      <c r="A104" s="174" t="s">
        <v>392</v>
      </c>
      <c r="B104" s="175">
        <f>B24</f>
        <v>1</v>
      </c>
      <c r="C104" s="174"/>
      <c r="D104" s="175">
        <f>D24</f>
        <v>1</v>
      </c>
      <c r="E104" s="174"/>
      <c r="F104" s="175">
        <f>F24</f>
        <v>0</v>
      </c>
      <c r="G104" s="174"/>
      <c r="H104" s="175">
        <f>H24</f>
        <v>0</v>
      </c>
      <c r="I104" s="112"/>
    </row>
    <row r="105" spans="1:9" ht="18">
      <c r="A105" s="174"/>
      <c r="B105" s="175"/>
      <c r="C105" s="174"/>
      <c r="D105" s="175"/>
      <c r="E105" s="174"/>
      <c r="F105" s="175"/>
      <c r="G105" s="174"/>
      <c r="H105" s="175"/>
      <c r="I105" s="112"/>
    </row>
    <row r="106" spans="1:9" ht="18">
      <c r="A106" s="180" t="s">
        <v>393</v>
      </c>
      <c r="B106" s="175">
        <f>B102-B104</f>
        <v>599155</v>
      </c>
      <c r="C106" s="174"/>
      <c r="D106" s="175">
        <f>D102-D104</f>
        <v>57</v>
      </c>
      <c r="E106" s="174"/>
      <c r="F106" s="175">
        <f>F102-F104</f>
        <v>0</v>
      </c>
      <c r="G106" s="174"/>
      <c r="H106" s="175">
        <f>H102-H104</f>
        <v>0</v>
      </c>
      <c r="I106" s="112"/>
    </row>
    <row r="107" spans="1:9" ht="18"/>
  </sheetData>
  <mergeCells count="9">
    <mergeCell ref="A67:H68"/>
    <mergeCell ref="A1:H2"/>
    <mergeCell ref="I1:I2"/>
    <mergeCell ref="A3:A4"/>
    <mergeCell ref="A32:A33"/>
    <mergeCell ref="B32:B33"/>
    <mergeCell ref="D32:D33"/>
    <mergeCell ref="F32:F33"/>
    <mergeCell ref="H32:H33"/>
  </mergeCells>
  <conditionalFormatting sqref="B65 B48">
    <cfRule type="expression" dxfId="201" priority="4">
      <formula>$B$48&lt;&gt;$B$65</formula>
    </cfRule>
  </conditionalFormatting>
  <conditionalFormatting sqref="D65 D48">
    <cfRule type="expression" dxfId="200" priority="3">
      <formula>$D$48&lt;&gt;$D$65</formula>
    </cfRule>
  </conditionalFormatting>
  <conditionalFormatting sqref="F48 F65">
    <cfRule type="expression" dxfId="199" priority="2">
      <formula>$F$65&lt;&gt;$F$48</formula>
    </cfRule>
  </conditionalFormatting>
  <conditionalFormatting sqref="H48 H65">
    <cfRule type="expression" dxfId="198" priority="1">
      <formula>$H$48&lt;&gt;$H$65</formula>
    </cfRule>
  </conditionalFormatting>
  <pageMargins left="0.78749999999999998" right="0.78749999999999998" top="1.0249999999999999" bottom="1.0249999999999999" header="0.78749999999999998" footer="0.78749999999999998"/>
  <pageSetup scale="58" firstPageNumber="0" orientation="portrait" horizontalDpi="300" verticalDpi="300" r:id="rId1"/>
  <headerFooter alignWithMargins="0">
    <oddHeader>&amp;C&amp;"Arial,Regular"&amp;10&amp;A</oddHeader>
    <oddFooter>&amp;C&amp;"Arial,Regular"&amp;10Page &amp;P</oddFooter>
  </headerFooter>
  <rowBreaks count="2" manualBreakCount="2">
    <brk id="30" max="16383" man="1"/>
    <brk id="6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L107"/>
  <sheetViews>
    <sheetView view="pageBreakPreview" topLeftCell="A47" zoomScale="90" zoomScaleSheetLayoutView="90" workbookViewId="0">
      <selection activeCell="B59" sqref="B59"/>
    </sheetView>
  </sheetViews>
  <sheetFormatPr defaultColWidth="13.5703125" defaultRowHeight="32.1" customHeight="1"/>
  <cols>
    <col min="1" max="1" width="37.28515625" style="112" customWidth="1"/>
    <col min="2" max="2" width="10.42578125" style="112" customWidth="1"/>
    <col min="3" max="3" width="12.7109375" style="112" customWidth="1"/>
    <col min="4" max="4" width="10.140625" style="129" customWidth="1"/>
    <col min="5" max="5" width="12.28515625" style="112" customWidth="1"/>
    <col min="6" max="6" width="15.7109375" style="129" customWidth="1"/>
    <col min="7" max="7" width="12.28515625" style="112" customWidth="1"/>
    <col min="8" max="8" width="15.7109375" style="129" customWidth="1"/>
    <col min="9" max="9" width="17.42578125" style="129" bestFit="1" customWidth="1"/>
    <col min="10" max="10" width="22" style="112" customWidth="1"/>
    <col min="11" max="11" width="12" style="112" customWidth="1"/>
    <col min="12" max="16384" width="13.5703125" style="112"/>
  </cols>
  <sheetData>
    <row r="1" spans="1:10" ht="18">
      <c r="A1" s="751"/>
      <c r="B1" s="751"/>
      <c r="C1" s="751"/>
      <c r="D1" s="751"/>
      <c r="E1" s="751"/>
      <c r="F1" s="751"/>
      <c r="G1" s="751"/>
      <c r="H1" s="751"/>
      <c r="I1" s="752"/>
    </row>
    <row r="2" spans="1:10" ht="7.5" customHeight="1">
      <c r="A2" s="751"/>
      <c r="B2" s="751"/>
      <c r="C2" s="751"/>
      <c r="D2" s="751"/>
      <c r="E2" s="751"/>
      <c r="F2" s="751"/>
      <c r="G2" s="751"/>
      <c r="H2" s="751"/>
      <c r="I2" s="752"/>
    </row>
    <row r="3" spans="1:10" ht="18">
      <c r="A3" s="753" t="s">
        <v>301</v>
      </c>
      <c r="B3" s="113" t="s">
        <v>558</v>
      </c>
      <c r="C3" s="114" t="s">
        <v>303</v>
      </c>
      <c r="D3" s="113" t="s">
        <v>559</v>
      </c>
      <c r="E3" s="114" t="s">
        <v>303</v>
      </c>
      <c r="F3" s="113" t="s">
        <v>560</v>
      </c>
      <c r="G3" s="114" t="s">
        <v>303</v>
      </c>
      <c r="H3" s="113" t="s">
        <v>561</v>
      </c>
      <c r="I3" s="115"/>
    </row>
    <row r="4" spans="1:10" ht="18">
      <c r="A4" s="753"/>
      <c r="B4" s="114" t="s">
        <v>307</v>
      </c>
      <c r="C4" s="113" t="s">
        <v>562</v>
      </c>
      <c r="D4" s="114" t="s">
        <v>307</v>
      </c>
      <c r="E4" s="113" t="s">
        <v>563</v>
      </c>
      <c r="F4" s="114" t="s">
        <v>307</v>
      </c>
      <c r="G4" s="113" t="s">
        <v>564</v>
      </c>
      <c r="H4" s="114" t="s">
        <v>307</v>
      </c>
      <c r="I4" s="115"/>
    </row>
    <row r="5" spans="1:10" ht="18">
      <c r="A5" s="116" t="s">
        <v>185</v>
      </c>
      <c r="B5" s="117"/>
      <c r="C5" s="118" t="e">
        <f>(B5-D5)/D5*100</f>
        <v>#DIV/0!</v>
      </c>
      <c r="D5" s="117"/>
      <c r="E5" s="118" t="e">
        <f>(D5-F5)/F5*100</f>
        <v>#DIV/0!</v>
      </c>
      <c r="F5" s="119"/>
      <c r="G5" s="118" t="e">
        <f>(F5-H5)/H5*100</f>
        <v>#DIV/0!</v>
      </c>
      <c r="H5" s="119"/>
      <c r="I5" s="120"/>
    </row>
    <row r="6" spans="1:10" ht="25.35" customHeight="1">
      <c r="A6" s="121" t="s">
        <v>311</v>
      </c>
      <c r="B6" s="117"/>
      <c r="C6" s="118" t="e">
        <f>(B6-D6)/D6*100</f>
        <v>#DIV/0!</v>
      </c>
      <c r="D6" s="117"/>
      <c r="E6" s="118" t="e">
        <f>(D6-F6)/F6*100</f>
        <v>#DIV/0!</v>
      </c>
      <c r="F6" s="117"/>
      <c r="G6" s="118" t="e">
        <f>(F6-H6)/H6*100</f>
        <v>#DIV/0!</v>
      </c>
      <c r="H6" s="117"/>
      <c r="I6" s="120"/>
    </row>
    <row r="7" spans="1:10" ht="18">
      <c r="A7" s="121" t="s">
        <v>312</v>
      </c>
      <c r="B7" s="117"/>
      <c r="C7" s="118" t="e">
        <f>(B7-D7)/D7*100</f>
        <v>#DIV/0!</v>
      </c>
      <c r="D7" s="117"/>
      <c r="E7" s="118" t="e">
        <f>(D7-F7)/F7*100</f>
        <v>#DIV/0!</v>
      </c>
      <c r="F7" s="117"/>
      <c r="G7" s="118" t="e">
        <f>(F7-H7)/H7*100</f>
        <v>#DIV/0!</v>
      </c>
      <c r="H7" s="117"/>
      <c r="I7" s="120"/>
    </row>
    <row r="8" spans="1:10" ht="18.75" thickBot="1">
      <c r="A8" s="122" t="s">
        <v>313</v>
      </c>
      <c r="B8" s="123">
        <f>B5+B6+B7</f>
        <v>0</v>
      </c>
      <c r="C8" s="118" t="e">
        <f>(B8-D8)/D8*100</f>
        <v>#DIV/0!</v>
      </c>
      <c r="D8" s="123">
        <f>D5+D6+D7</f>
        <v>0</v>
      </c>
      <c r="E8" s="118" t="e">
        <f>(D8-F8)/F8*100</f>
        <v>#DIV/0!</v>
      </c>
      <c r="F8" s="123">
        <f>F5+F6+F7</f>
        <v>0</v>
      </c>
      <c r="G8" s="118" t="e">
        <f>(F8-H8)/H8*100</f>
        <v>#DIV/0!</v>
      </c>
      <c r="H8" s="123">
        <f>H5+H6+H7</f>
        <v>0</v>
      </c>
      <c r="I8" s="120"/>
    </row>
    <row r="9" spans="1:10" ht="39" thickBot="1">
      <c r="A9" s="122"/>
      <c r="B9" s="123"/>
      <c r="C9" s="124" t="s">
        <v>565</v>
      </c>
      <c r="D9" s="123"/>
      <c r="E9" s="124" t="s">
        <v>566</v>
      </c>
      <c r="F9" s="125"/>
      <c r="G9" s="124" t="s">
        <v>567</v>
      </c>
      <c r="H9" s="125"/>
      <c r="I9" s="126" t="s">
        <v>568</v>
      </c>
    </row>
    <row r="10" spans="1:10" ht="18.75" thickBot="1">
      <c r="A10" s="127" t="s">
        <v>314</v>
      </c>
      <c r="B10" s="117"/>
      <c r="C10" s="118" t="e">
        <f t="shared" ref="C10:C29" si="0">B10/$B$5*100</f>
        <v>#DIV/0!</v>
      </c>
      <c r="D10" s="117"/>
      <c r="E10" s="118" t="e">
        <f t="shared" ref="E10:E29" si="1">D10/$D$5*100</f>
        <v>#DIV/0!</v>
      </c>
      <c r="F10" s="117"/>
      <c r="G10" s="118" t="e">
        <f t="shared" ref="G10:G29" si="2">F10/$F$5*100</f>
        <v>#DIV/0!</v>
      </c>
      <c r="H10" s="117"/>
      <c r="I10" s="128" t="e">
        <f t="shared" ref="I10:I29" si="3">H10/$H$5*100</f>
        <v>#DIV/0!</v>
      </c>
    </row>
    <row r="11" spans="1:10" ht="18.75" thickBot="1">
      <c r="A11" s="127" t="s">
        <v>315</v>
      </c>
      <c r="B11" s="117"/>
      <c r="C11" s="118" t="e">
        <f t="shared" si="0"/>
        <v>#DIV/0!</v>
      </c>
      <c r="D11" s="117"/>
      <c r="E11" s="118" t="e">
        <f t="shared" si="1"/>
        <v>#DIV/0!</v>
      </c>
      <c r="F11" s="119"/>
      <c r="G11" s="118" t="e">
        <f t="shared" si="2"/>
        <v>#DIV/0!</v>
      </c>
      <c r="H11" s="119"/>
      <c r="I11" s="128" t="e">
        <f t="shared" si="3"/>
        <v>#DIV/0!</v>
      </c>
      <c r="J11" s="129"/>
    </row>
    <row r="12" spans="1:10" ht="18.75" thickBot="1">
      <c r="A12" s="127" t="s">
        <v>316</v>
      </c>
      <c r="B12" s="117"/>
      <c r="C12" s="118" t="e">
        <f t="shared" si="0"/>
        <v>#DIV/0!</v>
      </c>
      <c r="D12" s="117"/>
      <c r="E12" s="118" t="e">
        <f t="shared" si="1"/>
        <v>#DIV/0!</v>
      </c>
      <c r="F12" s="119"/>
      <c r="G12" s="118" t="e">
        <f t="shared" si="2"/>
        <v>#DIV/0!</v>
      </c>
      <c r="H12" s="119"/>
      <c r="I12" s="128" t="e">
        <f t="shared" si="3"/>
        <v>#DIV/0!</v>
      </c>
    </row>
    <row r="13" spans="1:10" ht="18.75" thickBot="1">
      <c r="A13" s="130" t="s">
        <v>317</v>
      </c>
      <c r="B13" s="131">
        <f>B8-B10-B11-B12</f>
        <v>0</v>
      </c>
      <c r="C13" s="118" t="e">
        <f t="shared" si="0"/>
        <v>#DIV/0!</v>
      </c>
      <c r="D13" s="131">
        <f>D8-D10-D11-D12</f>
        <v>0</v>
      </c>
      <c r="E13" s="118" t="e">
        <f t="shared" si="1"/>
        <v>#DIV/0!</v>
      </c>
      <c r="F13" s="131">
        <f>F8-F10-F11-F12</f>
        <v>0</v>
      </c>
      <c r="G13" s="118" t="e">
        <f t="shared" si="2"/>
        <v>#DIV/0!</v>
      </c>
      <c r="H13" s="131">
        <f>H8-H10-H11-H12</f>
        <v>0</v>
      </c>
      <c r="I13" s="128" t="e">
        <f t="shared" si="3"/>
        <v>#DIV/0!</v>
      </c>
    </row>
    <row r="14" spans="1:10" ht="18.75" thickBot="1">
      <c r="A14" s="132" t="s">
        <v>318</v>
      </c>
      <c r="B14" s="117"/>
      <c r="C14" s="118" t="e">
        <f t="shared" si="0"/>
        <v>#DIV/0!</v>
      </c>
      <c r="D14" s="117"/>
      <c r="E14" s="118" t="e">
        <f t="shared" si="1"/>
        <v>#DIV/0!</v>
      </c>
      <c r="F14" s="119"/>
      <c r="G14" s="118" t="e">
        <f t="shared" si="2"/>
        <v>#DIV/0!</v>
      </c>
      <c r="H14" s="119"/>
      <c r="I14" s="128" t="e">
        <f t="shared" si="3"/>
        <v>#DIV/0!</v>
      </c>
      <c r="J14" s="129"/>
    </row>
    <row r="15" spans="1:10" ht="18.75" thickBot="1">
      <c r="A15" s="132" t="s">
        <v>319</v>
      </c>
      <c r="B15" s="117"/>
      <c r="C15" s="118" t="e">
        <f t="shared" si="0"/>
        <v>#DIV/0!</v>
      </c>
      <c r="D15" s="117"/>
      <c r="E15" s="118" t="e">
        <f t="shared" si="1"/>
        <v>#DIV/0!</v>
      </c>
      <c r="F15" s="119"/>
      <c r="G15" s="118" t="e">
        <f t="shared" si="2"/>
        <v>#DIV/0!</v>
      </c>
      <c r="H15" s="119"/>
      <c r="I15" s="128" t="e">
        <f t="shared" si="3"/>
        <v>#DIV/0!</v>
      </c>
      <c r="J15" s="129"/>
    </row>
    <row r="16" spans="1:10" ht="18.75" thickBot="1">
      <c r="A16" s="130" t="s">
        <v>320</v>
      </c>
      <c r="B16" s="131">
        <f>B13-B14-B15</f>
        <v>0</v>
      </c>
      <c r="C16" s="118" t="e">
        <f t="shared" si="0"/>
        <v>#DIV/0!</v>
      </c>
      <c r="D16" s="131">
        <f>D13-D14-D15</f>
        <v>0</v>
      </c>
      <c r="E16" s="118" t="e">
        <f t="shared" si="1"/>
        <v>#DIV/0!</v>
      </c>
      <c r="F16" s="131">
        <f>F13-F14-F15</f>
        <v>0</v>
      </c>
      <c r="G16" s="118" t="e">
        <f t="shared" si="2"/>
        <v>#DIV/0!</v>
      </c>
      <c r="H16" s="131">
        <f>H13-H14-H15</f>
        <v>0</v>
      </c>
      <c r="I16" s="128" t="e">
        <f t="shared" si="3"/>
        <v>#DIV/0!</v>
      </c>
    </row>
    <row r="17" spans="1:12" ht="18.75" thickBot="1">
      <c r="A17" s="133" t="s">
        <v>218</v>
      </c>
      <c r="B17" s="117"/>
      <c r="C17" s="118" t="e">
        <f t="shared" si="0"/>
        <v>#DIV/0!</v>
      </c>
      <c r="D17" s="117"/>
      <c r="E17" s="118" t="e">
        <f t="shared" si="1"/>
        <v>#DIV/0!</v>
      </c>
      <c r="F17" s="119"/>
      <c r="G17" s="118" t="e">
        <f t="shared" si="2"/>
        <v>#DIV/0!</v>
      </c>
      <c r="H17" s="119"/>
      <c r="I17" s="128" t="e">
        <f t="shared" si="3"/>
        <v>#DIV/0!</v>
      </c>
      <c r="L17" s="134"/>
    </row>
    <row r="18" spans="1:12" s="134" customFormat="1" ht="18.75" thickBot="1">
      <c r="A18" s="127" t="s">
        <v>321</v>
      </c>
      <c r="B18" s="117"/>
      <c r="C18" s="118" t="e">
        <f t="shared" si="0"/>
        <v>#DIV/0!</v>
      </c>
      <c r="D18" s="117"/>
      <c r="E18" s="118" t="e">
        <f t="shared" si="1"/>
        <v>#DIV/0!</v>
      </c>
      <c r="F18" s="119"/>
      <c r="G18" s="118" t="e">
        <f t="shared" si="2"/>
        <v>#DIV/0!</v>
      </c>
      <c r="H18" s="119"/>
      <c r="I18" s="128" t="e">
        <f t="shared" si="3"/>
        <v>#DIV/0!</v>
      </c>
      <c r="L18" s="112"/>
    </row>
    <row r="19" spans="1:12" s="134" customFormat="1" ht="18.75" thickBot="1">
      <c r="A19" s="127" t="s">
        <v>322</v>
      </c>
      <c r="B19" s="117"/>
      <c r="C19" s="118" t="e">
        <f t="shared" si="0"/>
        <v>#DIV/0!</v>
      </c>
      <c r="D19" s="117"/>
      <c r="E19" s="118" t="e">
        <f t="shared" si="1"/>
        <v>#DIV/0!</v>
      </c>
      <c r="F19" s="119"/>
      <c r="G19" s="118" t="e">
        <f t="shared" si="2"/>
        <v>#DIV/0!</v>
      </c>
      <c r="H19" s="119"/>
      <c r="I19" s="128" t="e">
        <f t="shared" si="3"/>
        <v>#DIV/0!</v>
      </c>
      <c r="L19" s="112"/>
    </row>
    <row r="20" spans="1:12" s="134" customFormat="1" ht="18.75" thickBot="1">
      <c r="A20" s="127" t="s">
        <v>323</v>
      </c>
      <c r="B20" s="117"/>
      <c r="C20" s="118" t="e">
        <f t="shared" si="0"/>
        <v>#DIV/0!</v>
      </c>
      <c r="D20" s="117"/>
      <c r="E20" s="118" t="e">
        <f t="shared" si="1"/>
        <v>#DIV/0!</v>
      </c>
      <c r="F20" s="119"/>
      <c r="G20" s="118" t="e">
        <f t="shared" si="2"/>
        <v>#DIV/0!</v>
      </c>
      <c r="H20" s="119"/>
      <c r="I20" s="128" t="e">
        <f t="shared" si="3"/>
        <v>#DIV/0!</v>
      </c>
      <c r="L20" s="112"/>
    </row>
    <row r="21" spans="1:12" s="134" customFormat="1" ht="18.75" thickBot="1">
      <c r="A21" s="127" t="s">
        <v>324</v>
      </c>
      <c r="B21" s="117"/>
      <c r="C21" s="118" t="e">
        <f t="shared" si="0"/>
        <v>#DIV/0!</v>
      </c>
      <c r="D21" s="117"/>
      <c r="E21" s="118" t="e">
        <f t="shared" si="1"/>
        <v>#DIV/0!</v>
      </c>
      <c r="F21" s="119"/>
      <c r="G21" s="118" t="e">
        <f t="shared" si="2"/>
        <v>#DIV/0!</v>
      </c>
      <c r="H21" s="119"/>
      <c r="I21" s="128" t="e">
        <f t="shared" si="3"/>
        <v>#DIV/0!</v>
      </c>
      <c r="L21" s="112"/>
    </row>
    <row r="22" spans="1:12" ht="18.75" thickBot="1">
      <c r="A22" s="133" t="s">
        <v>325</v>
      </c>
      <c r="B22" s="117"/>
      <c r="C22" s="118" t="e">
        <f t="shared" si="0"/>
        <v>#DIV/0!</v>
      </c>
      <c r="D22" s="117"/>
      <c r="E22" s="118" t="e">
        <f t="shared" si="1"/>
        <v>#DIV/0!</v>
      </c>
      <c r="F22" s="119"/>
      <c r="G22" s="118" t="e">
        <f t="shared" si="2"/>
        <v>#DIV/0!</v>
      </c>
      <c r="H22" s="119"/>
      <c r="I22" s="128" t="e">
        <f t="shared" si="3"/>
        <v>#DIV/0!</v>
      </c>
    </row>
    <row r="23" spans="1:12" ht="18.75" thickBot="1">
      <c r="A23" s="135" t="s">
        <v>326</v>
      </c>
      <c r="B23" s="136">
        <f>B16-B17-B18-B22-B21-B19-B20</f>
        <v>0</v>
      </c>
      <c r="C23" s="118" t="e">
        <f t="shared" si="0"/>
        <v>#DIV/0!</v>
      </c>
      <c r="D23" s="136">
        <f>D16-D17-D18-D22-D21-D19-D20</f>
        <v>0</v>
      </c>
      <c r="E23" s="118" t="e">
        <f t="shared" si="1"/>
        <v>#DIV/0!</v>
      </c>
      <c r="F23" s="136">
        <f>F16-F17-F18-F22-F21-F19-F20</f>
        <v>0</v>
      </c>
      <c r="G23" s="118" t="e">
        <f t="shared" si="2"/>
        <v>#DIV/0!</v>
      </c>
      <c r="H23" s="136">
        <f>H16-H17-H18-H22-H21-H19-H20</f>
        <v>0</v>
      </c>
      <c r="I23" s="128" t="e">
        <f t="shared" si="3"/>
        <v>#DIV/0!</v>
      </c>
    </row>
    <row r="24" spans="1:12" ht="18.75" thickBot="1">
      <c r="A24" s="121" t="s">
        <v>327</v>
      </c>
      <c r="B24" s="117"/>
      <c r="C24" s="118" t="e">
        <f t="shared" si="0"/>
        <v>#DIV/0!</v>
      </c>
      <c r="D24" s="117"/>
      <c r="E24" s="118" t="e">
        <f t="shared" si="1"/>
        <v>#DIV/0!</v>
      </c>
      <c r="F24" s="117"/>
      <c r="G24" s="118" t="e">
        <f t="shared" si="2"/>
        <v>#DIV/0!</v>
      </c>
      <c r="H24" s="117"/>
      <c r="I24" s="128" t="e">
        <f t="shared" si="3"/>
        <v>#DIV/0!</v>
      </c>
      <c r="K24" s="137"/>
    </row>
    <row r="25" spans="1:12" ht="18.75" thickBot="1">
      <c r="A25" s="138" t="s">
        <v>186</v>
      </c>
      <c r="B25" s="123">
        <f>B23-B24</f>
        <v>0</v>
      </c>
      <c r="C25" s="139" t="e">
        <f t="shared" si="0"/>
        <v>#DIV/0!</v>
      </c>
      <c r="D25" s="123">
        <f>D23-D24</f>
        <v>0</v>
      </c>
      <c r="E25" s="139" t="e">
        <f t="shared" si="1"/>
        <v>#DIV/0!</v>
      </c>
      <c r="F25" s="123">
        <f>F23-F24</f>
        <v>0</v>
      </c>
      <c r="G25" s="118" t="e">
        <f t="shared" si="2"/>
        <v>#DIV/0!</v>
      </c>
      <c r="H25" s="123">
        <f>H23-H24</f>
        <v>0</v>
      </c>
      <c r="I25" s="128" t="e">
        <f t="shared" si="3"/>
        <v>#DIV/0!</v>
      </c>
      <c r="J25" s="140"/>
    </row>
    <row r="26" spans="1:12" ht="18.75" thickBot="1">
      <c r="A26" s="135" t="s">
        <v>328</v>
      </c>
      <c r="B26" s="136">
        <f>B25+B17+B22</f>
        <v>0</v>
      </c>
      <c r="C26" s="118" t="e">
        <f t="shared" si="0"/>
        <v>#DIV/0!</v>
      </c>
      <c r="D26" s="136">
        <f>D25+D17+D22</f>
        <v>0</v>
      </c>
      <c r="E26" s="118" t="e">
        <f t="shared" si="1"/>
        <v>#DIV/0!</v>
      </c>
      <c r="F26" s="136">
        <f>F25+F17+F22</f>
        <v>0</v>
      </c>
      <c r="G26" s="118" t="e">
        <f t="shared" si="2"/>
        <v>#DIV/0!</v>
      </c>
      <c r="H26" s="136">
        <f>H25+H17+H22</f>
        <v>0</v>
      </c>
      <c r="I26" s="128" t="e">
        <f t="shared" si="3"/>
        <v>#DIV/0!</v>
      </c>
    </row>
    <row r="27" spans="1:12" ht="18.75" thickBot="1">
      <c r="A27" s="141" t="s">
        <v>329</v>
      </c>
      <c r="B27" s="117"/>
      <c r="C27" s="118" t="e">
        <f t="shared" si="0"/>
        <v>#DIV/0!</v>
      </c>
      <c r="D27" s="117"/>
      <c r="E27" s="118" t="e">
        <f t="shared" si="1"/>
        <v>#DIV/0!</v>
      </c>
      <c r="F27" s="117"/>
      <c r="G27" s="118" t="e">
        <f t="shared" si="2"/>
        <v>#DIV/0!</v>
      </c>
      <c r="H27" s="117"/>
      <c r="I27" s="128" t="e">
        <f t="shared" si="3"/>
        <v>#DIV/0!</v>
      </c>
    </row>
    <row r="28" spans="1:12" ht="18.75" thickBot="1">
      <c r="A28" s="141" t="s">
        <v>220</v>
      </c>
      <c r="B28" s="117"/>
      <c r="C28" s="118" t="e">
        <f t="shared" si="0"/>
        <v>#DIV/0!</v>
      </c>
      <c r="D28" s="117"/>
      <c r="E28" s="118" t="e">
        <f t="shared" si="1"/>
        <v>#DIV/0!</v>
      </c>
      <c r="F28" s="117"/>
      <c r="G28" s="118" t="e">
        <f t="shared" si="2"/>
        <v>#DIV/0!</v>
      </c>
      <c r="H28" s="117"/>
      <c r="I28" s="128" t="e">
        <f t="shared" si="3"/>
        <v>#DIV/0!</v>
      </c>
    </row>
    <row r="29" spans="1:12" ht="18.75" thickBot="1">
      <c r="A29" s="142" t="s">
        <v>187</v>
      </c>
      <c r="B29" s="143">
        <f>B26+B27+B28</f>
        <v>0</v>
      </c>
      <c r="C29" s="139" t="e">
        <f t="shared" si="0"/>
        <v>#DIV/0!</v>
      </c>
      <c r="D29" s="143">
        <f>D26+D27+D28</f>
        <v>0</v>
      </c>
      <c r="E29" s="139" t="e">
        <f t="shared" si="1"/>
        <v>#DIV/0!</v>
      </c>
      <c r="F29" s="143">
        <f>F26+F27+F28</f>
        <v>0</v>
      </c>
      <c r="G29" s="118" t="e">
        <f t="shared" si="2"/>
        <v>#DIV/0!</v>
      </c>
      <c r="H29" s="143">
        <f>H26+H27+H28</f>
        <v>0</v>
      </c>
      <c r="I29" s="128" t="e">
        <f t="shared" si="3"/>
        <v>#DIV/0!</v>
      </c>
    </row>
    <row r="30" spans="1:12" ht="18.75" thickBot="1">
      <c r="A30" s="142"/>
      <c r="B30" s="143"/>
      <c r="C30" s="139"/>
      <c r="D30" s="143"/>
      <c r="E30" s="139"/>
      <c r="F30" s="143"/>
      <c r="G30" s="139"/>
      <c r="H30" s="143"/>
      <c r="I30" s="144"/>
      <c r="J30" s="145"/>
    </row>
    <row r="31" spans="1:12" ht="18">
      <c r="A31" s="146"/>
      <c r="B31" s="147"/>
      <c r="C31" s="148"/>
      <c r="D31" s="147"/>
      <c r="E31" s="148"/>
      <c r="F31" s="147"/>
      <c r="G31" s="148"/>
      <c r="H31" s="147"/>
      <c r="I31" s="149" t="s">
        <v>330</v>
      </c>
    </row>
    <row r="32" spans="1:12" ht="18">
      <c r="A32" s="753" t="s">
        <v>331</v>
      </c>
      <c r="B32" s="754" t="str">
        <f>B3</f>
        <v>31.03.2021</v>
      </c>
      <c r="C32" s="150" t="s">
        <v>303</v>
      </c>
      <c r="D32" s="754" t="str">
        <f>D3</f>
        <v>31.03.2020</v>
      </c>
      <c r="E32" s="150" t="s">
        <v>303</v>
      </c>
      <c r="F32" s="754" t="str">
        <f>F3</f>
        <v>31.03.2019</v>
      </c>
      <c r="G32" s="150" t="s">
        <v>303</v>
      </c>
      <c r="H32" s="755" t="s">
        <v>306</v>
      </c>
      <c r="I32" s="151"/>
    </row>
    <row r="33" spans="1:10" ht="18">
      <c r="A33" s="753"/>
      <c r="B33" s="754"/>
      <c r="C33" s="152" t="str">
        <f>C4</f>
        <v>In 2021</v>
      </c>
      <c r="D33" s="754"/>
      <c r="E33" s="152" t="str">
        <f>E4</f>
        <v>In 2020</v>
      </c>
      <c r="F33" s="754"/>
      <c r="G33" s="152" t="str">
        <f>G4</f>
        <v>In 2019</v>
      </c>
      <c r="H33" s="755"/>
      <c r="I33" s="153"/>
    </row>
    <row r="34" spans="1:10" ht="18">
      <c r="A34" s="154" t="s">
        <v>332</v>
      </c>
      <c r="B34" s="117"/>
      <c r="C34" s="118" t="e">
        <f t="shared" ref="C34:C65" si="4">(B34-D34)/D34*100</f>
        <v>#DIV/0!</v>
      </c>
      <c r="D34" s="117"/>
      <c r="E34" s="118" t="e">
        <f t="shared" ref="E34:E65" si="5">(D34-F34)/F34*100</f>
        <v>#DIV/0!</v>
      </c>
      <c r="F34" s="117"/>
      <c r="G34" s="118" t="e">
        <f t="shared" ref="G34:G65" si="6">(F34-H34)/H34*100</f>
        <v>#DIV/0!</v>
      </c>
      <c r="H34" s="117"/>
      <c r="I34" s="112"/>
    </row>
    <row r="35" spans="1:10" ht="26.25">
      <c r="A35" s="154" t="s">
        <v>333</v>
      </c>
      <c r="B35" s="117"/>
      <c r="C35" s="118" t="e">
        <f t="shared" si="4"/>
        <v>#DIV/0!</v>
      </c>
      <c r="D35" s="117"/>
      <c r="E35" s="118" t="e">
        <f t="shared" si="5"/>
        <v>#DIV/0!</v>
      </c>
      <c r="F35" s="119"/>
      <c r="G35" s="118" t="e">
        <f t="shared" si="6"/>
        <v>#DIV/0!</v>
      </c>
      <c r="H35" s="119"/>
      <c r="I35" s="112"/>
    </row>
    <row r="36" spans="1:10" ht="18">
      <c r="A36" s="155" t="s">
        <v>188</v>
      </c>
      <c r="B36" s="123">
        <f>SUM(B34:B35)</f>
        <v>0</v>
      </c>
      <c r="C36" s="118" t="e">
        <f t="shared" si="4"/>
        <v>#DIV/0!</v>
      </c>
      <c r="D36" s="123">
        <f>SUM(D34:D35)</f>
        <v>0</v>
      </c>
      <c r="E36" s="118" t="e">
        <f t="shared" si="5"/>
        <v>#DIV/0!</v>
      </c>
      <c r="F36" s="136">
        <f>SUM(F34:F35)</f>
        <v>0</v>
      </c>
      <c r="G36" s="118" t="e">
        <f t="shared" si="6"/>
        <v>#DIV/0!</v>
      </c>
      <c r="H36" s="136">
        <f>SUM(H34:H35)</f>
        <v>0</v>
      </c>
      <c r="I36" s="112"/>
    </row>
    <row r="37" spans="1:10" ht="18">
      <c r="A37" s="154" t="s">
        <v>334</v>
      </c>
      <c r="B37" s="117"/>
      <c r="C37" s="118" t="e">
        <f t="shared" si="4"/>
        <v>#DIV/0!</v>
      </c>
      <c r="D37" s="117"/>
      <c r="E37" s="118" t="e">
        <f t="shared" si="5"/>
        <v>#DIV/0!</v>
      </c>
      <c r="F37" s="117"/>
      <c r="G37" s="118" t="e">
        <f t="shared" si="6"/>
        <v>#DIV/0!</v>
      </c>
      <c r="H37" s="117"/>
      <c r="I37" s="112"/>
    </row>
    <row r="38" spans="1:10" ht="18">
      <c r="A38" s="155" t="s">
        <v>335</v>
      </c>
      <c r="B38" s="123">
        <f>B34+B35+B43-B62-B64-B52</f>
        <v>0</v>
      </c>
      <c r="C38" s="118" t="e">
        <f t="shared" si="4"/>
        <v>#DIV/0!</v>
      </c>
      <c r="D38" s="123">
        <f>D34+D35+D43-D62-D64-D52</f>
        <v>0</v>
      </c>
      <c r="E38" s="118" t="e">
        <f t="shared" si="5"/>
        <v>#DIV/0!</v>
      </c>
      <c r="F38" s="136">
        <f>F34+F35+F43-F62-F64-F52</f>
        <v>0</v>
      </c>
      <c r="G38" s="118" t="e">
        <f t="shared" si="6"/>
        <v>#DIV/0!</v>
      </c>
      <c r="H38" s="136">
        <f>H34+H35+H43-H62-H64-H52</f>
        <v>0</v>
      </c>
      <c r="I38" s="112"/>
    </row>
    <row r="39" spans="1:10" ht="18">
      <c r="A39" s="154" t="s">
        <v>189</v>
      </c>
      <c r="B39" s="117"/>
      <c r="C39" s="118" t="e">
        <f t="shared" si="4"/>
        <v>#DIV/0!</v>
      </c>
      <c r="D39" s="117"/>
      <c r="E39" s="118" t="e">
        <f t="shared" si="5"/>
        <v>#DIV/0!</v>
      </c>
      <c r="F39" s="119"/>
      <c r="G39" s="118" t="e">
        <f t="shared" si="6"/>
        <v>#DIV/0!</v>
      </c>
      <c r="H39" s="119"/>
    </row>
    <row r="40" spans="1:10" ht="18">
      <c r="A40" s="154" t="s">
        <v>190</v>
      </c>
      <c r="B40" s="117"/>
      <c r="C40" s="118" t="e">
        <f t="shared" si="4"/>
        <v>#DIV/0!</v>
      </c>
      <c r="D40" s="117"/>
      <c r="E40" s="118" t="e">
        <f t="shared" si="5"/>
        <v>#DIV/0!</v>
      </c>
      <c r="F40" s="119"/>
      <c r="G40" s="118" t="e">
        <f t="shared" si="6"/>
        <v>#DIV/0!</v>
      </c>
      <c r="H40" s="119"/>
      <c r="I40" s="156"/>
      <c r="J40" s="157"/>
    </row>
    <row r="41" spans="1:10" ht="18">
      <c r="A41" s="158" t="s">
        <v>336</v>
      </c>
      <c r="B41" s="159">
        <f>B39+B40</f>
        <v>0</v>
      </c>
      <c r="C41" s="118" t="e">
        <f t="shared" si="4"/>
        <v>#DIV/0!</v>
      </c>
      <c r="D41" s="159">
        <f>D39+D40</f>
        <v>0</v>
      </c>
      <c r="E41" s="118" t="e">
        <f t="shared" si="5"/>
        <v>#DIV/0!</v>
      </c>
      <c r="F41" s="159">
        <f>F39+F40</f>
        <v>0</v>
      </c>
      <c r="G41" s="118" t="e">
        <f t="shared" si="6"/>
        <v>#DIV/0!</v>
      </c>
      <c r="H41" s="159">
        <f>H39+H40</f>
        <v>0</v>
      </c>
      <c r="I41" s="112"/>
      <c r="J41" s="157"/>
    </row>
    <row r="42" spans="1:10" ht="18">
      <c r="A42" s="154" t="s">
        <v>337</v>
      </c>
      <c r="B42" s="117"/>
      <c r="C42" s="118" t="e">
        <f t="shared" si="4"/>
        <v>#DIV/0!</v>
      </c>
      <c r="D42" s="117"/>
      <c r="E42" s="118" t="e">
        <f t="shared" si="5"/>
        <v>#DIV/0!</v>
      </c>
      <c r="F42" s="119"/>
      <c r="G42" s="118" t="e">
        <f t="shared" si="6"/>
        <v>#DIV/0!</v>
      </c>
      <c r="H42" s="119"/>
      <c r="I42" s="112"/>
    </row>
    <row r="43" spans="1:10" ht="26.25">
      <c r="A43" s="160" t="s">
        <v>338</v>
      </c>
      <c r="B43" s="117"/>
      <c r="C43" s="118" t="e">
        <f t="shared" si="4"/>
        <v>#DIV/0!</v>
      </c>
      <c r="D43" s="117"/>
      <c r="E43" s="118" t="e">
        <f t="shared" si="5"/>
        <v>#DIV/0!</v>
      </c>
      <c r="F43" s="119"/>
      <c r="G43" s="118" t="e">
        <f t="shared" si="6"/>
        <v>#DIV/0!</v>
      </c>
      <c r="H43" s="119"/>
      <c r="I43" s="112"/>
    </row>
    <row r="44" spans="1:10" ht="18">
      <c r="A44" s="161" t="s">
        <v>339</v>
      </c>
      <c r="B44" s="162">
        <f>B45+B46</f>
        <v>0</v>
      </c>
      <c r="C44" s="118" t="e">
        <f t="shared" si="4"/>
        <v>#DIV/0!</v>
      </c>
      <c r="D44" s="162">
        <f>D45+D46</f>
        <v>0</v>
      </c>
      <c r="E44" s="118" t="e">
        <f t="shared" si="5"/>
        <v>#DIV/0!</v>
      </c>
      <c r="F44" s="162">
        <f>F45+F46</f>
        <v>0</v>
      </c>
      <c r="G44" s="118" t="e">
        <f t="shared" si="6"/>
        <v>#DIV/0!</v>
      </c>
      <c r="H44" s="162">
        <f>H45+H46</f>
        <v>0</v>
      </c>
      <c r="I44" s="112"/>
    </row>
    <row r="45" spans="1:10" ht="18">
      <c r="A45" s="163" t="s">
        <v>340</v>
      </c>
      <c r="B45" s="117"/>
      <c r="C45" s="118" t="e">
        <f t="shared" si="4"/>
        <v>#DIV/0!</v>
      </c>
      <c r="D45" s="117"/>
      <c r="E45" s="118" t="e">
        <f t="shared" si="5"/>
        <v>#DIV/0!</v>
      </c>
      <c r="F45" s="119"/>
      <c r="G45" s="118" t="e">
        <f t="shared" si="6"/>
        <v>#DIV/0!</v>
      </c>
      <c r="H45" s="119"/>
      <c r="I45" s="112"/>
    </row>
    <row r="46" spans="1:10" ht="18">
      <c r="A46" s="154" t="s">
        <v>341</v>
      </c>
      <c r="B46" s="117"/>
      <c r="C46" s="118" t="e">
        <f t="shared" si="4"/>
        <v>#DIV/0!</v>
      </c>
      <c r="D46" s="117"/>
      <c r="E46" s="118" t="e">
        <f t="shared" si="5"/>
        <v>#DIV/0!</v>
      </c>
      <c r="F46" s="119"/>
      <c r="G46" s="118" t="e">
        <f t="shared" si="6"/>
        <v>#DIV/0!</v>
      </c>
      <c r="H46" s="119"/>
      <c r="I46" s="112"/>
    </row>
    <row r="47" spans="1:10" ht="18">
      <c r="A47" s="164" t="s">
        <v>342</v>
      </c>
      <c r="B47" s="136">
        <f>B41+B42+B44</f>
        <v>0</v>
      </c>
      <c r="C47" s="118" t="e">
        <f t="shared" si="4"/>
        <v>#DIV/0!</v>
      </c>
      <c r="D47" s="136">
        <f>D41+D42+D44</f>
        <v>0</v>
      </c>
      <c r="E47" s="118" t="e">
        <f t="shared" si="5"/>
        <v>#DIV/0!</v>
      </c>
      <c r="F47" s="136">
        <f>F41+F42+F44</f>
        <v>0</v>
      </c>
      <c r="G47" s="118" t="e">
        <f t="shared" si="6"/>
        <v>#DIV/0!</v>
      </c>
      <c r="H47" s="136">
        <f>H41+H42+H44</f>
        <v>0</v>
      </c>
      <c r="I47" s="112"/>
    </row>
    <row r="48" spans="1:10" ht="18">
      <c r="A48" s="198" t="s">
        <v>343</v>
      </c>
      <c r="B48" s="199">
        <f>B36+B37+B41+B42+B43+B44</f>
        <v>0</v>
      </c>
      <c r="C48" s="200" t="e">
        <f t="shared" si="4"/>
        <v>#DIV/0!</v>
      </c>
      <c r="D48" s="199">
        <f>D36+D37+D41+D42+D43+D44</f>
        <v>0</v>
      </c>
      <c r="E48" s="200" t="e">
        <f t="shared" si="5"/>
        <v>#DIV/0!</v>
      </c>
      <c r="F48" s="199">
        <f>F36+F37+F41+F42+F43+F44</f>
        <v>0</v>
      </c>
      <c r="G48" s="200" t="e">
        <f t="shared" si="6"/>
        <v>#DIV/0!</v>
      </c>
      <c r="H48" s="199">
        <f>H36+H37+H41+H42+H43+H44</f>
        <v>0</v>
      </c>
      <c r="I48" s="112"/>
    </row>
    <row r="49" spans="1:9" ht="18">
      <c r="A49" s="160" t="s">
        <v>344</v>
      </c>
      <c r="B49" s="117"/>
      <c r="C49" s="118" t="e">
        <f t="shared" si="4"/>
        <v>#DIV/0!</v>
      </c>
      <c r="D49" s="117"/>
      <c r="E49" s="118" t="e">
        <f t="shared" si="5"/>
        <v>#DIV/0!</v>
      </c>
      <c r="F49" s="119"/>
      <c r="G49" s="118" t="e">
        <f t="shared" si="6"/>
        <v>#DIV/0!</v>
      </c>
      <c r="H49" s="119"/>
      <c r="I49" s="165"/>
    </row>
    <row r="50" spans="1:9" ht="18">
      <c r="A50" s="166" t="s">
        <v>345</v>
      </c>
      <c r="B50" s="136">
        <f>B51+B53+B52</f>
        <v>0</v>
      </c>
      <c r="C50" s="118" t="e">
        <f t="shared" si="4"/>
        <v>#DIV/0!</v>
      </c>
      <c r="D50" s="136">
        <f>D51+D53+D52</f>
        <v>0</v>
      </c>
      <c r="E50" s="118" t="e">
        <f t="shared" si="5"/>
        <v>#DIV/0!</v>
      </c>
      <c r="F50" s="136">
        <f>F51+F53+F52</f>
        <v>0</v>
      </c>
      <c r="G50" s="118" t="e">
        <f t="shared" si="6"/>
        <v>#DIV/0!</v>
      </c>
      <c r="H50" s="136">
        <f>H51+H53+H52</f>
        <v>0</v>
      </c>
      <c r="I50" s="112"/>
    </row>
    <row r="51" spans="1:9" ht="18">
      <c r="A51" s="167" t="s">
        <v>346</v>
      </c>
      <c r="B51" s="117"/>
      <c r="C51" s="118" t="e">
        <f t="shared" si="4"/>
        <v>#DIV/0!</v>
      </c>
      <c r="D51" s="117"/>
      <c r="E51" s="118" t="e">
        <f t="shared" si="5"/>
        <v>#DIV/0!</v>
      </c>
      <c r="F51" s="119"/>
      <c r="G51" s="118" t="e">
        <f t="shared" si="6"/>
        <v>#DIV/0!</v>
      </c>
      <c r="H51" s="119"/>
      <c r="I51" s="112"/>
    </row>
    <row r="52" spans="1:9" ht="18">
      <c r="A52" s="167" t="s">
        <v>347</v>
      </c>
      <c r="B52" s="117"/>
      <c r="C52" s="118" t="e">
        <f t="shared" si="4"/>
        <v>#DIV/0!</v>
      </c>
      <c r="D52" s="117"/>
      <c r="E52" s="118" t="e">
        <f t="shared" si="5"/>
        <v>#DIV/0!</v>
      </c>
      <c r="F52" s="117"/>
      <c r="G52" s="118" t="e">
        <f t="shared" si="6"/>
        <v>#DIV/0!</v>
      </c>
      <c r="H52" s="117"/>
      <c r="I52" s="112"/>
    </row>
    <row r="53" spans="1:9" ht="18">
      <c r="A53" s="167" t="s">
        <v>348</v>
      </c>
      <c r="B53" s="117"/>
      <c r="C53" s="118" t="e">
        <f t="shared" si="4"/>
        <v>#DIV/0!</v>
      </c>
      <c r="D53" s="117"/>
      <c r="E53" s="118" t="e">
        <f t="shared" si="5"/>
        <v>#DIV/0!</v>
      </c>
      <c r="F53" s="117"/>
      <c r="G53" s="118" t="e">
        <f t="shared" si="6"/>
        <v>#DIV/0!</v>
      </c>
      <c r="H53" s="117"/>
      <c r="I53" s="112"/>
    </row>
    <row r="54" spans="1:9" ht="18">
      <c r="A54" s="168" t="s">
        <v>349</v>
      </c>
      <c r="B54" s="162">
        <f>B56+B57+B60+B61+B55</f>
        <v>0</v>
      </c>
      <c r="C54" s="118" t="e">
        <f t="shared" si="4"/>
        <v>#DIV/0!</v>
      </c>
      <c r="D54" s="162">
        <f>D56+D57+D60+D61+D55</f>
        <v>0</v>
      </c>
      <c r="E54" s="118" t="e">
        <f t="shared" si="5"/>
        <v>#DIV/0!</v>
      </c>
      <c r="F54" s="162">
        <f>F56+F57+F60+F61+F55</f>
        <v>0</v>
      </c>
      <c r="G54" s="118" t="e">
        <f t="shared" si="6"/>
        <v>#DIV/0!</v>
      </c>
      <c r="H54" s="162">
        <f>H56+H57+H60+H61+H55</f>
        <v>0</v>
      </c>
      <c r="I54" s="112"/>
    </row>
    <row r="55" spans="1:9" ht="18">
      <c r="A55" s="169" t="s">
        <v>350</v>
      </c>
      <c r="B55" s="117"/>
      <c r="C55" s="118" t="e">
        <f t="shared" si="4"/>
        <v>#DIV/0!</v>
      </c>
      <c r="D55" s="117"/>
      <c r="E55" s="118" t="e">
        <f t="shared" si="5"/>
        <v>#DIV/0!</v>
      </c>
      <c r="F55" s="117"/>
      <c r="G55" s="118" t="e">
        <f t="shared" si="6"/>
        <v>#DIV/0!</v>
      </c>
      <c r="H55" s="117"/>
      <c r="I55" s="112"/>
    </row>
    <row r="56" spans="1:9" ht="18">
      <c r="A56" s="160" t="s">
        <v>351</v>
      </c>
      <c r="B56" s="117"/>
      <c r="C56" s="118" t="e">
        <f t="shared" si="4"/>
        <v>#DIV/0!</v>
      </c>
      <c r="D56" s="117"/>
      <c r="E56" s="118" t="e">
        <f t="shared" si="5"/>
        <v>#DIV/0!</v>
      </c>
      <c r="F56" s="119"/>
      <c r="G56" s="118" t="e">
        <f t="shared" si="6"/>
        <v>#DIV/0!</v>
      </c>
      <c r="H56" s="119"/>
      <c r="I56" s="112"/>
    </row>
    <row r="57" spans="1:9" ht="18">
      <c r="A57" s="170" t="s">
        <v>352</v>
      </c>
      <c r="B57" s="162">
        <f>B58+B59</f>
        <v>0</v>
      </c>
      <c r="C57" s="118" t="e">
        <f t="shared" si="4"/>
        <v>#DIV/0!</v>
      </c>
      <c r="D57" s="162">
        <f>D58+D59</f>
        <v>0</v>
      </c>
      <c r="E57" s="118" t="e">
        <f t="shared" si="5"/>
        <v>#DIV/0!</v>
      </c>
      <c r="F57" s="162">
        <f>F58+F59</f>
        <v>0</v>
      </c>
      <c r="G57" s="118" t="e">
        <f t="shared" si="6"/>
        <v>#DIV/0!</v>
      </c>
      <c r="H57" s="162">
        <f>H58+H59</f>
        <v>0</v>
      </c>
      <c r="I57" s="112"/>
    </row>
    <row r="58" spans="1:9" ht="18">
      <c r="A58" s="160" t="s">
        <v>353</v>
      </c>
      <c r="B58" s="117"/>
      <c r="C58" s="118" t="e">
        <f t="shared" si="4"/>
        <v>#DIV/0!</v>
      </c>
      <c r="D58" s="117"/>
      <c r="E58" s="118" t="e">
        <f t="shared" si="5"/>
        <v>#DIV/0!</v>
      </c>
      <c r="F58" s="117"/>
      <c r="G58" s="118" t="e">
        <f t="shared" si="6"/>
        <v>#DIV/0!</v>
      </c>
      <c r="H58" s="117"/>
      <c r="I58" s="112"/>
    </row>
    <row r="59" spans="1:9" ht="18">
      <c r="A59" s="160" t="s">
        <v>354</v>
      </c>
      <c r="B59" s="117"/>
      <c r="C59" s="118" t="e">
        <f t="shared" si="4"/>
        <v>#DIV/0!</v>
      </c>
      <c r="D59" s="117"/>
      <c r="E59" s="118" t="e">
        <f t="shared" si="5"/>
        <v>#DIV/0!</v>
      </c>
      <c r="F59" s="119"/>
      <c r="G59" s="118" t="e">
        <f t="shared" si="6"/>
        <v>#DIV/0!</v>
      </c>
      <c r="H59" s="119"/>
      <c r="I59" s="112"/>
    </row>
    <row r="60" spans="1:9" ht="18">
      <c r="A60" s="160" t="s">
        <v>355</v>
      </c>
      <c r="B60" s="117"/>
      <c r="C60" s="118" t="e">
        <f t="shared" si="4"/>
        <v>#DIV/0!</v>
      </c>
      <c r="D60" s="117"/>
      <c r="E60" s="118" t="e">
        <f t="shared" si="5"/>
        <v>#DIV/0!</v>
      </c>
      <c r="F60" s="119"/>
      <c r="G60" s="118" t="e">
        <f t="shared" si="6"/>
        <v>#DIV/0!</v>
      </c>
      <c r="H60" s="119"/>
      <c r="I60" s="165"/>
    </row>
    <row r="61" spans="1:9" ht="18">
      <c r="A61" s="171" t="s">
        <v>356</v>
      </c>
      <c r="B61" s="172">
        <f>B62+B63</f>
        <v>0</v>
      </c>
      <c r="C61" s="118" t="e">
        <f t="shared" si="4"/>
        <v>#DIV/0!</v>
      </c>
      <c r="D61" s="172">
        <f>D62+D63</f>
        <v>0</v>
      </c>
      <c r="E61" s="118" t="e">
        <f t="shared" si="5"/>
        <v>#DIV/0!</v>
      </c>
      <c r="F61" s="172">
        <f>F62+F63</f>
        <v>0</v>
      </c>
      <c r="G61" s="118" t="e">
        <f t="shared" si="6"/>
        <v>#DIV/0!</v>
      </c>
      <c r="H61" s="172">
        <f>H62+H63</f>
        <v>0</v>
      </c>
      <c r="I61" s="112"/>
    </row>
    <row r="62" spans="1:9" ht="26.25">
      <c r="A62" s="154" t="s">
        <v>357</v>
      </c>
      <c r="B62" s="117"/>
      <c r="C62" s="118" t="e">
        <f t="shared" si="4"/>
        <v>#DIV/0!</v>
      </c>
      <c r="D62" s="117"/>
      <c r="E62" s="118" t="e">
        <f t="shared" si="5"/>
        <v>#DIV/0!</v>
      </c>
      <c r="F62" s="117"/>
      <c r="G62" s="118" t="e">
        <f t="shared" si="6"/>
        <v>#DIV/0!</v>
      </c>
      <c r="H62" s="117"/>
      <c r="I62" s="112"/>
    </row>
    <row r="63" spans="1:9" ht="18">
      <c r="A63" s="154" t="s">
        <v>358</v>
      </c>
      <c r="B63" s="117"/>
      <c r="C63" s="118" t="e">
        <f t="shared" si="4"/>
        <v>#DIV/0!</v>
      </c>
      <c r="D63" s="117"/>
      <c r="E63" s="118" t="e">
        <f t="shared" si="5"/>
        <v>#DIV/0!</v>
      </c>
      <c r="F63" s="119"/>
      <c r="G63" s="118" t="e">
        <f t="shared" si="6"/>
        <v>#DIV/0!</v>
      </c>
      <c r="H63" s="119"/>
      <c r="I63" s="112"/>
    </row>
    <row r="64" spans="1:9" ht="26.25">
      <c r="A64" s="154" t="s">
        <v>359</v>
      </c>
      <c r="B64" s="117"/>
      <c r="C64" s="118" t="e">
        <f t="shared" si="4"/>
        <v>#DIV/0!</v>
      </c>
      <c r="D64" s="117"/>
      <c r="E64" s="118" t="e">
        <f t="shared" si="5"/>
        <v>#DIV/0!</v>
      </c>
      <c r="F64" s="117"/>
      <c r="G64" s="118" t="e">
        <f t="shared" si="6"/>
        <v>#DIV/0!</v>
      </c>
      <c r="H64" s="117"/>
      <c r="I64" s="112"/>
    </row>
    <row r="65" spans="1:10" ht="18">
      <c r="A65" s="198" t="s">
        <v>343</v>
      </c>
      <c r="B65" s="201">
        <f>B49+B50+B54+B64</f>
        <v>0</v>
      </c>
      <c r="C65" s="200" t="e">
        <f t="shared" si="4"/>
        <v>#DIV/0!</v>
      </c>
      <c r="D65" s="201">
        <f>D49+D50+D54+D64</f>
        <v>0</v>
      </c>
      <c r="E65" s="200" t="e">
        <f t="shared" si="5"/>
        <v>#DIV/0!</v>
      </c>
      <c r="F65" s="201">
        <f>F49+F50+F54+F64</f>
        <v>0</v>
      </c>
      <c r="G65" s="200" t="e">
        <f t="shared" si="6"/>
        <v>#DIV/0!</v>
      </c>
      <c r="H65" s="201">
        <f>H49+H50+H54+H64</f>
        <v>0</v>
      </c>
      <c r="I65" s="153"/>
    </row>
    <row r="66" spans="1:10" ht="18">
      <c r="A66" s="173"/>
      <c r="B66" s="173"/>
      <c r="C66" s="173"/>
      <c r="D66" s="173"/>
      <c r="E66" s="173"/>
      <c r="F66" s="173"/>
      <c r="G66" s="173"/>
      <c r="H66" s="173"/>
      <c r="I66" s="112"/>
      <c r="J66" s="129"/>
    </row>
    <row r="67" spans="1:10" ht="18">
      <c r="A67" s="750" t="s">
        <v>360</v>
      </c>
      <c r="B67" s="750"/>
      <c r="C67" s="750"/>
      <c r="D67" s="750"/>
      <c r="E67" s="750"/>
      <c r="F67" s="750"/>
      <c r="G67" s="750"/>
      <c r="H67" s="750"/>
      <c r="I67" s="112"/>
    </row>
    <row r="68" spans="1:10" ht="18">
      <c r="A68" s="750"/>
      <c r="B68" s="750"/>
      <c r="C68" s="750"/>
      <c r="D68" s="750"/>
      <c r="E68" s="750"/>
      <c r="F68" s="750"/>
      <c r="G68" s="750"/>
      <c r="H68" s="750"/>
      <c r="I68" s="112"/>
    </row>
    <row r="69" spans="1:10" ht="18.75" thickBot="1">
      <c r="A69" s="174" t="s">
        <v>361</v>
      </c>
      <c r="B69" s="175" t="e">
        <f>B57/B5*365</f>
        <v>#DIV/0!</v>
      </c>
      <c r="C69" s="174"/>
      <c r="D69" s="175" t="e">
        <f>D57/D5*365</f>
        <v>#DIV/0!</v>
      </c>
      <c r="E69" s="174"/>
      <c r="F69" s="175" t="e">
        <f>F57/F5*365</f>
        <v>#DIV/0!</v>
      </c>
      <c r="G69" s="174"/>
      <c r="H69" s="175" t="e">
        <f>H57/H5*365</f>
        <v>#DIV/0!</v>
      </c>
      <c r="I69" s="176"/>
    </row>
    <row r="70" spans="1:10" ht="18">
      <c r="A70" s="174" t="s">
        <v>362</v>
      </c>
      <c r="B70" s="175" t="e">
        <f>B56/(B10+B11+B12)*365</f>
        <v>#DIV/0!</v>
      </c>
      <c r="C70" s="174"/>
      <c r="D70" s="175" t="e">
        <f>D56/(D10+D11+D12)*365</f>
        <v>#DIV/0!</v>
      </c>
      <c r="E70" s="174"/>
      <c r="F70" s="175" t="e">
        <f>F56/(F10+F11+F12)*365</f>
        <v>#DIV/0!</v>
      </c>
      <c r="G70" s="174"/>
      <c r="H70" s="175" t="e">
        <f>H56/(H10+H11+H12)*365</f>
        <v>#DIV/0!</v>
      </c>
      <c r="I70" s="112"/>
    </row>
    <row r="71" spans="1:10" ht="18">
      <c r="A71" s="174" t="s">
        <v>363</v>
      </c>
      <c r="B71" s="175" t="e">
        <f>B56/(B11+B10+B12)</f>
        <v>#DIV/0!</v>
      </c>
      <c r="C71" s="174"/>
      <c r="D71" s="175" t="e">
        <f>D56/(D11+D10+D12)</f>
        <v>#DIV/0!</v>
      </c>
      <c r="E71" s="174"/>
      <c r="F71" s="175" t="e">
        <f>F56/(F11+F10+F12)</f>
        <v>#DIV/0!</v>
      </c>
      <c r="G71" s="174"/>
      <c r="H71" s="175" t="e">
        <f>H56/(H11+H10+H12)</f>
        <v>#DIV/0!</v>
      </c>
      <c r="I71" s="112"/>
    </row>
    <row r="72" spans="1:10" ht="18.75" thickBot="1">
      <c r="A72" s="174" t="s">
        <v>364</v>
      </c>
      <c r="B72" s="175" t="e">
        <f>B54/(B44+B40)</f>
        <v>#DIV/0!</v>
      </c>
      <c r="C72" s="174"/>
      <c r="D72" s="175" t="e">
        <f>D54/(D44+D40)</f>
        <v>#DIV/0!</v>
      </c>
      <c r="E72" s="174"/>
      <c r="F72" s="175" t="e">
        <f>F54/(F44+F40)</f>
        <v>#DIV/0!</v>
      </c>
      <c r="G72" s="174"/>
      <c r="H72" s="175" t="e">
        <f>H54/(H44+H40)</f>
        <v>#DIV/0!</v>
      </c>
      <c r="I72" s="112"/>
    </row>
    <row r="73" spans="1:10" ht="18.75" thickBot="1">
      <c r="A73" s="174" t="s">
        <v>365</v>
      </c>
      <c r="B73" s="175" t="e">
        <f>(B54-B56)/(B44+B40)</f>
        <v>#DIV/0!</v>
      </c>
      <c r="C73" s="174"/>
      <c r="D73" s="175" t="e">
        <f>(D54-D56)/(D44+D40)</f>
        <v>#DIV/0!</v>
      </c>
      <c r="E73" s="174"/>
      <c r="F73" s="175" t="e">
        <f>(F54-F56)/(F44+F40)</f>
        <v>#DIV/0!</v>
      </c>
      <c r="G73" s="174"/>
      <c r="H73" s="175" t="e">
        <f>(H54-H56)/(H44+H40)</f>
        <v>#DIV/0!</v>
      </c>
      <c r="I73" s="177"/>
    </row>
    <row r="74" spans="1:10" ht="18.75" thickBot="1">
      <c r="A74" s="174" t="s">
        <v>366</v>
      </c>
      <c r="B74" s="175" t="e">
        <f>(B39+B40+B42)/B36</f>
        <v>#DIV/0!</v>
      </c>
      <c r="C74" s="174"/>
      <c r="D74" s="175" t="e">
        <f>(D39+D40+D42)/D36</f>
        <v>#DIV/0!</v>
      </c>
      <c r="E74" s="174"/>
      <c r="F74" s="175" t="e">
        <f>(F39+F40+F42)/F36</f>
        <v>#DIV/0!</v>
      </c>
      <c r="G74" s="174"/>
      <c r="H74" s="175" t="e">
        <f>(H39+H40+H42)/H36</f>
        <v>#DIV/0!</v>
      </c>
      <c r="I74" s="177"/>
    </row>
    <row r="75" spans="1:10" ht="18">
      <c r="A75" s="174" t="s">
        <v>367</v>
      </c>
      <c r="B75" s="175" t="e">
        <f>B16/(B18+B19+B20+B21)</f>
        <v>#DIV/0!</v>
      </c>
      <c r="C75" s="174"/>
      <c r="D75" s="175" t="e">
        <f>D16/(D18+D19+D20+D21)</f>
        <v>#DIV/0!</v>
      </c>
      <c r="E75" s="174"/>
      <c r="F75" s="175" t="e">
        <f>F16/(F18+F19+F20+F21)</f>
        <v>#DIV/0!</v>
      </c>
      <c r="G75" s="174"/>
      <c r="H75" s="175" t="e">
        <f>H16/(H18+H19+H20+H21)</f>
        <v>#DIV/0!</v>
      </c>
      <c r="I75" s="112"/>
    </row>
    <row r="76" spans="1:10" ht="18">
      <c r="A76" s="174" t="s">
        <v>368</v>
      </c>
      <c r="B76" s="175" t="e">
        <f>$B$16/($B$18+$B$19+$B$20+$B$21+($B$39+$B$42)/5)</f>
        <v>#DIV/0!</v>
      </c>
      <c r="C76" s="174"/>
      <c r="D76" s="175" t="e">
        <f>$D$16/($D$18+$D$19+$D$20+$D$21+($D$39+$D$42)/5)</f>
        <v>#DIV/0!</v>
      </c>
      <c r="E76" s="174"/>
      <c r="F76" s="175" t="e">
        <f>$F$16/($F$18+$F$19+$F$20+$F$21+($F$39+$F$42)/5)</f>
        <v>#DIV/0!</v>
      </c>
      <c r="G76" s="174"/>
      <c r="H76" s="175" t="e">
        <f>$H$16/($H$18+$H$19+$H$20+$H$21+($H$39+$H$42)/5)</f>
        <v>#DIV/0!</v>
      </c>
      <c r="I76" s="112"/>
    </row>
    <row r="77" spans="1:10" ht="18">
      <c r="A77" s="174" t="s">
        <v>369</v>
      </c>
      <c r="B77" s="175">
        <f>$B$16/($B$18+$B$19+$B$20+$B$21+($B$39+$B$42)/5+('Normal &amp; CGTMSE Eligibility'!F43))</f>
        <v>0</v>
      </c>
      <c r="C77" s="174"/>
      <c r="D77" s="175">
        <f>$D$16/($D$18+$D$19+$D$20+$D$21+($D$39+$D$42)/5+('Normal &amp; CGTMSE Eligibility'!F43))</f>
        <v>0</v>
      </c>
      <c r="E77" s="174"/>
      <c r="F77" s="175">
        <f>$F$16/($F$18+$F$19+$F$20+$F$21+($F$39+$F$42)/5+('Normal &amp; CGTMSE Eligibility'!F43))</f>
        <v>0</v>
      </c>
      <c r="G77" s="174"/>
      <c r="H77" s="175">
        <f>$H$16/($H$18+$H$19+$H$20+$H$21+($H$39+$H$42)/5+('Normal &amp; CGTMSE Eligibility'!F43))</f>
        <v>0</v>
      </c>
      <c r="I77" s="112"/>
    </row>
    <row r="78" spans="1:10" ht="18">
      <c r="A78" s="174" t="s">
        <v>370</v>
      </c>
      <c r="B78" s="175" t="e">
        <f>(B13-B7)/B5*100</f>
        <v>#DIV/0!</v>
      </c>
      <c r="C78" s="174"/>
      <c r="D78" s="175" t="e">
        <f>(D13-D7)/D5*100</f>
        <v>#DIV/0!</v>
      </c>
      <c r="E78" s="174"/>
      <c r="F78" s="175" t="e">
        <f>(F13-F7)/F5*100</f>
        <v>#DIV/0!</v>
      </c>
      <c r="G78" s="174"/>
      <c r="H78" s="175" t="e">
        <f>(H13-H7)/H5*100</f>
        <v>#DIV/0!</v>
      </c>
      <c r="I78" s="112"/>
    </row>
    <row r="79" spans="1:10" ht="18">
      <c r="A79" s="174" t="s">
        <v>371</v>
      </c>
      <c r="B79" s="175" t="e">
        <f>(B25-B7)/B5*100</f>
        <v>#DIV/0!</v>
      </c>
      <c r="C79" s="174"/>
      <c r="D79" s="175" t="e">
        <f>(D25-D7)/D5*100</f>
        <v>#DIV/0!</v>
      </c>
      <c r="E79" s="174"/>
      <c r="F79" s="175" t="e">
        <f>(F25-F7)/F5*100</f>
        <v>#DIV/0!</v>
      </c>
      <c r="G79" s="174"/>
      <c r="H79" s="175" t="e">
        <f>(H25-H7)/H5*100</f>
        <v>#DIV/0!</v>
      </c>
      <c r="I79" s="112"/>
    </row>
    <row r="80" spans="1:10" ht="18">
      <c r="A80" s="174" t="s">
        <v>372</v>
      </c>
      <c r="B80" s="175" t="e">
        <f>(B26-B7)/B5*100</f>
        <v>#DIV/0!</v>
      </c>
      <c r="C80" s="174"/>
      <c r="D80" s="175" t="e">
        <f>(D26-D7)/D5*100</f>
        <v>#DIV/0!</v>
      </c>
      <c r="E80" s="174"/>
      <c r="F80" s="175" t="e">
        <f>(F26-F7)/F5*100</f>
        <v>#DIV/0!</v>
      </c>
      <c r="G80" s="174"/>
      <c r="H80" s="175" t="e">
        <f>(H26-H7)/H5*100</f>
        <v>#DIV/0!</v>
      </c>
      <c r="I80" s="112"/>
    </row>
    <row r="81" spans="1:10" ht="18">
      <c r="A81" s="174" t="s">
        <v>373</v>
      </c>
      <c r="B81" s="178" t="e">
        <f>(B5-D5)/D5*100</f>
        <v>#DIV/0!</v>
      </c>
      <c r="C81" s="179"/>
      <c r="D81" s="178" t="e">
        <f>(D5-F5)/F5*100</f>
        <v>#DIV/0!</v>
      </c>
      <c r="E81" s="179"/>
      <c r="F81" s="178" t="e">
        <f>#N/A</f>
        <v>#N/A</v>
      </c>
      <c r="G81" s="179"/>
      <c r="H81" s="178" t="e">
        <f>#N/A</f>
        <v>#N/A</v>
      </c>
      <c r="I81" s="112"/>
      <c r="J81" s="129"/>
    </row>
    <row r="82" spans="1:10" ht="18">
      <c r="A82" s="174" t="s">
        <v>374</v>
      </c>
      <c r="B82" s="178" t="e">
        <f>(B25-D25)/D25*100</f>
        <v>#DIV/0!</v>
      </c>
      <c r="C82" s="179"/>
      <c r="D82" s="178" t="e">
        <f>(D25-F25)/F25*100</f>
        <v>#DIV/0!</v>
      </c>
      <c r="E82" s="179"/>
      <c r="F82" s="178" t="e">
        <f>#N/A</f>
        <v>#N/A</v>
      </c>
      <c r="G82" s="179"/>
      <c r="H82" s="178" t="e">
        <f>#N/A</f>
        <v>#N/A</v>
      </c>
      <c r="I82" s="112"/>
    </row>
    <row r="83" spans="1:10" ht="18">
      <c r="A83" s="174"/>
      <c r="B83" s="175"/>
      <c r="C83" s="174"/>
      <c r="D83" s="175"/>
      <c r="E83" s="174"/>
      <c r="F83" s="175"/>
      <c r="G83" s="174"/>
      <c r="H83" s="175"/>
      <c r="I83" s="112"/>
    </row>
    <row r="84" spans="1:10" ht="18">
      <c r="A84" s="180" t="s">
        <v>375</v>
      </c>
      <c r="B84" s="175"/>
      <c r="C84" s="174"/>
      <c r="D84" s="175"/>
      <c r="E84" s="174"/>
      <c r="F84" s="175"/>
      <c r="G84" s="174"/>
      <c r="H84" s="175"/>
      <c r="I84" s="112"/>
    </row>
    <row r="85" spans="1:10" ht="18">
      <c r="A85" s="180"/>
      <c r="B85" s="175"/>
      <c r="C85" s="174"/>
      <c r="D85" s="175"/>
      <c r="E85" s="174"/>
      <c r="F85" s="175"/>
      <c r="G85" s="174"/>
      <c r="H85" s="175"/>
      <c r="I85" s="112"/>
    </row>
    <row r="86" spans="1:10" ht="18">
      <c r="A86" s="174" t="s">
        <v>376</v>
      </c>
      <c r="B86" s="175">
        <f>B25</f>
        <v>0</v>
      </c>
      <c r="C86" s="174"/>
      <c r="D86" s="175">
        <f>D25</f>
        <v>0</v>
      </c>
      <c r="E86" s="174"/>
      <c r="F86" s="175">
        <f>F25</f>
        <v>0</v>
      </c>
      <c r="G86" s="174"/>
      <c r="H86" s="175">
        <f>H25</f>
        <v>0</v>
      </c>
      <c r="I86" s="112"/>
    </row>
    <row r="87" spans="1:10" ht="18">
      <c r="A87" s="174" t="s">
        <v>377</v>
      </c>
      <c r="B87" s="175"/>
      <c r="C87" s="174"/>
      <c r="D87" s="175"/>
      <c r="E87" s="174"/>
      <c r="F87" s="175"/>
      <c r="G87" s="174"/>
      <c r="H87" s="175"/>
      <c r="I87" s="112"/>
    </row>
    <row r="88" spans="1:10" ht="18">
      <c r="A88" s="174" t="s">
        <v>378</v>
      </c>
      <c r="B88" s="175">
        <f>B17</f>
        <v>0</v>
      </c>
      <c r="C88" s="174"/>
      <c r="D88" s="175">
        <f>D17</f>
        <v>0</v>
      </c>
      <c r="E88" s="174"/>
      <c r="F88" s="175">
        <f>F17</f>
        <v>0</v>
      </c>
      <c r="G88" s="174"/>
      <c r="H88" s="175">
        <f>H17</f>
        <v>0</v>
      </c>
      <c r="I88" s="112"/>
    </row>
    <row r="89" spans="1:10" ht="18">
      <c r="A89" s="174" t="s">
        <v>379</v>
      </c>
      <c r="B89" s="175">
        <f>B22</f>
        <v>0</v>
      </c>
      <c r="C89" s="174"/>
      <c r="D89" s="175">
        <f>D22</f>
        <v>0</v>
      </c>
      <c r="E89" s="174"/>
      <c r="F89" s="175">
        <f>F22</f>
        <v>0</v>
      </c>
      <c r="G89" s="174"/>
      <c r="H89" s="175">
        <f>H22</f>
        <v>0</v>
      </c>
      <c r="I89" s="112"/>
    </row>
    <row r="90" spans="1:10" ht="18">
      <c r="A90" s="174" t="s">
        <v>380</v>
      </c>
      <c r="B90" s="175">
        <f>B27</f>
        <v>0</v>
      </c>
      <c r="C90" s="174"/>
      <c r="D90" s="175">
        <f>D27</f>
        <v>0</v>
      </c>
      <c r="E90" s="174"/>
      <c r="F90" s="175">
        <f>F27</f>
        <v>0</v>
      </c>
      <c r="G90" s="174"/>
      <c r="H90" s="175">
        <f>H27</f>
        <v>0</v>
      </c>
      <c r="I90" s="112"/>
    </row>
    <row r="91" spans="1:10" ht="18">
      <c r="A91" s="174" t="s">
        <v>381</v>
      </c>
      <c r="B91" s="175">
        <f>B28</f>
        <v>0</v>
      </c>
      <c r="C91" s="174"/>
      <c r="D91" s="175">
        <f>D28</f>
        <v>0</v>
      </c>
      <c r="E91" s="174"/>
      <c r="F91" s="175">
        <f>F28</f>
        <v>0</v>
      </c>
      <c r="G91" s="174"/>
      <c r="H91" s="175">
        <f>H28</f>
        <v>0</v>
      </c>
      <c r="I91" s="112"/>
    </row>
    <row r="92" spans="1:10" ht="18">
      <c r="A92" s="174" t="s">
        <v>382</v>
      </c>
      <c r="B92" s="175">
        <f>B24</f>
        <v>0</v>
      </c>
      <c r="C92" s="174"/>
      <c r="D92" s="175">
        <f>D24</f>
        <v>0</v>
      </c>
      <c r="E92" s="174"/>
      <c r="F92" s="175">
        <f>F24</f>
        <v>0</v>
      </c>
      <c r="G92" s="174"/>
      <c r="H92" s="175">
        <f>H24</f>
        <v>0</v>
      </c>
      <c r="I92" s="112"/>
    </row>
    <row r="93" spans="1:10" ht="18">
      <c r="A93" s="174" t="s">
        <v>383</v>
      </c>
      <c r="B93" s="175">
        <f>B18+B19+B20+B21</f>
        <v>0</v>
      </c>
      <c r="C93" s="174"/>
      <c r="D93" s="175">
        <f>D18+D19+D20+D21</f>
        <v>0</v>
      </c>
      <c r="E93" s="174"/>
      <c r="F93" s="175">
        <f>F18+F19+F20+F21</f>
        <v>0</v>
      </c>
      <c r="G93" s="174"/>
      <c r="H93" s="175">
        <f>H18+H19+H20+H21</f>
        <v>0</v>
      </c>
      <c r="I93" s="112"/>
    </row>
    <row r="94" spans="1:10" ht="26.25">
      <c r="A94" s="181" t="s">
        <v>384</v>
      </c>
      <c r="B94" s="182">
        <f>-B7</f>
        <v>0</v>
      </c>
      <c r="C94" s="180"/>
      <c r="D94" s="182">
        <f>-D7</f>
        <v>0</v>
      </c>
      <c r="E94" s="180"/>
      <c r="F94" s="182">
        <f>-F7</f>
        <v>0</v>
      </c>
      <c r="G94" s="180"/>
      <c r="H94" s="182">
        <f>-H7</f>
        <v>0</v>
      </c>
      <c r="I94" s="153"/>
    </row>
    <row r="95" spans="1:10" ht="18">
      <c r="A95" s="181"/>
      <c r="B95" s="182"/>
      <c r="C95" s="180"/>
      <c r="D95" s="182"/>
      <c r="E95" s="180"/>
      <c r="F95" s="182"/>
      <c r="G95" s="180"/>
      <c r="H95" s="182"/>
      <c r="I95" s="153"/>
    </row>
    <row r="96" spans="1:10" ht="18">
      <c r="A96" s="174" t="s">
        <v>385</v>
      </c>
      <c r="B96" s="175">
        <f>SUM(B86:B94)</f>
        <v>0</v>
      </c>
      <c r="C96" s="174"/>
      <c r="D96" s="175">
        <f>SUM(D86:D94)</f>
        <v>0</v>
      </c>
      <c r="E96" s="174"/>
      <c r="F96" s="175">
        <f>SUM(F86:F94)</f>
        <v>0</v>
      </c>
      <c r="G96" s="174"/>
      <c r="H96" s="175">
        <f>SUM(H86:H94)</f>
        <v>0</v>
      </c>
      <c r="I96" s="112"/>
    </row>
    <row r="97" spans="1:9" ht="18">
      <c r="A97" s="174" t="s">
        <v>386</v>
      </c>
      <c r="B97" s="175">
        <f>D57-B57</f>
        <v>0</v>
      </c>
      <c r="C97" s="174"/>
      <c r="D97" s="175">
        <f>F57-D57</f>
        <v>0</v>
      </c>
      <c r="E97" s="174"/>
      <c r="F97" s="175">
        <f>J57-F57</f>
        <v>0</v>
      </c>
      <c r="G97" s="174"/>
      <c r="H97" s="175">
        <f>L57-H57</f>
        <v>0</v>
      </c>
      <c r="I97" s="112"/>
    </row>
    <row r="98" spans="1:9" ht="18">
      <c r="A98" s="174" t="s">
        <v>387</v>
      </c>
      <c r="B98" s="175">
        <f>D56-B56</f>
        <v>0</v>
      </c>
      <c r="C98" s="174"/>
      <c r="D98" s="175">
        <f>F56-D56</f>
        <v>0</v>
      </c>
      <c r="E98" s="174"/>
      <c r="F98" s="175">
        <f>J56-F56</f>
        <v>0</v>
      </c>
      <c r="G98" s="174"/>
      <c r="H98" s="175">
        <f>L56-H56</f>
        <v>0</v>
      </c>
      <c r="I98" s="112"/>
    </row>
    <row r="99" spans="1:9" ht="18">
      <c r="A99" s="174" t="s">
        <v>388</v>
      </c>
      <c r="B99" s="175">
        <f>D61-B61</f>
        <v>0</v>
      </c>
      <c r="C99" s="174"/>
      <c r="D99" s="175">
        <f>F61-D61</f>
        <v>0</v>
      </c>
      <c r="E99" s="174"/>
      <c r="F99" s="175">
        <f>J61-F61</f>
        <v>0</v>
      </c>
      <c r="G99" s="174"/>
      <c r="H99" s="175">
        <f>L61-H61</f>
        <v>0</v>
      </c>
      <c r="I99" s="112"/>
    </row>
    <row r="100" spans="1:9" ht="18">
      <c r="A100" s="174" t="s">
        <v>389</v>
      </c>
      <c r="B100" s="175">
        <f>B44-D44</f>
        <v>0</v>
      </c>
      <c r="C100" s="174"/>
      <c r="D100" s="175">
        <f>D44-F44</f>
        <v>0</v>
      </c>
      <c r="E100" s="174"/>
      <c r="F100" s="175">
        <f>F44-J44</f>
        <v>0</v>
      </c>
      <c r="G100" s="174"/>
      <c r="H100" s="175">
        <f>H44-L44</f>
        <v>0</v>
      </c>
      <c r="I100" s="112"/>
    </row>
    <row r="101" spans="1:9" ht="18">
      <c r="A101" s="174" t="s">
        <v>390</v>
      </c>
      <c r="B101" s="175">
        <f>SUM(B97:B100)</f>
        <v>0</v>
      </c>
      <c r="C101" s="174"/>
      <c r="D101" s="175">
        <f>SUM(D97:D100)</f>
        <v>0</v>
      </c>
      <c r="E101" s="174"/>
      <c r="F101" s="175">
        <f>SUM(F97:F100)</f>
        <v>0</v>
      </c>
      <c r="G101" s="174"/>
      <c r="H101" s="175">
        <f>SUM(H97:H100)</f>
        <v>0</v>
      </c>
      <c r="I101" s="112"/>
    </row>
    <row r="102" spans="1:9" ht="18">
      <c r="A102" s="180" t="s">
        <v>391</v>
      </c>
      <c r="B102" s="182">
        <f>B96+B101</f>
        <v>0</v>
      </c>
      <c r="C102" s="180"/>
      <c r="D102" s="182">
        <f>D96+D101</f>
        <v>0</v>
      </c>
      <c r="E102" s="180"/>
      <c r="F102" s="182">
        <f>F96+F101</f>
        <v>0</v>
      </c>
      <c r="G102" s="180"/>
      <c r="H102" s="182">
        <f>H96+H101</f>
        <v>0</v>
      </c>
      <c r="I102" s="153"/>
    </row>
    <row r="103" spans="1:9" ht="18">
      <c r="A103" s="180"/>
      <c r="B103" s="182"/>
      <c r="C103" s="180"/>
      <c r="D103" s="182"/>
      <c r="E103" s="180"/>
      <c r="F103" s="182"/>
      <c r="G103" s="180"/>
      <c r="H103" s="182"/>
      <c r="I103" s="153"/>
    </row>
    <row r="104" spans="1:9" ht="18">
      <c r="A104" s="174" t="s">
        <v>392</v>
      </c>
      <c r="B104" s="175">
        <f>B24</f>
        <v>0</v>
      </c>
      <c r="C104" s="174"/>
      <c r="D104" s="175">
        <f>D24</f>
        <v>0</v>
      </c>
      <c r="E104" s="174"/>
      <c r="F104" s="175">
        <f>F24</f>
        <v>0</v>
      </c>
      <c r="G104" s="174"/>
      <c r="H104" s="175">
        <f>H24</f>
        <v>0</v>
      </c>
      <c r="I104" s="112"/>
    </row>
    <row r="105" spans="1:9" ht="18">
      <c r="A105" s="174"/>
      <c r="B105" s="175"/>
      <c r="C105" s="174"/>
      <c r="D105" s="175"/>
      <c r="E105" s="174"/>
      <c r="F105" s="175"/>
      <c r="G105" s="174"/>
      <c r="H105" s="175"/>
      <c r="I105" s="112"/>
    </row>
    <row r="106" spans="1:9" ht="18">
      <c r="A106" s="180" t="s">
        <v>393</v>
      </c>
      <c r="B106" s="175">
        <f>B102-B104</f>
        <v>0</v>
      </c>
      <c r="C106" s="174"/>
      <c r="D106" s="175">
        <f>D102-D104</f>
        <v>0</v>
      </c>
      <c r="E106" s="174"/>
      <c r="F106" s="175">
        <f>F102-F104</f>
        <v>0</v>
      </c>
      <c r="G106" s="174"/>
      <c r="H106" s="175">
        <f>H102-H104</f>
        <v>0</v>
      </c>
      <c r="I106" s="112"/>
    </row>
    <row r="107" spans="1:9" ht="18"/>
  </sheetData>
  <mergeCells count="9">
    <mergeCell ref="A67:H68"/>
    <mergeCell ref="A1:H2"/>
    <mergeCell ref="I1:I2"/>
    <mergeCell ref="A3:A4"/>
    <mergeCell ref="A32:A33"/>
    <mergeCell ref="B32:B33"/>
    <mergeCell ref="D32:D33"/>
    <mergeCell ref="F32:F33"/>
    <mergeCell ref="H32:H33"/>
  </mergeCells>
  <conditionalFormatting sqref="B65 B48">
    <cfRule type="expression" dxfId="197" priority="4">
      <formula>$B$48&lt;&gt;$B$65</formula>
    </cfRule>
  </conditionalFormatting>
  <conditionalFormatting sqref="D65 D48">
    <cfRule type="expression" dxfId="196" priority="3">
      <formula>$D$48&lt;&gt;$D$65</formula>
    </cfRule>
  </conditionalFormatting>
  <conditionalFormatting sqref="F48 F65">
    <cfRule type="expression" dxfId="195" priority="2">
      <formula>$F$65&lt;&gt;$F$48</formula>
    </cfRule>
  </conditionalFormatting>
  <conditionalFormatting sqref="H48 H65">
    <cfRule type="expression" dxfId="194" priority="1">
      <formula>$H$48&lt;&gt;$H$65</formula>
    </cfRule>
  </conditionalFormatting>
  <pageMargins left="0.78749999999999998" right="0.78749999999999998" top="1.0249999999999999" bottom="1.0249999999999999" header="0.78749999999999998" footer="0.78749999999999998"/>
  <pageSetup scale="58" firstPageNumber="0" orientation="portrait" horizontalDpi="300" verticalDpi="300" r:id="rId1"/>
  <headerFooter alignWithMargins="0">
    <oddHeader>&amp;C&amp;"Arial,Regular"&amp;10&amp;A</oddHeader>
    <oddFooter>&amp;C&amp;"Arial,Regular"&amp;10Page &amp;P</oddFooter>
  </headerFooter>
  <rowBreaks count="2" manualBreakCount="2">
    <brk id="30" max="16383" man="1"/>
    <brk id="6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L107"/>
  <sheetViews>
    <sheetView view="pageBreakPreview" topLeftCell="A67" zoomScale="85" zoomScaleSheetLayoutView="85" workbookViewId="0">
      <selection activeCell="B78" sqref="B78:H80"/>
    </sheetView>
  </sheetViews>
  <sheetFormatPr defaultColWidth="13.5703125" defaultRowHeight="32.1" customHeight="1"/>
  <cols>
    <col min="1" max="1" width="37.28515625" style="112" customWidth="1"/>
    <col min="2" max="2" width="10.42578125" style="112" customWidth="1"/>
    <col min="3" max="3" width="12.7109375" style="112" customWidth="1"/>
    <col min="4" max="4" width="10.140625" style="129" customWidth="1"/>
    <col min="5" max="5" width="12.28515625" style="112" customWidth="1"/>
    <col min="6" max="6" width="15.7109375" style="129" customWidth="1"/>
    <col min="7" max="7" width="12.28515625" style="112" customWidth="1"/>
    <col min="8" max="8" width="15.7109375" style="129" customWidth="1"/>
    <col min="9" max="9" width="17.42578125" style="129" bestFit="1" customWidth="1"/>
    <col min="10" max="10" width="22" style="112" customWidth="1"/>
    <col min="11" max="11" width="12" style="112" customWidth="1"/>
    <col min="12" max="16384" width="13.5703125" style="112"/>
  </cols>
  <sheetData>
    <row r="1" spans="1:10" ht="18">
      <c r="A1" s="751"/>
      <c r="B1" s="751"/>
      <c r="C1" s="751"/>
      <c r="D1" s="751"/>
      <c r="E1" s="751"/>
      <c r="F1" s="751"/>
      <c r="G1" s="751"/>
      <c r="H1" s="751"/>
      <c r="I1" s="752"/>
    </row>
    <row r="2" spans="1:10" ht="7.5" customHeight="1">
      <c r="A2" s="751"/>
      <c r="B2" s="751"/>
      <c r="C2" s="751"/>
      <c r="D2" s="751"/>
      <c r="E2" s="751"/>
      <c r="F2" s="751"/>
      <c r="G2" s="751"/>
      <c r="H2" s="751"/>
      <c r="I2" s="752"/>
    </row>
    <row r="3" spans="1:10" ht="18">
      <c r="A3" s="753" t="s">
        <v>301</v>
      </c>
      <c r="B3" s="113" t="s">
        <v>558</v>
      </c>
      <c r="C3" s="114" t="s">
        <v>303</v>
      </c>
      <c r="D3" s="113" t="s">
        <v>559</v>
      </c>
      <c r="E3" s="114" t="s">
        <v>303</v>
      </c>
      <c r="F3" s="113" t="s">
        <v>560</v>
      </c>
      <c r="G3" s="114" t="s">
        <v>303</v>
      </c>
      <c r="H3" s="113" t="s">
        <v>561</v>
      </c>
      <c r="I3" s="115"/>
    </row>
    <row r="4" spans="1:10" ht="18">
      <c r="A4" s="753"/>
      <c r="B4" s="114" t="s">
        <v>307</v>
      </c>
      <c r="C4" s="113" t="s">
        <v>562</v>
      </c>
      <c r="D4" s="114" t="s">
        <v>307</v>
      </c>
      <c r="E4" s="113" t="s">
        <v>563</v>
      </c>
      <c r="F4" s="114" t="s">
        <v>307</v>
      </c>
      <c r="G4" s="113" t="s">
        <v>564</v>
      </c>
      <c r="H4" s="114" t="s">
        <v>307</v>
      </c>
      <c r="I4" s="115"/>
    </row>
    <row r="5" spans="1:10" ht="18">
      <c r="A5" s="116" t="s">
        <v>185</v>
      </c>
      <c r="B5" s="117"/>
      <c r="C5" s="118" t="e">
        <f>(B5-D5)/D5*100</f>
        <v>#DIV/0!</v>
      </c>
      <c r="D5" s="117"/>
      <c r="E5" s="118" t="e">
        <f>(D5-F5)/F5*100</f>
        <v>#DIV/0!</v>
      </c>
      <c r="F5" s="119"/>
      <c r="G5" s="118" t="e">
        <f>(F5-H5)/H5*100</f>
        <v>#DIV/0!</v>
      </c>
      <c r="H5" s="119"/>
      <c r="I5" s="120"/>
    </row>
    <row r="6" spans="1:10" ht="25.35" customHeight="1">
      <c r="A6" s="121" t="s">
        <v>311</v>
      </c>
      <c r="B6" s="117"/>
      <c r="C6" s="118" t="e">
        <f>(B6-D6)/D6*100</f>
        <v>#DIV/0!</v>
      </c>
      <c r="D6" s="117"/>
      <c r="E6" s="118" t="e">
        <f>(D6-F6)/F6*100</f>
        <v>#DIV/0!</v>
      </c>
      <c r="F6" s="117"/>
      <c r="G6" s="118" t="e">
        <f>(F6-H6)/H6*100</f>
        <v>#DIV/0!</v>
      </c>
      <c r="H6" s="117"/>
      <c r="I6" s="120"/>
    </row>
    <row r="7" spans="1:10" ht="18">
      <c r="A7" s="121" t="s">
        <v>312</v>
      </c>
      <c r="B7" s="117"/>
      <c r="C7" s="118" t="e">
        <f>(B7-D7)/D7*100</f>
        <v>#DIV/0!</v>
      </c>
      <c r="D7" s="117"/>
      <c r="E7" s="118" t="e">
        <f>(D7-F7)/F7*100</f>
        <v>#DIV/0!</v>
      </c>
      <c r="F7" s="117"/>
      <c r="G7" s="118" t="e">
        <f>(F7-H7)/H7*100</f>
        <v>#DIV/0!</v>
      </c>
      <c r="H7" s="117"/>
      <c r="I7" s="120"/>
    </row>
    <row r="8" spans="1:10" ht="18.75" thickBot="1">
      <c r="A8" s="122" t="s">
        <v>313</v>
      </c>
      <c r="B8" s="123">
        <f>B5+B6+B7</f>
        <v>0</v>
      </c>
      <c r="C8" s="118" t="e">
        <f>(B8-D8)/D8*100</f>
        <v>#DIV/0!</v>
      </c>
      <c r="D8" s="123">
        <f>D5+D6+D7</f>
        <v>0</v>
      </c>
      <c r="E8" s="118" t="e">
        <f>(D8-F8)/F8*100</f>
        <v>#DIV/0!</v>
      </c>
      <c r="F8" s="123">
        <f>F5+F6+F7</f>
        <v>0</v>
      </c>
      <c r="G8" s="118" t="e">
        <f>(F8-H8)/H8*100</f>
        <v>#DIV/0!</v>
      </c>
      <c r="H8" s="123">
        <f>H5+H6+H7</f>
        <v>0</v>
      </c>
      <c r="I8" s="120"/>
    </row>
    <row r="9" spans="1:10" ht="39" thickBot="1">
      <c r="A9" s="122"/>
      <c r="B9" s="123"/>
      <c r="C9" s="124" t="s">
        <v>565</v>
      </c>
      <c r="D9" s="123"/>
      <c r="E9" s="124" t="s">
        <v>566</v>
      </c>
      <c r="F9" s="125"/>
      <c r="G9" s="124" t="s">
        <v>567</v>
      </c>
      <c r="H9" s="125"/>
      <c r="I9" s="126" t="s">
        <v>568</v>
      </c>
    </row>
    <row r="10" spans="1:10" ht="18.75" thickBot="1">
      <c r="A10" s="127" t="s">
        <v>314</v>
      </c>
      <c r="B10" s="117"/>
      <c r="C10" s="118" t="e">
        <f t="shared" ref="C10:C29" si="0">B10/$B$5*100</f>
        <v>#DIV/0!</v>
      </c>
      <c r="D10" s="117"/>
      <c r="E10" s="118" t="e">
        <f t="shared" ref="E10:E29" si="1">D10/$D$5*100</f>
        <v>#DIV/0!</v>
      </c>
      <c r="F10" s="117"/>
      <c r="G10" s="118" t="e">
        <f t="shared" ref="G10:G29" si="2">F10/$F$5*100</f>
        <v>#DIV/0!</v>
      </c>
      <c r="H10" s="117"/>
      <c r="I10" s="128" t="e">
        <f t="shared" ref="I10:I29" si="3">H10/$H$5*100</f>
        <v>#DIV/0!</v>
      </c>
    </row>
    <row r="11" spans="1:10" ht="18.75" thickBot="1">
      <c r="A11" s="127" t="s">
        <v>315</v>
      </c>
      <c r="B11" s="117"/>
      <c r="C11" s="118" t="e">
        <f t="shared" si="0"/>
        <v>#DIV/0!</v>
      </c>
      <c r="D11" s="117"/>
      <c r="E11" s="118" t="e">
        <f t="shared" si="1"/>
        <v>#DIV/0!</v>
      </c>
      <c r="F11" s="119"/>
      <c r="G11" s="118" t="e">
        <f t="shared" si="2"/>
        <v>#DIV/0!</v>
      </c>
      <c r="H11" s="119"/>
      <c r="I11" s="128" t="e">
        <f t="shared" si="3"/>
        <v>#DIV/0!</v>
      </c>
      <c r="J11" s="129"/>
    </row>
    <row r="12" spans="1:10" ht="18.75" thickBot="1">
      <c r="A12" s="127" t="s">
        <v>316</v>
      </c>
      <c r="B12" s="117"/>
      <c r="C12" s="118" t="e">
        <f t="shared" si="0"/>
        <v>#DIV/0!</v>
      </c>
      <c r="D12" s="117"/>
      <c r="E12" s="118" t="e">
        <f t="shared" si="1"/>
        <v>#DIV/0!</v>
      </c>
      <c r="F12" s="119"/>
      <c r="G12" s="118" t="e">
        <f t="shared" si="2"/>
        <v>#DIV/0!</v>
      </c>
      <c r="H12" s="119"/>
      <c r="I12" s="128" t="e">
        <f t="shared" si="3"/>
        <v>#DIV/0!</v>
      </c>
    </row>
    <row r="13" spans="1:10" ht="18.75" thickBot="1">
      <c r="A13" s="130" t="s">
        <v>317</v>
      </c>
      <c r="B13" s="131">
        <f>B8-B10-B11-B12</f>
        <v>0</v>
      </c>
      <c r="C13" s="118" t="e">
        <f t="shared" si="0"/>
        <v>#DIV/0!</v>
      </c>
      <c r="D13" s="131">
        <f>D8-D10-D11-D12</f>
        <v>0</v>
      </c>
      <c r="E13" s="118" t="e">
        <f t="shared" si="1"/>
        <v>#DIV/0!</v>
      </c>
      <c r="F13" s="131">
        <f>F8-F10-F11-F12</f>
        <v>0</v>
      </c>
      <c r="G13" s="118" t="e">
        <f t="shared" si="2"/>
        <v>#DIV/0!</v>
      </c>
      <c r="H13" s="131">
        <f>H8-H10-H11-H12</f>
        <v>0</v>
      </c>
      <c r="I13" s="128" t="e">
        <f t="shared" si="3"/>
        <v>#DIV/0!</v>
      </c>
    </row>
    <row r="14" spans="1:10" ht="18.75" thickBot="1">
      <c r="A14" s="132" t="s">
        <v>318</v>
      </c>
      <c r="B14" s="117"/>
      <c r="C14" s="118" t="e">
        <f t="shared" si="0"/>
        <v>#DIV/0!</v>
      </c>
      <c r="D14" s="117"/>
      <c r="E14" s="118" t="e">
        <f t="shared" si="1"/>
        <v>#DIV/0!</v>
      </c>
      <c r="F14" s="119"/>
      <c r="G14" s="118" t="e">
        <f t="shared" si="2"/>
        <v>#DIV/0!</v>
      </c>
      <c r="H14" s="119"/>
      <c r="I14" s="128" t="e">
        <f t="shared" si="3"/>
        <v>#DIV/0!</v>
      </c>
      <c r="J14" s="129"/>
    </row>
    <row r="15" spans="1:10" ht="18.75" thickBot="1">
      <c r="A15" s="132" t="s">
        <v>319</v>
      </c>
      <c r="B15" s="117"/>
      <c r="C15" s="118" t="e">
        <f t="shared" si="0"/>
        <v>#DIV/0!</v>
      </c>
      <c r="D15" s="117"/>
      <c r="E15" s="118" t="e">
        <f t="shared" si="1"/>
        <v>#DIV/0!</v>
      </c>
      <c r="F15" s="119"/>
      <c r="G15" s="118" t="e">
        <f t="shared" si="2"/>
        <v>#DIV/0!</v>
      </c>
      <c r="H15" s="119"/>
      <c r="I15" s="128" t="e">
        <f t="shared" si="3"/>
        <v>#DIV/0!</v>
      </c>
      <c r="J15" s="129"/>
    </row>
    <row r="16" spans="1:10" ht="18.75" thickBot="1">
      <c r="A16" s="130" t="s">
        <v>320</v>
      </c>
      <c r="B16" s="131">
        <f>B13-B14-B15</f>
        <v>0</v>
      </c>
      <c r="C16" s="118" t="e">
        <f t="shared" si="0"/>
        <v>#DIV/0!</v>
      </c>
      <c r="D16" s="131">
        <f>D13-D14-D15</f>
        <v>0</v>
      </c>
      <c r="E16" s="118" t="e">
        <f t="shared" si="1"/>
        <v>#DIV/0!</v>
      </c>
      <c r="F16" s="131">
        <f>F13-F14-F15</f>
        <v>0</v>
      </c>
      <c r="G16" s="118" t="e">
        <f t="shared" si="2"/>
        <v>#DIV/0!</v>
      </c>
      <c r="H16" s="131">
        <f>H13-H14-H15</f>
        <v>0</v>
      </c>
      <c r="I16" s="128" t="e">
        <f t="shared" si="3"/>
        <v>#DIV/0!</v>
      </c>
    </row>
    <row r="17" spans="1:12" ht="18.75" thickBot="1">
      <c r="A17" s="133" t="s">
        <v>218</v>
      </c>
      <c r="B17" s="117"/>
      <c r="C17" s="118" t="e">
        <f t="shared" si="0"/>
        <v>#DIV/0!</v>
      </c>
      <c r="D17" s="117"/>
      <c r="E17" s="118" t="e">
        <f t="shared" si="1"/>
        <v>#DIV/0!</v>
      </c>
      <c r="F17" s="119"/>
      <c r="G17" s="118" t="e">
        <f t="shared" si="2"/>
        <v>#DIV/0!</v>
      </c>
      <c r="H17" s="119"/>
      <c r="I17" s="128" t="e">
        <f t="shared" si="3"/>
        <v>#DIV/0!</v>
      </c>
      <c r="L17" s="134"/>
    </row>
    <row r="18" spans="1:12" s="134" customFormat="1" ht="18.75" thickBot="1">
      <c r="A18" s="127" t="s">
        <v>321</v>
      </c>
      <c r="B18" s="117"/>
      <c r="C18" s="118" t="e">
        <f t="shared" si="0"/>
        <v>#DIV/0!</v>
      </c>
      <c r="D18" s="117"/>
      <c r="E18" s="118" t="e">
        <f t="shared" si="1"/>
        <v>#DIV/0!</v>
      </c>
      <c r="F18" s="119"/>
      <c r="G18" s="118" t="e">
        <f t="shared" si="2"/>
        <v>#DIV/0!</v>
      </c>
      <c r="H18" s="119"/>
      <c r="I18" s="128" t="e">
        <f t="shared" si="3"/>
        <v>#DIV/0!</v>
      </c>
      <c r="L18" s="112"/>
    </row>
    <row r="19" spans="1:12" s="134" customFormat="1" ht="18.75" thickBot="1">
      <c r="A19" s="127" t="s">
        <v>322</v>
      </c>
      <c r="B19" s="117"/>
      <c r="C19" s="118" t="e">
        <f t="shared" si="0"/>
        <v>#DIV/0!</v>
      </c>
      <c r="D19" s="117"/>
      <c r="E19" s="118" t="e">
        <f t="shared" si="1"/>
        <v>#DIV/0!</v>
      </c>
      <c r="F19" s="119"/>
      <c r="G19" s="118" t="e">
        <f t="shared" si="2"/>
        <v>#DIV/0!</v>
      </c>
      <c r="H19" s="119"/>
      <c r="I19" s="128" t="e">
        <f t="shared" si="3"/>
        <v>#DIV/0!</v>
      </c>
      <c r="L19" s="112"/>
    </row>
    <row r="20" spans="1:12" s="134" customFormat="1" ht="18.75" thickBot="1">
      <c r="A20" s="127" t="s">
        <v>323</v>
      </c>
      <c r="B20" s="117"/>
      <c r="C20" s="118" t="e">
        <f t="shared" si="0"/>
        <v>#DIV/0!</v>
      </c>
      <c r="D20" s="117"/>
      <c r="E20" s="118" t="e">
        <f t="shared" si="1"/>
        <v>#DIV/0!</v>
      </c>
      <c r="F20" s="119"/>
      <c r="G20" s="118" t="e">
        <f t="shared" si="2"/>
        <v>#DIV/0!</v>
      </c>
      <c r="H20" s="119"/>
      <c r="I20" s="128" t="e">
        <f t="shared" si="3"/>
        <v>#DIV/0!</v>
      </c>
      <c r="L20" s="112"/>
    </row>
    <row r="21" spans="1:12" s="134" customFormat="1" ht="18.75" thickBot="1">
      <c r="A21" s="127" t="s">
        <v>324</v>
      </c>
      <c r="B21" s="117"/>
      <c r="C21" s="118" t="e">
        <f t="shared" si="0"/>
        <v>#DIV/0!</v>
      </c>
      <c r="D21" s="117"/>
      <c r="E21" s="118" t="e">
        <f t="shared" si="1"/>
        <v>#DIV/0!</v>
      </c>
      <c r="F21" s="119"/>
      <c r="G21" s="118" t="e">
        <f t="shared" si="2"/>
        <v>#DIV/0!</v>
      </c>
      <c r="H21" s="119"/>
      <c r="I21" s="128" t="e">
        <f t="shared" si="3"/>
        <v>#DIV/0!</v>
      </c>
      <c r="L21" s="112"/>
    </row>
    <row r="22" spans="1:12" ht="18.75" thickBot="1">
      <c r="A22" s="133" t="s">
        <v>325</v>
      </c>
      <c r="B22" s="117"/>
      <c r="C22" s="118" t="e">
        <f t="shared" si="0"/>
        <v>#DIV/0!</v>
      </c>
      <c r="D22" s="117"/>
      <c r="E22" s="118" t="e">
        <f t="shared" si="1"/>
        <v>#DIV/0!</v>
      </c>
      <c r="F22" s="119"/>
      <c r="G22" s="118" t="e">
        <f t="shared" si="2"/>
        <v>#DIV/0!</v>
      </c>
      <c r="H22" s="119"/>
      <c r="I22" s="128" t="e">
        <f t="shared" si="3"/>
        <v>#DIV/0!</v>
      </c>
    </row>
    <row r="23" spans="1:12" ht="18.75" thickBot="1">
      <c r="A23" s="135" t="s">
        <v>326</v>
      </c>
      <c r="B23" s="136">
        <f>B16-B17-B18-B22-B21-B19-B20</f>
        <v>0</v>
      </c>
      <c r="C23" s="118" t="e">
        <f t="shared" si="0"/>
        <v>#DIV/0!</v>
      </c>
      <c r="D23" s="136">
        <f>D16-D17-D18-D22-D21-D19-D20</f>
        <v>0</v>
      </c>
      <c r="E23" s="118" t="e">
        <f t="shared" si="1"/>
        <v>#DIV/0!</v>
      </c>
      <c r="F23" s="136">
        <f>F16-F17-F18-F22-F21-F19-F20</f>
        <v>0</v>
      </c>
      <c r="G23" s="118" t="e">
        <f t="shared" si="2"/>
        <v>#DIV/0!</v>
      </c>
      <c r="H23" s="136">
        <f>H16-H17-H18-H22-H21-H19-H20</f>
        <v>0</v>
      </c>
      <c r="I23" s="128" t="e">
        <f t="shared" si="3"/>
        <v>#DIV/0!</v>
      </c>
    </row>
    <row r="24" spans="1:12" ht="18.75" thickBot="1">
      <c r="A24" s="121" t="s">
        <v>327</v>
      </c>
      <c r="B24" s="117"/>
      <c r="C24" s="118" t="e">
        <f t="shared" si="0"/>
        <v>#DIV/0!</v>
      </c>
      <c r="D24" s="117"/>
      <c r="E24" s="118" t="e">
        <f t="shared" si="1"/>
        <v>#DIV/0!</v>
      </c>
      <c r="F24" s="117"/>
      <c r="G24" s="118" t="e">
        <f t="shared" si="2"/>
        <v>#DIV/0!</v>
      </c>
      <c r="H24" s="117"/>
      <c r="I24" s="128" t="e">
        <f t="shared" si="3"/>
        <v>#DIV/0!</v>
      </c>
      <c r="K24" s="137"/>
    </row>
    <row r="25" spans="1:12" ht="18.75" thickBot="1">
      <c r="A25" s="138" t="s">
        <v>186</v>
      </c>
      <c r="B25" s="123">
        <f>B23-B24</f>
        <v>0</v>
      </c>
      <c r="C25" s="139" t="e">
        <f t="shared" si="0"/>
        <v>#DIV/0!</v>
      </c>
      <c r="D25" s="123">
        <f>D23-D24</f>
        <v>0</v>
      </c>
      <c r="E25" s="139" t="e">
        <f t="shared" si="1"/>
        <v>#DIV/0!</v>
      </c>
      <c r="F25" s="123">
        <f>F23-F24</f>
        <v>0</v>
      </c>
      <c r="G25" s="118" t="e">
        <f t="shared" si="2"/>
        <v>#DIV/0!</v>
      </c>
      <c r="H25" s="123">
        <f>H23-H24</f>
        <v>0</v>
      </c>
      <c r="I25" s="128" t="e">
        <f t="shared" si="3"/>
        <v>#DIV/0!</v>
      </c>
      <c r="J25" s="140"/>
    </row>
    <row r="26" spans="1:12" ht="18.75" thickBot="1">
      <c r="A26" s="135" t="s">
        <v>328</v>
      </c>
      <c r="B26" s="136">
        <f>B25+B17+B22</f>
        <v>0</v>
      </c>
      <c r="C26" s="118" t="e">
        <f t="shared" si="0"/>
        <v>#DIV/0!</v>
      </c>
      <c r="D26" s="136">
        <f>D25+D17+D22</f>
        <v>0</v>
      </c>
      <c r="E26" s="118" t="e">
        <f t="shared" si="1"/>
        <v>#DIV/0!</v>
      </c>
      <c r="F26" s="136">
        <f>F25+F17+F22</f>
        <v>0</v>
      </c>
      <c r="G26" s="118" t="e">
        <f t="shared" si="2"/>
        <v>#DIV/0!</v>
      </c>
      <c r="H26" s="136">
        <f>H25+H17+H22</f>
        <v>0</v>
      </c>
      <c r="I26" s="128" t="e">
        <f t="shared" si="3"/>
        <v>#DIV/0!</v>
      </c>
    </row>
    <row r="27" spans="1:12" ht="18.75" thickBot="1">
      <c r="A27" s="141" t="s">
        <v>329</v>
      </c>
      <c r="B27" s="117"/>
      <c r="C27" s="118" t="e">
        <f t="shared" si="0"/>
        <v>#DIV/0!</v>
      </c>
      <c r="D27" s="117"/>
      <c r="E27" s="118" t="e">
        <f t="shared" si="1"/>
        <v>#DIV/0!</v>
      </c>
      <c r="F27" s="117"/>
      <c r="G27" s="118" t="e">
        <f t="shared" si="2"/>
        <v>#DIV/0!</v>
      </c>
      <c r="H27" s="117"/>
      <c r="I27" s="128" t="e">
        <f t="shared" si="3"/>
        <v>#DIV/0!</v>
      </c>
    </row>
    <row r="28" spans="1:12" ht="18.75" thickBot="1">
      <c r="A28" s="141" t="s">
        <v>220</v>
      </c>
      <c r="B28" s="117"/>
      <c r="C28" s="118" t="e">
        <f t="shared" si="0"/>
        <v>#DIV/0!</v>
      </c>
      <c r="D28" s="117"/>
      <c r="E28" s="118" t="e">
        <f t="shared" si="1"/>
        <v>#DIV/0!</v>
      </c>
      <c r="F28" s="117"/>
      <c r="G28" s="118" t="e">
        <f t="shared" si="2"/>
        <v>#DIV/0!</v>
      </c>
      <c r="H28" s="117"/>
      <c r="I28" s="128" t="e">
        <f t="shared" si="3"/>
        <v>#DIV/0!</v>
      </c>
    </row>
    <row r="29" spans="1:12" ht="18.75" thickBot="1">
      <c r="A29" s="142" t="s">
        <v>187</v>
      </c>
      <c r="B29" s="143">
        <f>B26+B27+B28</f>
        <v>0</v>
      </c>
      <c r="C29" s="139" t="e">
        <f t="shared" si="0"/>
        <v>#DIV/0!</v>
      </c>
      <c r="D29" s="143">
        <f>D26+D27+D28</f>
        <v>0</v>
      </c>
      <c r="E29" s="139" t="e">
        <f t="shared" si="1"/>
        <v>#DIV/0!</v>
      </c>
      <c r="F29" s="143">
        <f>F26+F27+F28</f>
        <v>0</v>
      </c>
      <c r="G29" s="118" t="e">
        <f t="shared" si="2"/>
        <v>#DIV/0!</v>
      </c>
      <c r="H29" s="143">
        <f>H26+H27+H28</f>
        <v>0</v>
      </c>
      <c r="I29" s="128" t="e">
        <f t="shared" si="3"/>
        <v>#DIV/0!</v>
      </c>
    </row>
    <row r="30" spans="1:12" ht="18.75" thickBot="1">
      <c r="A30" s="142"/>
      <c r="B30" s="143"/>
      <c r="C30" s="139"/>
      <c r="D30" s="143"/>
      <c r="E30" s="139"/>
      <c r="F30" s="143"/>
      <c r="G30" s="139"/>
      <c r="H30" s="143"/>
      <c r="I30" s="144"/>
      <c r="J30" s="145"/>
    </row>
    <row r="31" spans="1:12" ht="18">
      <c r="A31" s="146"/>
      <c r="B31" s="147"/>
      <c r="C31" s="148"/>
      <c r="D31" s="147"/>
      <c r="E31" s="148"/>
      <c r="F31" s="147"/>
      <c r="G31" s="148"/>
      <c r="H31" s="147"/>
      <c r="I31" s="149" t="s">
        <v>330</v>
      </c>
    </row>
    <row r="32" spans="1:12" ht="18">
      <c r="A32" s="753" t="s">
        <v>331</v>
      </c>
      <c r="B32" s="754" t="str">
        <f>B3</f>
        <v>31.03.2021</v>
      </c>
      <c r="C32" s="150" t="s">
        <v>303</v>
      </c>
      <c r="D32" s="754" t="str">
        <f>D3</f>
        <v>31.03.2020</v>
      </c>
      <c r="E32" s="150" t="s">
        <v>303</v>
      </c>
      <c r="F32" s="754" t="str">
        <f>F3</f>
        <v>31.03.2019</v>
      </c>
      <c r="G32" s="150" t="s">
        <v>303</v>
      </c>
      <c r="H32" s="755" t="s">
        <v>306</v>
      </c>
      <c r="I32" s="151"/>
    </row>
    <row r="33" spans="1:10" ht="18">
      <c r="A33" s="753"/>
      <c r="B33" s="754"/>
      <c r="C33" s="152" t="str">
        <f>C4</f>
        <v>In 2021</v>
      </c>
      <c r="D33" s="754"/>
      <c r="E33" s="152" t="str">
        <f>E4</f>
        <v>In 2020</v>
      </c>
      <c r="F33" s="754"/>
      <c r="G33" s="152" t="str">
        <f>G4</f>
        <v>In 2019</v>
      </c>
      <c r="H33" s="755"/>
      <c r="I33" s="153"/>
    </row>
    <row r="34" spans="1:10" ht="18">
      <c r="A34" s="154" t="s">
        <v>332</v>
      </c>
      <c r="B34" s="117"/>
      <c r="C34" s="118" t="e">
        <f t="shared" ref="C34:C65" si="4">(B34-D34)/D34*100</f>
        <v>#DIV/0!</v>
      </c>
      <c r="D34" s="117"/>
      <c r="E34" s="118" t="e">
        <f t="shared" ref="E34:E65" si="5">(D34-F34)/F34*100</f>
        <v>#DIV/0!</v>
      </c>
      <c r="F34" s="117"/>
      <c r="G34" s="118" t="e">
        <f t="shared" ref="G34:G65" si="6">(F34-H34)/H34*100</f>
        <v>#DIV/0!</v>
      </c>
      <c r="H34" s="117"/>
      <c r="I34" s="112"/>
    </row>
    <row r="35" spans="1:10" ht="26.25">
      <c r="A35" s="154" t="s">
        <v>333</v>
      </c>
      <c r="B35" s="117"/>
      <c r="C35" s="118" t="e">
        <f t="shared" si="4"/>
        <v>#DIV/0!</v>
      </c>
      <c r="D35" s="117"/>
      <c r="E35" s="118" t="e">
        <f t="shared" si="5"/>
        <v>#DIV/0!</v>
      </c>
      <c r="F35" s="119"/>
      <c r="G35" s="118" t="e">
        <f t="shared" si="6"/>
        <v>#DIV/0!</v>
      </c>
      <c r="H35" s="119"/>
      <c r="I35" s="112"/>
    </row>
    <row r="36" spans="1:10" ht="18">
      <c r="A36" s="155" t="s">
        <v>188</v>
      </c>
      <c r="B36" s="123">
        <f>SUM(B34:B35)</f>
        <v>0</v>
      </c>
      <c r="C36" s="118" t="e">
        <f t="shared" si="4"/>
        <v>#DIV/0!</v>
      </c>
      <c r="D36" s="123">
        <f>SUM(D34:D35)</f>
        <v>0</v>
      </c>
      <c r="E36" s="118" t="e">
        <f t="shared" si="5"/>
        <v>#DIV/0!</v>
      </c>
      <c r="F36" s="136">
        <f>SUM(F34:F35)</f>
        <v>0</v>
      </c>
      <c r="G36" s="118" t="e">
        <f t="shared" si="6"/>
        <v>#DIV/0!</v>
      </c>
      <c r="H36" s="136">
        <f>SUM(H34:H35)</f>
        <v>0</v>
      </c>
      <c r="I36" s="112"/>
    </row>
    <row r="37" spans="1:10" ht="18">
      <c r="A37" s="154" t="s">
        <v>334</v>
      </c>
      <c r="B37" s="117"/>
      <c r="C37" s="118" t="e">
        <f t="shared" si="4"/>
        <v>#DIV/0!</v>
      </c>
      <c r="D37" s="117"/>
      <c r="E37" s="118" t="e">
        <f t="shared" si="5"/>
        <v>#DIV/0!</v>
      </c>
      <c r="F37" s="117"/>
      <c r="G37" s="118" t="e">
        <f t="shared" si="6"/>
        <v>#DIV/0!</v>
      </c>
      <c r="H37" s="117"/>
      <c r="I37" s="112"/>
    </row>
    <row r="38" spans="1:10" ht="18">
      <c r="A38" s="155" t="s">
        <v>335</v>
      </c>
      <c r="B38" s="123">
        <f>B34+B35+B43-B62-B64-B52</f>
        <v>0</v>
      </c>
      <c r="C38" s="118" t="e">
        <f t="shared" si="4"/>
        <v>#DIV/0!</v>
      </c>
      <c r="D38" s="123">
        <f>D34+D35+D43-D62-D64-D52</f>
        <v>0</v>
      </c>
      <c r="E38" s="118" t="e">
        <f t="shared" si="5"/>
        <v>#DIV/0!</v>
      </c>
      <c r="F38" s="136">
        <f>F34+F35+F43-F62-F64-F52</f>
        <v>0</v>
      </c>
      <c r="G38" s="118" t="e">
        <f t="shared" si="6"/>
        <v>#DIV/0!</v>
      </c>
      <c r="H38" s="136">
        <f>H34+H35+H43-H62-H64-H52</f>
        <v>0</v>
      </c>
      <c r="I38" s="112"/>
    </row>
    <row r="39" spans="1:10" ht="18">
      <c r="A39" s="154" t="s">
        <v>189</v>
      </c>
      <c r="B39" s="117"/>
      <c r="C39" s="118" t="e">
        <f t="shared" si="4"/>
        <v>#DIV/0!</v>
      </c>
      <c r="D39" s="117"/>
      <c r="E39" s="118" t="e">
        <f t="shared" si="5"/>
        <v>#DIV/0!</v>
      </c>
      <c r="F39" s="119"/>
      <c r="G39" s="118" t="e">
        <f t="shared" si="6"/>
        <v>#DIV/0!</v>
      </c>
      <c r="H39" s="119"/>
    </row>
    <row r="40" spans="1:10" ht="18">
      <c r="A40" s="154" t="s">
        <v>190</v>
      </c>
      <c r="B40" s="117"/>
      <c r="C40" s="118" t="e">
        <f t="shared" si="4"/>
        <v>#DIV/0!</v>
      </c>
      <c r="D40" s="117"/>
      <c r="E40" s="118" t="e">
        <f t="shared" si="5"/>
        <v>#DIV/0!</v>
      </c>
      <c r="F40" s="119"/>
      <c r="G40" s="118" t="e">
        <f t="shared" si="6"/>
        <v>#DIV/0!</v>
      </c>
      <c r="H40" s="119"/>
      <c r="I40" s="156"/>
      <c r="J40" s="157"/>
    </row>
    <row r="41" spans="1:10" ht="18">
      <c r="A41" s="158" t="s">
        <v>336</v>
      </c>
      <c r="B41" s="159">
        <f>B39+B40</f>
        <v>0</v>
      </c>
      <c r="C41" s="118" t="e">
        <f t="shared" si="4"/>
        <v>#DIV/0!</v>
      </c>
      <c r="D41" s="159">
        <f>D39+D40</f>
        <v>0</v>
      </c>
      <c r="E41" s="118" t="e">
        <f t="shared" si="5"/>
        <v>#DIV/0!</v>
      </c>
      <c r="F41" s="159">
        <f>F39+F40</f>
        <v>0</v>
      </c>
      <c r="G41" s="118" t="e">
        <f t="shared" si="6"/>
        <v>#DIV/0!</v>
      </c>
      <c r="H41" s="159">
        <f>H39+H40</f>
        <v>0</v>
      </c>
      <c r="I41" s="112"/>
      <c r="J41" s="157"/>
    </row>
    <row r="42" spans="1:10" ht="18">
      <c r="A42" s="154" t="s">
        <v>337</v>
      </c>
      <c r="B42" s="117"/>
      <c r="C42" s="118" t="e">
        <f t="shared" si="4"/>
        <v>#DIV/0!</v>
      </c>
      <c r="D42" s="117"/>
      <c r="E42" s="118" t="e">
        <f t="shared" si="5"/>
        <v>#DIV/0!</v>
      </c>
      <c r="F42" s="119"/>
      <c r="G42" s="118" t="e">
        <f t="shared" si="6"/>
        <v>#DIV/0!</v>
      </c>
      <c r="H42" s="119"/>
      <c r="I42" s="112"/>
    </row>
    <row r="43" spans="1:10" ht="26.25">
      <c r="A43" s="160" t="s">
        <v>338</v>
      </c>
      <c r="B43" s="117"/>
      <c r="C43" s="118" t="e">
        <f t="shared" si="4"/>
        <v>#DIV/0!</v>
      </c>
      <c r="D43" s="117"/>
      <c r="E43" s="118" t="e">
        <f t="shared" si="5"/>
        <v>#DIV/0!</v>
      </c>
      <c r="F43" s="119"/>
      <c r="G43" s="118" t="e">
        <f t="shared" si="6"/>
        <v>#DIV/0!</v>
      </c>
      <c r="H43" s="119"/>
      <c r="I43" s="112"/>
    </row>
    <row r="44" spans="1:10" ht="18">
      <c r="A44" s="161" t="s">
        <v>339</v>
      </c>
      <c r="B44" s="162">
        <f>B45+B46</f>
        <v>0</v>
      </c>
      <c r="C44" s="118" t="e">
        <f t="shared" si="4"/>
        <v>#DIV/0!</v>
      </c>
      <c r="D44" s="162">
        <f>D45+D46</f>
        <v>0</v>
      </c>
      <c r="E44" s="118" t="e">
        <f t="shared" si="5"/>
        <v>#DIV/0!</v>
      </c>
      <c r="F44" s="162">
        <f>F45+F46</f>
        <v>0</v>
      </c>
      <c r="G44" s="118" t="e">
        <f t="shared" si="6"/>
        <v>#DIV/0!</v>
      </c>
      <c r="H44" s="162">
        <f>H45+H46</f>
        <v>0</v>
      </c>
      <c r="I44" s="112"/>
    </row>
    <row r="45" spans="1:10" ht="18">
      <c r="A45" s="163" t="s">
        <v>340</v>
      </c>
      <c r="B45" s="117"/>
      <c r="C45" s="118" t="e">
        <f t="shared" si="4"/>
        <v>#DIV/0!</v>
      </c>
      <c r="D45" s="117"/>
      <c r="E45" s="118" t="e">
        <f t="shared" si="5"/>
        <v>#DIV/0!</v>
      </c>
      <c r="F45" s="119"/>
      <c r="G45" s="118" t="e">
        <f t="shared" si="6"/>
        <v>#DIV/0!</v>
      </c>
      <c r="H45" s="119"/>
      <c r="I45" s="112"/>
    </row>
    <row r="46" spans="1:10" ht="18">
      <c r="A46" s="154" t="s">
        <v>341</v>
      </c>
      <c r="B46" s="117"/>
      <c r="C46" s="118" t="e">
        <f t="shared" si="4"/>
        <v>#DIV/0!</v>
      </c>
      <c r="D46" s="117"/>
      <c r="E46" s="118" t="e">
        <f t="shared" si="5"/>
        <v>#DIV/0!</v>
      </c>
      <c r="F46" s="119"/>
      <c r="G46" s="118" t="e">
        <f t="shared" si="6"/>
        <v>#DIV/0!</v>
      </c>
      <c r="H46" s="119"/>
      <c r="I46" s="112"/>
    </row>
    <row r="47" spans="1:10" ht="18">
      <c r="A47" s="164" t="s">
        <v>342</v>
      </c>
      <c r="B47" s="136">
        <f>B41+B42+B44</f>
        <v>0</v>
      </c>
      <c r="C47" s="118" t="e">
        <f t="shared" si="4"/>
        <v>#DIV/0!</v>
      </c>
      <c r="D47" s="136">
        <f>D41+D42+D44</f>
        <v>0</v>
      </c>
      <c r="E47" s="118" t="e">
        <f t="shared" si="5"/>
        <v>#DIV/0!</v>
      </c>
      <c r="F47" s="136">
        <f>F41+F42+F44</f>
        <v>0</v>
      </c>
      <c r="G47" s="118" t="e">
        <f t="shared" si="6"/>
        <v>#DIV/0!</v>
      </c>
      <c r="H47" s="136">
        <f>H41+H42+H44</f>
        <v>0</v>
      </c>
      <c r="I47" s="112"/>
    </row>
    <row r="48" spans="1:10" ht="18">
      <c r="A48" s="198" t="s">
        <v>343</v>
      </c>
      <c r="B48" s="199">
        <f>B36+B37+B41+B42+B43+B44</f>
        <v>0</v>
      </c>
      <c r="C48" s="200" t="e">
        <f t="shared" si="4"/>
        <v>#DIV/0!</v>
      </c>
      <c r="D48" s="199">
        <f>D36+D37+D41+D42+D43+D44</f>
        <v>0</v>
      </c>
      <c r="E48" s="200" t="e">
        <f t="shared" si="5"/>
        <v>#DIV/0!</v>
      </c>
      <c r="F48" s="199">
        <f>F36+F37+F41+F42+F43+F44</f>
        <v>0</v>
      </c>
      <c r="G48" s="200" t="e">
        <f t="shared" si="6"/>
        <v>#DIV/0!</v>
      </c>
      <c r="H48" s="199">
        <f>H36+H37+H41+H42+H43+H44</f>
        <v>0</v>
      </c>
      <c r="I48" s="112"/>
    </row>
    <row r="49" spans="1:9" ht="18">
      <c r="A49" s="160" t="s">
        <v>344</v>
      </c>
      <c r="B49" s="117"/>
      <c r="C49" s="118" t="e">
        <f t="shared" si="4"/>
        <v>#DIV/0!</v>
      </c>
      <c r="D49" s="117"/>
      <c r="E49" s="118" t="e">
        <f t="shared" si="5"/>
        <v>#DIV/0!</v>
      </c>
      <c r="F49" s="119"/>
      <c r="G49" s="118" t="e">
        <f t="shared" si="6"/>
        <v>#DIV/0!</v>
      </c>
      <c r="H49" s="119"/>
      <c r="I49" s="165"/>
    </row>
    <row r="50" spans="1:9" ht="18">
      <c r="A50" s="166" t="s">
        <v>345</v>
      </c>
      <c r="B50" s="136">
        <f>B51+B53+B52</f>
        <v>0</v>
      </c>
      <c r="C50" s="118" t="e">
        <f t="shared" si="4"/>
        <v>#DIV/0!</v>
      </c>
      <c r="D50" s="136">
        <f>D51+D53+D52</f>
        <v>0</v>
      </c>
      <c r="E50" s="118" t="e">
        <f t="shared" si="5"/>
        <v>#DIV/0!</v>
      </c>
      <c r="F50" s="136">
        <f>F51+F53+F52</f>
        <v>0</v>
      </c>
      <c r="G50" s="118" t="e">
        <f t="shared" si="6"/>
        <v>#DIV/0!</v>
      </c>
      <c r="H50" s="136">
        <f>H51+H53+H52</f>
        <v>0</v>
      </c>
      <c r="I50" s="112"/>
    </row>
    <row r="51" spans="1:9" ht="18">
      <c r="A51" s="167" t="s">
        <v>346</v>
      </c>
      <c r="B51" s="117"/>
      <c r="C51" s="118" t="e">
        <f t="shared" si="4"/>
        <v>#DIV/0!</v>
      </c>
      <c r="D51" s="117"/>
      <c r="E51" s="118" t="e">
        <f t="shared" si="5"/>
        <v>#DIV/0!</v>
      </c>
      <c r="F51" s="119"/>
      <c r="G51" s="118" t="e">
        <f t="shared" si="6"/>
        <v>#DIV/0!</v>
      </c>
      <c r="H51" s="119"/>
      <c r="I51" s="112"/>
    </row>
    <row r="52" spans="1:9" ht="18">
      <c r="A52" s="167" t="s">
        <v>347</v>
      </c>
      <c r="B52" s="117"/>
      <c r="C52" s="118" t="e">
        <f t="shared" si="4"/>
        <v>#DIV/0!</v>
      </c>
      <c r="D52" s="117"/>
      <c r="E52" s="118" t="e">
        <f t="shared" si="5"/>
        <v>#DIV/0!</v>
      </c>
      <c r="F52" s="117"/>
      <c r="G52" s="118" t="e">
        <f t="shared" si="6"/>
        <v>#DIV/0!</v>
      </c>
      <c r="H52" s="117"/>
      <c r="I52" s="112"/>
    </row>
    <row r="53" spans="1:9" ht="18">
      <c r="A53" s="167" t="s">
        <v>348</v>
      </c>
      <c r="B53" s="117"/>
      <c r="C53" s="118" t="e">
        <f t="shared" si="4"/>
        <v>#DIV/0!</v>
      </c>
      <c r="D53" s="117"/>
      <c r="E53" s="118" t="e">
        <f t="shared" si="5"/>
        <v>#DIV/0!</v>
      </c>
      <c r="F53" s="117"/>
      <c r="G53" s="118" t="e">
        <f t="shared" si="6"/>
        <v>#DIV/0!</v>
      </c>
      <c r="H53" s="117"/>
      <c r="I53" s="112"/>
    </row>
    <row r="54" spans="1:9" ht="18">
      <c r="A54" s="168" t="s">
        <v>349</v>
      </c>
      <c r="B54" s="162">
        <f>B56+B57+B60+B61+B55</f>
        <v>0</v>
      </c>
      <c r="C54" s="118" t="e">
        <f t="shared" si="4"/>
        <v>#DIV/0!</v>
      </c>
      <c r="D54" s="162">
        <f>D56+D57+D60+D61+D55</f>
        <v>0</v>
      </c>
      <c r="E54" s="118" t="e">
        <f t="shared" si="5"/>
        <v>#DIV/0!</v>
      </c>
      <c r="F54" s="162">
        <f>F56+F57+F60+F61+F55</f>
        <v>0</v>
      </c>
      <c r="G54" s="118" t="e">
        <f t="shared" si="6"/>
        <v>#DIV/0!</v>
      </c>
      <c r="H54" s="162">
        <f>H56+H57+H60+H61+H55</f>
        <v>0</v>
      </c>
      <c r="I54" s="112"/>
    </row>
    <row r="55" spans="1:9" ht="18">
      <c r="A55" s="169" t="s">
        <v>350</v>
      </c>
      <c r="B55" s="117"/>
      <c r="C55" s="118" t="e">
        <f t="shared" si="4"/>
        <v>#DIV/0!</v>
      </c>
      <c r="D55" s="117"/>
      <c r="E55" s="118" t="e">
        <f t="shared" si="5"/>
        <v>#DIV/0!</v>
      </c>
      <c r="F55" s="117"/>
      <c r="G55" s="118" t="e">
        <f t="shared" si="6"/>
        <v>#DIV/0!</v>
      </c>
      <c r="H55" s="117"/>
      <c r="I55" s="112"/>
    </row>
    <row r="56" spans="1:9" ht="18">
      <c r="A56" s="160" t="s">
        <v>351</v>
      </c>
      <c r="B56" s="117"/>
      <c r="C56" s="118" t="e">
        <f t="shared" si="4"/>
        <v>#DIV/0!</v>
      </c>
      <c r="D56" s="117"/>
      <c r="E56" s="118" t="e">
        <f t="shared" si="5"/>
        <v>#DIV/0!</v>
      </c>
      <c r="F56" s="119"/>
      <c r="G56" s="118" t="e">
        <f t="shared" si="6"/>
        <v>#DIV/0!</v>
      </c>
      <c r="H56" s="119"/>
      <c r="I56" s="112"/>
    </row>
    <row r="57" spans="1:9" ht="18">
      <c r="A57" s="170" t="s">
        <v>352</v>
      </c>
      <c r="B57" s="162">
        <f>B58+B59</f>
        <v>0</v>
      </c>
      <c r="C57" s="118" t="e">
        <f t="shared" si="4"/>
        <v>#DIV/0!</v>
      </c>
      <c r="D57" s="162">
        <f>D58+D59</f>
        <v>0</v>
      </c>
      <c r="E57" s="118" t="e">
        <f t="shared" si="5"/>
        <v>#DIV/0!</v>
      </c>
      <c r="F57" s="162">
        <f>F58+F59</f>
        <v>0</v>
      </c>
      <c r="G57" s="118" t="e">
        <f t="shared" si="6"/>
        <v>#DIV/0!</v>
      </c>
      <c r="H57" s="162">
        <f>H58+H59</f>
        <v>0</v>
      </c>
      <c r="I57" s="112"/>
    </row>
    <row r="58" spans="1:9" ht="18">
      <c r="A58" s="160" t="s">
        <v>353</v>
      </c>
      <c r="B58" s="117"/>
      <c r="C58" s="118" t="e">
        <f t="shared" si="4"/>
        <v>#DIV/0!</v>
      </c>
      <c r="D58" s="117"/>
      <c r="E58" s="118" t="e">
        <f t="shared" si="5"/>
        <v>#DIV/0!</v>
      </c>
      <c r="F58" s="117"/>
      <c r="G58" s="118" t="e">
        <f t="shared" si="6"/>
        <v>#DIV/0!</v>
      </c>
      <c r="H58" s="117"/>
      <c r="I58" s="112"/>
    </row>
    <row r="59" spans="1:9" ht="18">
      <c r="A59" s="160" t="s">
        <v>354</v>
      </c>
      <c r="B59" s="117"/>
      <c r="C59" s="118" t="e">
        <f t="shared" si="4"/>
        <v>#DIV/0!</v>
      </c>
      <c r="D59" s="117"/>
      <c r="E59" s="118" t="e">
        <f t="shared" si="5"/>
        <v>#DIV/0!</v>
      </c>
      <c r="F59" s="119"/>
      <c r="G59" s="118" t="e">
        <f t="shared" si="6"/>
        <v>#DIV/0!</v>
      </c>
      <c r="H59" s="119"/>
      <c r="I59" s="112"/>
    </row>
    <row r="60" spans="1:9" ht="18">
      <c r="A60" s="160" t="s">
        <v>355</v>
      </c>
      <c r="B60" s="117"/>
      <c r="C60" s="118" t="e">
        <f t="shared" si="4"/>
        <v>#DIV/0!</v>
      </c>
      <c r="D60" s="117"/>
      <c r="E60" s="118" t="e">
        <f t="shared" si="5"/>
        <v>#DIV/0!</v>
      </c>
      <c r="F60" s="119"/>
      <c r="G60" s="118" t="e">
        <f t="shared" si="6"/>
        <v>#DIV/0!</v>
      </c>
      <c r="H60" s="119"/>
      <c r="I60" s="165"/>
    </row>
    <row r="61" spans="1:9" ht="18">
      <c r="A61" s="171" t="s">
        <v>356</v>
      </c>
      <c r="B61" s="172">
        <f>B62+B63</f>
        <v>0</v>
      </c>
      <c r="C61" s="118" t="e">
        <f t="shared" si="4"/>
        <v>#DIV/0!</v>
      </c>
      <c r="D61" s="172">
        <f>D62+D63</f>
        <v>0</v>
      </c>
      <c r="E61" s="118" t="e">
        <f t="shared" si="5"/>
        <v>#DIV/0!</v>
      </c>
      <c r="F61" s="172">
        <f>F62+F63</f>
        <v>0</v>
      </c>
      <c r="G61" s="118" t="e">
        <f t="shared" si="6"/>
        <v>#DIV/0!</v>
      </c>
      <c r="H61" s="172">
        <f>H62+H63</f>
        <v>0</v>
      </c>
      <c r="I61" s="112"/>
    </row>
    <row r="62" spans="1:9" ht="26.25">
      <c r="A62" s="154" t="s">
        <v>357</v>
      </c>
      <c r="B62" s="117"/>
      <c r="C62" s="118" t="e">
        <f t="shared" si="4"/>
        <v>#DIV/0!</v>
      </c>
      <c r="D62" s="117"/>
      <c r="E62" s="118" t="e">
        <f t="shared" si="5"/>
        <v>#DIV/0!</v>
      </c>
      <c r="F62" s="117"/>
      <c r="G62" s="118" t="e">
        <f t="shared" si="6"/>
        <v>#DIV/0!</v>
      </c>
      <c r="H62" s="117"/>
      <c r="I62" s="112"/>
    </row>
    <row r="63" spans="1:9" ht="18">
      <c r="A63" s="154" t="s">
        <v>358</v>
      </c>
      <c r="B63" s="117"/>
      <c r="C63" s="118" t="e">
        <f t="shared" si="4"/>
        <v>#DIV/0!</v>
      </c>
      <c r="D63" s="117"/>
      <c r="E63" s="118" t="e">
        <f t="shared" si="5"/>
        <v>#DIV/0!</v>
      </c>
      <c r="F63" s="119"/>
      <c r="G63" s="118" t="e">
        <f t="shared" si="6"/>
        <v>#DIV/0!</v>
      </c>
      <c r="H63" s="119"/>
      <c r="I63" s="112"/>
    </row>
    <row r="64" spans="1:9" ht="26.25">
      <c r="A64" s="154" t="s">
        <v>359</v>
      </c>
      <c r="B64" s="117"/>
      <c r="C64" s="118" t="e">
        <f t="shared" si="4"/>
        <v>#DIV/0!</v>
      </c>
      <c r="D64" s="117"/>
      <c r="E64" s="118" t="e">
        <f t="shared" si="5"/>
        <v>#DIV/0!</v>
      </c>
      <c r="F64" s="117"/>
      <c r="G64" s="118" t="e">
        <f t="shared" si="6"/>
        <v>#DIV/0!</v>
      </c>
      <c r="H64" s="117"/>
      <c r="I64" s="112"/>
    </row>
    <row r="65" spans="1:10" ht="18">
      <c r="A65" s="198" t="s">
        <v>343</v>
      </c>
      <c r="B65" s="201">
        <f>B49+B50+B54+B64</f>
        <v>0</v>
      </c>
      <c r="C65" s="200" t="e">
        <f t="shared" si="4"/>
        <v>#DIV/0!</v>
      </c>
      <c r="D65" s="201">
        <f>D49+D50+D54+D64</f>
        <v>0</v>
      </c>
      <c r="E65" s="200" t="e">
        <f t="shared" si="5"/>
        <v>#DIV/0!</v>
      </c>
      <c r="F65" s="201">
        <f>F49+F50+F54+F64</f>
        <v>0</v>
      </c>
      <c r="G65" s="200" t="e">
        <f t="shared" si="6"/>
        <v>#DIV/0!</v>
      </c>
      <c r="H65" s="201">
        <f>H49+H50+H54+H64</f>
        <v>0</v>
      </c>
      <c r="I65" s="153"/>
    </row>
    <row r="66" spans="1:10" ht="18">
      <c r="A66" s="173"/>
      <c r="B66" s="173"/>
      <c r="C66" s="173"/>
      <c r="D66" s="173"/>
      <c r="E66" s="173"/>
      <c r="F66" s="173"/>
      <c r="G66" s="173"/>
      <c r="H66" s="173"/>
      <c r="I66" s="112"/>
      <c r="J66" s="129"/>
    </row>
    <row r="67" spans="1:10" ht="18">
      <c r="A67" s="750" t="s">
        <v>360</v>
      </c>
      <c r="B67" s="750"/>
      <c r="C67" s="750"/>
      <c r="D67" s="750"/>
      <c r="E67" s="750"/>
      <c r="F67" s="750"/>
      <c r="G67" s="750"/>
      <c r="H67" s="750"/>
      <c r="I67" s="112"/>
    </row>
    <row r="68" spans="1:10" ht="18">
      <c r="A68" s="750"/>
      <c r="B68" s="750"/>
      <c r="C68" s="750"/>
      <c r="D68" s="750"/>
      <c r="E68" s="750"/>
      <c r="F68" s="750"/>
      <c r="G68" s="750"/>
      <c r="H68" s="750"/>
      <c r="I68" s="112"/>
    </row>
    <row r="69" spans="1:10" ht="18.75" thickBot="1">
      <c r="A69" s="174" t="s">
        <v>361</v>
      </c>
      <c r="B69" s="175" t="e">
        <f>B57/B5*365</f>
        <v>#DIV/0!</v>
      </c>
      <c r="C69" s="174"/>
      <c r="D69" s="175" t="e">
        <f>D57/D5*365</f>
        <v>#DIV/0!</v>
      </c>
      <c r="E69" s="174"/>
      <c r="F69" s="175" t="e">
        <f>F57/F5*365</f>
        <v>#DIV/0!</v>
      </c>
      <c r="G69" s="174"/>
      <c r="H69" s="175" t="e">
        <f>H57/H5*365</f>
        <v>#DIV/0!</v>
      </c>
      <c r="I69" s="176"/>
    </row>
    <row r="70" spans="1:10" ht="18">
      <c r="A70" s="174" t="s">
        <v>362</v>
      </c>
      <c r="B70" s="175" t="e">
        <f>B56/(B10+B11+B12)*365</f>
        <v>#DIV/0!</v>
      </c>
      <c r="C70" s="174"/>
      <c r="D70" s="175" t="e">
        <f>D56/(D10+D11+D12)*365</f>
        <v>#DIV/0!</v>
      </c>
      <c r="E70" s="174"/>
      <c r="F70" s="175" t="e">
        <f>F56/(F10+F11+F12)*365</f>
        <v>#DIV/0!</v>
      </c>
      <c r="G70" s="174"/>
      <c r="H70" s="175" t="e">
        <f>H56/(H10+H11+H12)*365</f>
        <v>#DIV/0!</v>
      </c>
      <c r="I70" s="112"/>
    </row>
    <row r="71" spans="1:10" ht="18">
      <c r="A71" s="174" t="s">
        <v>363</v>
      </c>
      <c r="B71" s="175" t="e">
        <f>B56/(B11+B10+B12)</f>
        <v>#DIV/0!</v>
      </c>
      <c r="C71" s="174"/>
      <c r="D71" s="175" t="e">
        <f>D56/(D11+D10+D12)</f>
        <v>#DIV/0!</v>
      </c>
      <c r="E71" s="174"/>
      <c r="F71" s="175" t="e">
        <f>F56/(F11+F10+F12)</f>
        <v>#DIV/0!</v>
      </c>
      <c r="G71" s="174"/>
      <c r="H71" s="175" t="e">
        <f>H56/(H11+H10+H12)</f>
        <v>#DIV/0!</v>
      </c>
      <c r="I71" s="112"/>
    </row>
    <row r="72" spans="1:10" ht="18.75" thickBot="1">
      <c r="A72" s="174" t="s">
        <v>364</v>
      </c>
      <c r="B72" s="175" t="e">
        <f>B54/(B44+B40)</f>
        <v>#DIV/0!</v>
      </c>
      <c r="C72" s="174"/>
      <c r="D72" s="175" t="e">
        <f>D54/(D44+D40)</f>
        <v>#DIV/0!</v>
      </c>
      <c r="E72" s="174"/>
      <c r="F72" s="175" t="e">
        <f>F54/(F44+F40)</f>
        <v>#DIV/0!</v>
      </c>
      <c r="G72" s="174"/>
      <c r="H72" s="175" t="e">
        <f>H54/(H44+H40)</f>
        <v>#DIV/0!</v>
      </c>
      <c r="I72" s="112"/>
    </row>
    <row r="73" spans="1:10" ht="18.75" thickBot="1">
      <c r="A73" s="174" t="s">
        <v>365</v>
      </c>
      <c r="B73" s="175" t="e">
        <f>(B54-B56)/(B44+B40)</f>
        <v>#DIV/0!</v>
      </c>
      <c r="C73" s="174"/>
      <c r="D73" s="175" t="e">
        <f>(D54-D56)/(D44+D40)</f>
        <v>#DIV/0!</v>
      </c>
      <c r="E73" s="174"/>
      <c r="F73" s="175" t="e">
        <f>(F54-F56)/(F44+F40)</f>
        <v>#DIV/0!</v>
      </c>
      <c r="G73" s="174"/>
      <c r="H73" s="175" t="e">
        <f>(H54-H56)/(H44+H40)</f>
        <v>#DIV/0!</v>
      </c>
      <c r="I73" s="177"/>
    </row>
    <row r="74" spans="1:10" ht="18.75" thickBot="1">
      <c r="A74" s="174" t="s">
        <v>366</v>
      </c>
      <c r="B74" s="175" t="e">
        <f>(B39+B40+B42)/B36</f>
        <v>#DIV/0!</v>
      </c>
      <c r="C74" s="174"/>
      <c r="D74" s="175" t="e">
        <f>(D39+D40+D42)/D36</f>
        <v>#DIV/0!</v>
      </c>
      <c r="E74" s="174"/>
      <c r="F74" s="175" t="e">
        <f>(F39+F40+F42)/F36</f>
        <v>#DIV/0!</v>
      </c>
      <c r="G74" s="174"/>
      <c r="H74" s="175" t="e">
        <f>(H39+H40+H42)/H36</f>
        <v>#DIV/0!</v>
      </c>
      <c r="I74" s="177"/>
    </row>
    <row r="75" spans="1:10" ht="18">
      <c r="A75" s="174" t="s">
        <v>367</v>
      </c>
      <c r="B75" s="175" t="e">
        <f>B16/(B18+B19+B20+B21)</f>
        <v>#DIV/0!</v>
      </c>
      <c r="C75" s="174"/>
      <c r="D75" s="175" t="e">
        <f>D16/(D18+D19+D20+D21)</f>
        <v>#DIV/0!</v>
      </c>
      <c r="E75" s="174"/>
      <c r="F75" s="175" t="e">
        <f>F16/(F18+F19+F20+F21)</f>
        <v>#DIV/0!</v>
      </c>
      <c r="G75" s="174"/>
      <c r="H75" s="175" t="e">
        <f>H16/(H18+H19+H20+H21)</f>
        <v>#DIV/0!</v>
      </c>
      <c r="I75" s="112"/>
    </row>
    <row r="76" spans="1:10" ht="18">
      <c r="A76" s="174" t="s">
        <v>368</v>
      </c>
      <c r="B76" s="175" t="e">
        <f>$B$16/($B$18+$B$19+$B$20+$B$21+($B$39+$B$42)/5)</f>
        <v>#DIV/0!</v>
      </c>
      <c r="C76" s="174"/>
      <c r="D76" s="175" t="e">
        <f>$D$16/($D$18+$D$19+$D$20+$D$21+($D$39+$D$42)/5)</f>
        <v>#DIV/0!</v>
      </c>
      <c r="E76" s="174"/>
      <c r="F76" s="175" t="e">
        <f>$F$16/($F$18+$F$19+$F$20+$F$21+($F$39+$F$42)/5)</f>
        <v>#DIV/0!</v>
      </c>
      <c r="G76" s="174"/>
      <c r="H76" s="175" t="e">
        <f>$H$16/($H$18+$H$19+$H$20+$H$21+($H$39+$H$42)/5)</f>
        <v>#DIV/0!</v>
      </c>
      <c r="I76" s="112"/>
    </row>
    <row r="77" spans="1:10" ht="18">
      <c r="A77" s="174" t="s">
        <v>369</v>
      </c>
      <c r="B77" s="175">
        <f>$B$16/($B$18+$B$19+$B$20+$B$21+($B$39+$B$42)/5+('Normal &amp; CGTMSE Eligibility'!F43))</f>
        <v>0</v>
      </c>
      <c r="C77" s="174"/>
      <c r="D77" s="175">
        <f>$D$16/($D$18+$D$19+$D$20+$D$21+($D$39+$D$42)/5+('Normal &amp; CGTMSE Eligibility'!F43))</f>
        <v>0</v>
      </c>
      <c r="E77" s="174"/>
      <c r="F77" s="175">
        <f>$F$16/($F$18+$F$19+$F$20+$F$21+($F$39+$F$42)/5+('Normal &amp; CGTMSE Eligibility'!F43))</f>
        <v>0</v>
      </c>
      <c r="G77" s="174"/>
      <c r="H77" s="175">
        <f>$H$16/($H$18+$H$19+$H$20+$H$21+($H$39+$H$42)/5+('Normal &amp; CGTMSE Eligibility'!F43))</f>
        <v>0</v>
      </c>
      <c r="I77" s="112"/>
    </row>
    <row r="78" spans="1:10" ht="18">
      <c r="A78" s="174" t="s">
        <v>370</v>
      </c>
      <c r="B78" s="175" t="e">
        <f>(B13-B7)/B5*100</f>
        <v>#DIV/0!</v>
      </c>
      <c r="C78" s="174"/>
      <c r="D78" s="175" t="e">
        <f>(D13-D7)/D5*100</f>
        <v>#DIV/0!</v>
      </c>
      <c r="E78" s="174"/>
      <c r="F78" s="175" t="e">
        <f>(F13-F7)/F5*100</f>
        <v>#DIV/0!</v>
      </c>
      <c r="G78" s="174"/>
      <c r="H78" s="175" t="e">
        <f>(H13-H7)/H5*100</f>
        <v>#DIV/0!</v>
      </c>
      <c r="I78" s="112"/>
    </row>
    <row r="79" spans="1:10" ht="18">
      <c r="A79" s="174" t="s">
        <v>371</v>
      </c>
      <c r="B79" s="175" t="e">
        <f>(B25-B7)/B5*100</f>
        <v>#DIV/0!</v>
      </c>
      <c r="C79" s="174"/>
      <c r="D79" s="175" t="e">
        <f>(D25-D7)/D5*100</f>
        <v>#DIV/0!</v>
      </c>
      <c r="E79" s="174"/>
      <c r="F79" s="175" t="e">
        <f>(F25-F7)/F5*100</f>
        <v>#DIV/0!</v>
      </c>
      <c r="G79" s="174"/>
      <c r="H79" s="175" t="e">
        <f>(H25-H7)/H5*100</f>
        <v>#DIV/0!</v>
      </c>
      <c r="I79" s="112"/>
    </row>
    <row r="80" spans="1:10" ht="18">
      <c r="A80" s="174" t="s">
        <v>372</v>
      </c>
      <c r="B80" s="175" t="e">
        <f>(B26-B7)/B5*100</f>
        <v>#DIV/0!</v>
      </c>
      <c r="C80" s="174"/>
      <c r="D80" s="175" t="e">
        <f>(D26-D7)/D5*100</f>
        <v>#DIV/0!</v>
      </c>
      <c r="E80" s="174"/>
      <c r="F80" s="175" t="e">
        <f>(F26-F7)/F5*100</f>
        <v>#DIV/0!</v>
      </c>
      <c r="G80" s="174"/>
      <c r="H80" s="175" t="e">
        <f>(H26-H7)/H5*100</f>
        <v>#DIV/0!</v>
      </c>
      <c r="I80" s="112"/>
    </row>
    <row r="81" spans="1:10" ht="18">
      <c r="A81" s="174" t="s">
        <v>373</v>
      </c>
      <c r="B81" s="178" t="e">
        <f>(B5-D5)/D5*100</f>
        <v>#DIV/0!</v>
      </c>
      <c r="C81" s="179"/>
      <c r="D81" s="178" t="e">
        <f>(D5-F5)/F5*100</f>
        <v>#DIV/0!</v>
      </c>
      <c r="E81" s="179"/>
      <c r="F81" s="178" t="e">
        <f>#N/A</f>
        <v>#N/A</v>
      </c>
      <c r="G81" s="179"/>
      <c r="H81" s="178" t="e">
        <f>#N/A</f>
        <v>#N/A</v>
      </c>
      <c r="I81" s="112"/>
      <c r="J81" s="129"/>
    </row>
    <row r="82" spans="1:10" ht="18">
      <c r="A82" s="174" t="s">
        <v>374</v>
      </c>
      <c r="B82" s="178" t="e">
        <f>(B25-D25)/D25*100</f>
        <v>#DIV/0!</v>
      </c>
      <c r="C82" s="179"/>
      <c r="D82" s="178" t="e">
        <f>(D25-F25)/F25*100</f>
        <v>#DIV/0!</v>
      </c>
      <c r="E82" s="179"/>
      <c r="F82" s="178" t="e">
        <f>#N/A</f>
        <v>#N/A</v>
      </c>
      <c r="G82" s="179"/>
      <c r="H82" s="178" t="e">
        <f>#N/A</f>
        <v>#N/A</v>
      </c>
      <c r="I82" s="112"/>
    </row>
    <row r="83" spans="1:10" ht="18">
      <c r="A83" s="174"/>
      <c r="B83" s="175"/>
      <c r="C83" s="174"/>
      <c r="D83" s="175"/>
      <c r="E83" s="174"/>
      <c r="F83" s="175"/>
      <c r="G83" s="174"/>
      <c r="H83" s="175"/>
      <c r="I83" s="112"/>
    </row>
    <row r="84" spans="1:10" ht="18">
      <c r="A84" s="180" t="s">
        <v>375</v>
      </c>
      <c r="B84" s="175"/>
      <c r="C84" s="174"/>
      <c r="D84" s="175"/>
      <c r="E84" s="174"/>
      <c r="F84" s="175"/>
      <c r="G84" s="174"/>
      <c r="H84" s="175"/>
      <c r="I84" s="112"/>
    </row>
    <row r="85" spans="1:10" ht="18">
      <c r="A85" s="180"/>
      <c r="B85" s="175"/>
      <c r="C85" s="174"/>
      <c r="D85" s="175"/>
      <c r="E85" s="174"/>
      <c r="F85" s="175"/>
      <c r="G85" s="174"/>
      <c r="H85" s="175"/>
      <c r="I85" s="112"/>
    </row>
    <row r="86" spans="1:10" ht="18">
      <c r="A86" s="174" t="s">
        <v>376</v>
      </c>
      <c r="B86" s="175">
        <f>B25</f>
        <v>0</v>
      </c>
      <c r="C86" s="174"/>
      <c r="D86" s="175">
        <f>D25</f>
        <v>0</v>
      </c>
      <c r="E86" s="174"/>
      <c r="F86" s="175">
        <f>F25</f>
        <v>0</v>
      </c>
      <c r="G86" s="174"/>
      <c r="H86" s="175">
        <f>H25</f>
        <v>0</v>
      </c>
      <c r="I86" s="112"/>
    </row>
    <row r="87" spans="1:10" ht="18">
      <c r="A87" s="174" t="s">
        <v>377</v>
      </c>
      <c r="B87" s="175"/>
      <c r="C87" s="174"/>
      <c r="D87" s="175"/>
      <c r="E87" s="174"/>
      <c r="F87" s="175"/>
      <c r="G87" s="174"/>
      <c r="H87" s="175"/>
      <c r="I87" s="112"/>
    </row>
    <row r="88" spans="1:10" ht="18">
      <c r="A88" s="174" t="s">
        <v>378</v>
      </c>
      <c r="B88" s="175">
        <f>B17</f>
        <v>0</v>
      </c>
      <c r="C88" s="174"/>
      <c r="D88" s="175">
        <f>D17</f>
        <v>0</v>
      </c>
      <c r="E88" s="174"/>
      <c r="F88" s="175">
        <f>F17</f>
        <v>0</v>
      </c>
      <c r="G88" s="174"/>
      <c r="H88" s="175">
        <f>H17</f>
        <v>0</v>
      </c>
      <c r="I88" s="112"/>
    </row>
    <row r="89" spans="1:10" ht="18">
      <c r="A89" s="174" t="s">
        <v>379</v>
      </c>
      <c r="B89" s="175">
        <f>B22</f>
        <v>0</v>
      </c>
      <c r="C89" s="174"/>
      <c r="D89" s="175">
        <f>D22</f>
        <v>0</v>
      </c>
      <c r="E89" s="174"/>
      <c r="F89" s="175">
        <f>F22</f>
        <v>0</v>
      </c>
      <c r="G89" s="174"/>
      <c r="H89" s="175">
        <f>H22</f>
        <v>0</v>
      </c>
      <c r="I89" s="112"/>
    </row>
    <row r="90" spans="1:10" ht="18">
      <c r="A90" s="174" t="s">
        <v>380</v>
      </c>
      <c r="B90" s="175">
        <f>B27</f>
        <v>0</v>
      </c>
      <c r="C90" s="174"/>
      <c r="D90" s="175">
        <f>D27</f>
        <v>0</v>
      </c>
      <c r="E90" s="174"/>
      <c r="F90" s="175">
        <f>F27</f>
        <v>0</v>
      </c>
      <c r="G90" s="174"/>
      <c r="H90" s="175">
        <f>H27</f>
        <v>0</v>
      </c>
      <c r="I90" s="112"/>
    </row>
    <row r="91" spans="1:10" ht="18">
      <c r="A91" s="174" t="s">
        <v>381</v>
      </c>
      <c r="B91" s="175">
        <f>B28</f>
        <v>0</v>
      </c>
      <c r="C91" s="174"/>
      <c r="D91" s="175">
        <f>D28</f>
        <v>0</v>
      </c>
      <c r="E91" s="174"/>
      <c r="F91" s="175">
        <f>F28</f>
        <v>0</v>
      </c>
      <c r="G91" s="174"/>
      <c r="H91" s="175">
        <f>H28</f>
        <v>0</v>
      </c>
      <c r="I91" s="112"/>
    </row>
    <row r="92" spans="1:10" ht="18">
      <c r="A92" s="174" t="s">
        <v>382</v>
      </c>
      <c r="B92" s="175">
        <f>B24</f>
        <v>0</v>
      </c>
      <c r="C92" s="174"/>
      <c r="D92" s="175">
        <f>D24</f>
        <v>0</v>
      </c>
      <c r="E92" s="174"/>
      <c r="F92" s="175">
        <f>F24</f>
        <v>0</v>
      </c>
      <c r="G92" s="174"/>
      <c r="H92" s="175">
        <f>H24</f>
        <v>0</v>
      </c>
      <c r="I92" s="112"/>
    </row>
    <row r="93" spans="1:10" ht="18">
      <c r="A93" s="174" t="s">
        <v>383</v>
      </c>
      <c r="B93" s="175">
        <f>B18+B19+B20+B21</f>
        <v>0</v>
      </c>
      <c r="C93" s="174"/>
      <c r="D93" s="175">
        <f>D18+D19+D20+D21</f>
        <v>0</v>
      </c>
      <c r="E93" s="174"/>
      <c r="F93" s="175">
        <f>F18+F19+F20+F21</f>
        <v>0</v>
      </c>
      <c r="G93" s="174"/>
      <c r="H93" s="175">
        <f>H18+H19+H20+H21</f>
        <v>0</v>
      </c>
      <c r="I93" s="112"/>
    </row>
    <row r="94" spans="1:10" ht="26.25">
      <c r="A94" s="181" t="s">
        <v>384</v>
      </c>
      <c r="B94" s="182">
        <f>-B7</f>
        <v>0</v>
      </c>
      <c r="C94" s="180"/>
      <c r="D94" s="182">
        <f>-D7</f>
        <v>0</v>
      </c>
      <c r="E94" s="180"/>
      <c r="F94" s="182">
        <f>-F7</f>
        <v>0</v>
      </c>
      <c r="G94" s="180"/>
      <c r="H94" s="182">
        <f>-H7</f>
        <v>0</v>
      </c>
      <c r="I94" s="153"/>
    </row>
    <row r="95" spans="1:10" ht="18">
      <c r="A95" s="181"/>
      <c r="B95" s="182"/>
      <c r="C95" s="180"/>
      <c r="D95" s="182"/>
      <c r="E95" s="180"/>
      <c r="F95" s="182"/>
      <c r="G95" s="180"/>
      <c r="H95" s="182"/>
      <c r="I95" s="153"/>
    </row>
    <row r="96" spans="1:10" ht="18">
      <c r="A96" s="174" t="s">
        <v>385</v>
      </c>
      <c r="B96" s="175">
        <f>SUM(B86:B94)</f>
        <v>0</v>
      </c>
      <c r="C96" s="174"/>
      <c r="D96" s="175">
        <f>SUM(D86:D94)</f>
        <v>0</v>
      </c>
      <c r="E96" s="174"/>
      <c r="F96" s="175">
        <f>SUM(F86:F94)</f>
        <v>0</v>
      </c>
      <c r="G96" s="174"/>
      <c r="H96" s="175">
        <f>SUM(H86:H94)</f>
        <v>0</v>
      </c>
      <c r="I96" s="112"/>
    </row>
    <row r="97" spans="1:9" ht="18">
      <c r="A97" s="174" t="s">
        <v>386</v>
      </c>
      <c r="B97" s="175">
        <f>D57-B57</f>
        <v>0</v>
      </c>
      <c r="C97" s="174"/>
      <c r="D97" s="175">
        <f>F57-D57</f>
        <v>0</v>
      </c>
      <c r="E97" s="174"/>
      <c r="F97" s="175">
        <f>J57-F57</f>
        <v>0</v>
      </c>
      <c r="G97" s="174"/>
      <c r="H97" s="175">
        <f>L57-H57</f>
        <v>0</v>
      </c>
      <c r="I97" s="112"/>
    </row>
    <row r="98" spans="1:9" ht="18">
      <c r="A98" s="174" t="s">
        <v>387</v>
      </c>
      <c r="B98" s="175">
        <f>D56-B56</f>
        <v>0</v>
      </c>
      <c r="C98" s="174"/>
      <c r="D98" s="175">
        <f>F56-D56</f>
        <v>0</v>
      </c>
      <c r="E98" s="174"/>
      <c r="F98" s="175">
        <f>J56-F56</f>
        <v>0</v>
      </c>
      <c r="G98" s="174"/>
      <c r="H98" s="175">
        <f>L56-H56</f>
        <v>0</v>
      </c>
      <c r="I98" s="112"/>
    </row>
    <row r="99" spans="1:9" ht="18">
      <c r="A99" s="174" t="s">
        <v>388</v>
      </c>
      <c r="B99" s="175">
        <f>D61-B61</f>
        <v>0</v>
      </c>
      <c r="C99" s="174"/>
      <c r="D99" s="175">
        <f>F61-D61</f>
        <v>0</v>
      </c>
      <c r="E99" s="174"/>
      <c r="F99" s="175">
        <f>J61-F61</f>
        <v>0</v>
      </c>
      <c r="G99" s="174"/>
      <c r="H99" s="175">
        <f>L61-H61</f>
        <v>0</v>
      </c>
      <c r="I99" s="112"/>
    </row>
    <row r="100" spans="1:9" ht="18">
      <c r="A100" s="174" t="s">
        <v>389</v>
      </c>
      <c r="B100" s="175">
        <f>B44-D44</f>
        <v>0</v>
      </c>
      <c r="C100" s="174"/>
      <c r="D100" s="175">
        <f>D44-F44</f>
        <v>0</v>
      </c>
      <c r="E100" s="174"/>
      <c r="F100" s="175">
        <f>F44-J44</f>
        <v>0</v>
      </c>
      <c r="G100" s="174"/>
      <c r="H100" s="175">
        <f>H44-L44</f>
        <v>0</v>
      </c>
      <c r="I100" s="112"/>
    </row>
    <row r="101" spans="1:9" ht="18">
      <c r="A101" s="174" t="s">
        <v>390</v>
      </c>
      <c r="B101" s="175">
        <f>SUM(B97:B100)</f>
        <v>0</v>
      </c>
      <c r="C101" s="174"/>
      <c r="D101" s="175">
        <f>SUM(D97:D100)</f>
        <v>0</v>
      </c>
      <c r="E101" s="174"/>
      <c r="F101" s="175">
        <f>SUM(F97:F100)</f>
        <v>0</v>
      </c>
      <c r="G101" s="174"/>
      <c r="H101" s="175">
        <f>SUM(H97:H100)</f>
        <v>0</v>
      </c>
      <c r="I101" s="112"/>
    </row>
    <row r="102" spans="1:9" ht="18">
      <c r="A102" s="180" t="s">
        <v>391</v>
      </c>
      <c r="B102" s="182">
        <f>B96+B101</f>
        <v>0</v>
      </c>
      <c r="C102" s="180"/>
      <c r="D102" s="182">
        <f>D96+D101</f>
        <v>0</v>
      </c>
      <c r="E102" s="180"/>
      <c r="F102" s="182">
        <f>F96+F101</f>
        <v>0</v>
      </c>
      <c r="G102" s="180"/>
      <c r="H102" s="182">
        <f>H96+H101</f>
        <v>0</v>
      </c>
      <c r="I102" s="153"/>
    </row>
    <row r="103" spans="1:9" ht="18">
      <c r="A103" s="180"/>
      <c r="B103" s="182"/>
      <c r="C103" s="180"/>
      <c r="D103" s="182"/>
      <c r="E103" s="180"/>
      <c r="F103" s="182"/>
      <c r="G103" s="180"/>
      <c r="H103" s="182"/>
      <c r="I103" s="153"/>
    </row>
    <row r="104" spans="1:9" ht="18">
      <c r="A104" s="174" t="s">
        <v>392</v>
      </c>
      <c r="B104" s="175">
        <f>B24</f>
        <v>0</v>
      </c>
      <c r="C104" s="174"/>
      <c r="D104" s="175">
        <f>D24</f>
        <v>0</v>
      </c>
      <c r="E104" s="174"/>
      <c r="F104" s="175">
        <f>F24</f>
        <v>0</v>
      </c>
      <c r="G104" s="174"/>
      <c r="H104" s="175">
        <f>H24</f>
        <v>0</v>
      </c>
      <c r="I104" s="112"/>
    </row>
    <row r="105" spans="1:9" ht="18">
      <c r="A105" s="174"/>
      <c r="B105" s="175"/>
      <c r="C105" s="174"/>
      <c r="D105" s="175"/>
      <c r="E105" s="174"/>
      <c r="F105" s="175"/>
      <c r="G105" s="174"/>
      <c r="H105" s="175"/>
      <c r="I105" s="112"/>
    </row>
    <row r="106" spans="1:9" ht="18">
      <c r="A106" s="180" t="s">
        <v>393</v>
      </c>
      <c r="B106" s="175">
        <f>B102-B104</f>
        <v>0</v>
      </c>
      <c r="C106" s="174"/>
      <c r="D106" s="175">
        <f>D102-D104</f>
        <v>0</v>
      </c>
      <c r="E106" s="174"/>
      <c r="F106" s="175">
        <f>F102-F104</f>
        <v>0</v>
      </c>
      <c r="G106" s="174"/>
      <c r="H106" s="175">
        <f>H102-H104</f>
        <v>0</v>
      </c>
      <c r="I106" s="112"/>
    </row>
    <row r="107" spans="1:9" ht="18"/>
  </sheetData>
  <mergeCells count="9">
    <mergeCell ref="A67:H68"/>
    <mergeCell ref="A1:H2"/>
    <mergeCell ref="I1:I2"/>
    <mergeCell ref="A3:A4"/>
    <mergeCell ref="A32:A33"/>
    <mergeCell ref="B32:B33"/>
    <mergeCell ref="D32:D33"/>
    <mergeCell ref="F32:F33"/>
    <mergeCell ref="H32:H33"/>
  </mergeCells>
  <conditionalFormatting sqref="B65 B48">
    <cfRule type="expression" dxfId="193" priority="4">
      <formula>$B$48&lt;&gt;$B$65</formula>
    </cfRule>
  </conditionalFormatting>
  <conditionalFormatting sqref="D65 D48">
    <cfRule type="expression" dxfId="192" priority="3">
      <formula>$D$48&lt;&gt;$D$65</formula>
    </cfRule>
  </conditionalFormatting>
  <conditionalFormatting sqref="F48 F65">
    <cfRule type="expression" dxfId="191" priority="2">
      <formula>$F$65&lt;&gt;$F$48</formula>
    </cfRule>
  </conditionalFormatting>
  <conditionalFormatting sqref="H48 H65">
    <cfRule type="expression" dxfId="190" priority="1">
      <formula>$H$48&lt;&gt;$H$65</formula>
    </cfRule>
  </conditionalFormatting>
  <pageMargins left="0.78749999999999998" right="0.78749999999999998" top="1.0249999999999999" bottom="1.0249999999999999" header="0.78749999999999998" footer="0.78749999999999998"/>
  <pageSetup scale="58" firstPageNumber="0" orientation="portrait" horizontalDpi="300" verticalDpi="300" r:id="rId1"/>
  <headerFooter alignWithMargins="0">
    <oddHeader>&amp;C&amp;"Arial,Regular"&amp;10&amp;A</oddHeader>
    <oddFooter>&amp;C&amp;"Arial,Regular"&amp;10Page &amp;P</oddFooter>
  </headerFooter>
  <rowBreaks count="2" manualBreakCount="2">
    <brk id="30" max="16383" man="1"/>
    <brk id="6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L107"/>
  <sheetViews>
    <sheetView view="pageBreakPreview" zoomScale="85" zoomScaleSheetLayoutView="85" workbookViewId="0">
      <selection activeCell="B78" sqref="B78:H80"/>
    </sheetView>
  </sheetViews>
  <sheetFormatPr defaultColWidth="13.5703125" defaultRowHeight="32.1" customHeight="1"/>
  <cols>
    <col min="1" max="1" width="37.28515625" style="112" customWidth="1"/>
    <col min="2" max="2" width="10.42578125" style="112" customWidth="1"/>
    <col min="3" max="3" width="12.7109375" style="112" customWidth="1"/>
    <col min="4" max="4" width="10.140625" style="129" customWidth="1"/>
    <col min="5" max="5" width="12.28515625" style="112" customWidth="1"/>
    <col min="6" max="6" width="15.7109375" style="129" customWidth="1"/>
    <col min="7" max="7" width="12.28515625" style="112" customWidth="1"/>
    <col min="8" max="8" width="15.7109375" style="129" customWidth="1"/>
    <col min="9" max="9" width="17.42578125" style="129" bestFit="1" customWidth="1"/>
    <col min="10" max="10" width="22" style="112" customWidth="1"/>
    <col min="11" max="11" width="12" style="112" customWidth="1"/>
    <col min="12" max="16384" width="13.5703125" style="112"/>
  </cols>
  <sheetData>
    <row r="1" spans="1:10" ht="18">
      <c r="A1" s="751"/>
      <c r="B1" s="751"/>
      <c r="C1" s="751"/>
      <c r="D1" s="751"/>
      <c r="E1" s="751"/>
      <c r="F1" s="751"/>
      <c r="G1" s="751"/>
      <c r="H1" s="751"/>
      <c r="I1" s="752"/>
    </row>
    <row r="2" spans="1:10" ht="7.5" customHeight="1">
      <c r="A2" s="751"/>
      <c r="B2" s="751"/>
      <c r="C2" s="751"/>
      <c r="D2" s="751"/>
      <c r="E2" s="751"/>
      <c r="F2" s="751"/>
      <c r="G2" s="751"/>
      <c r="H2" s="751"/>
      <c r="I2" s="752"/>
    </row>
    <row r="3" spans="1:10" ht="18">
      <c r="A3" s="753" t="s">
        <v>301</v>
      </c>
      <c r="B3" s="113" t="s">
        <v>558</v>
      </c>
      <c r="C3" s="114" t="s">
        <v>303</v>
      </c>
      <c r="D3" s="113" t="s">
        <v>559</v>
      </c>
      <c r="E3" s="114" t="s">
        <v>303</v>
      </c>
      <c r="F3" s="113" t="s">
        <v>560</v>
      </c>
      <c r="G3" s="114" t="s">
        <v>303</v>
      </c>
      <c r="H3" s="113" t="s">
        <v>561</v>
      </c>
      <c r="I3" s="115"/>
    </row>
    <row r="4" spans="1:10" ht="18">
      <c r="A4" s="753"/>
      <c r="B4" s="114" t="s">
        <v>307</v>
      </c>
      <c r="C4" s="113" t="s">
        <v>562</v>
      </c>
      <c r="D4" s="114" t="s">
        <v>307</v>
      </c>
      <c r="E4" s="113" t="s">
        <v>563</v>
      </c>
      <c r="F4" s="114" t="s">
        <v>307</v>
      </c>
      <c r="G4" s="113" t="s">
        <v>564</v>
      </c>
      <c r="H4" s="114" t="s">
        <v>307</v>
      </c>
      <c r="I4" s="115"/>
    </row>
    <row r="5" spans="1:10" ht="18">
      <c r="A5" s="116" t="s">
        <v>185</v>
      </c>
      <c r="B5" s="117"/>
      <c r="C5" s="118" t="e">
        <f>(B5-D5)/D5*100</f>
        <v>#DIV/0!</v>
      </c>
      <c r="D5" s="117"/>
      <c r="E5" s="118" t="e">
        <f>(D5-F5)/F5*100</f>
        <v>#DIV/0!</v>
      </c>
      <c r="F5" s="119"/>
      <c r="G5" s="118" t="e">
        <f>(F5-H5)/H5*100</f>
        <v>#DIV/0!</v>
      </c>
      <c r="H5" s="119"/>
      <c r="I5" s="120"/>
    </row>
    <row r="6" spans="1:10" ht="25.35" customHeight="1">
      <c r="A6" s="121" t="s">
        <v>311</v>
      </c>
      <c r="B6" s="117"/>
      <c r="C6" s="118" t="e">
        <f>(B6-D6)/D6*100</f>
        <v>#DIV/0!</v>
      </c>
      <c r="D6" s="117"/>
      <c r="E6" s="118" t="e">
        <f>(D6-F6)/F6*100</f>
        <v>#DIV/0!</v>
      </c>
      <c r="F6" s="117"/>
      <c r="G6" s="118" t="e">
        <f>(F6-H6)/H6*100</f>
        <v>#DIV/0!</v>
      </c>
      <c r="H6" s="117"/>
      <c r="I6" s="120"/>
    </row>
    <row r="7" spans="1:10" ht="18">
      <c r="A7" s="121" t="s">
        <v>312</v>
      </c>
      <c r="B7" s="117"/>
      <c r="C7" s="118" t="e">
        <f>(B7-D7)/D7*100</f>
        <v>#DIV/0!</v>
      </c>
      <c r="D7" s="117"/>
      <c r="E7" s="118" t="e">
        <f>(D7-F7)/F7*100</f>
        <v>#DIV/0!</v>
      </c>
      <c r="F7" s="117"/>
      <c r="G7" s="118" t="e">
        <f>(F7-H7)/H7*100</f>
        <v>#DIV/0!</v>
      </c>
      <c r="H7" s="117"/>
      <c r="I7" s="120"/>
    </row>
    <row r="8" spans="1:10" ht="18.75" thickBot="1">
      <c r="A8" s="122" t="s">
        <v>313</v>
      </c>
      <c r="B8" s="123">
        <f>B5+B6+B7</f>
        <v>0</v>
      </c>
      <c r="C8" s="118" t="e">
        <f>(B8-D8)/D8*100</f>
        <v>#DIV/0!</v>
      </c>
      <c r="D8" s="123">
        <f>D5+D6+D7</f>
        <v>0</v>
      </c>
      <c r="E8" s="118" t="e">
        <f>(D8-F8)/F8*100</f>
        <v>#DIV/0!</v>
      </c>
      <c r="F8" s="123">
        <f>F5+F6+F7</f>
        <v>0</v>
      </c>
      <c r="G8" s="118" t="e">
        <f>(F8-H8)/H8*100</f>
        <v>#DIV/0!</v>
      </c>
      <c r="H8" s="123">
        <f>H5+H6+H7</f>
        <v>0</v>
      </c>
      <c r="I8" s="120"/>
    </row>
    <row r="9" spans="1:10" ht="39" thickBot="1">
      <c r="A9" s="122"/>
      <c r="B9" s="123"/>
      <c r="C9" s="124" t="s">
        <v>565</v>
      </c>
      <c r="D9" s="123"/>
      <c r="E9" s="124" t="s">
        <v>566</v>
      </c>
      <c r="F9" s="125"/>
      <c r="G9" s="124" t="s">
        <v>567</v>
      </c>
      <c r="H9" s="125"/>
      <c r="I9" s="126" t="s">
        <v>568</v>
      </c>
    </row>
    <row r="10" spans="1:10" ht="18.75" thickBot="1">
      <c r="A10" s="127" t="s">
        <v>314</v>
      </c>
      <c r="B10" s="117"/>
      <c r="C10" s="118" t="e">
        <f t="shared" ref="C10:C29" si="0">B10/$B$5*100</f>
        <v>#DIV/0!</v>
      </c>
      <c r="D10" s="117"/>
      <c r="E10" s="118" t="e">
        <f t="shared" ref="E10:E29" si="1">D10/$D$5*100</f>
        <v>#DIV/0!</v>
      </c>
      <c r="F10" s="117"/>
      <c r="G10" s="118" t="e">
        <f t="shared" ref="G10:G29" si="2">F10/$F$5*100</f>
        <v>#DIV/0!</v>
      </c>
      <c r="H10" s="117"/>
      <c r="I10" s="128" t="e">
        <f t="shared" ref="I10:I29" si="3">H10/$H$5*100</f>
        <v>#DIV/0!</v>
      </c>
    </row>
    <row r="11" spans="1:10" ht="18.75" thickBot="1">
      <c r="A11" s="127" t="s">
        <v>315</v>
      </c>
      <c r="B11" s="117"/>
      <c r="C11" s="118" t="e">
        <f t="shared" si="0"/>
        <v>#DIV/0!</v>
      </c>
      <c r="D11" s="117"/>
      <c r="E11" s="118" t="e">
        <f t="shared" si="1"/>
        <v>#DIV/0!</v>
      </c>
      <c r="F11" s="119"/>
      <c r="G11" s="118" t="e">
        <f t="shared" si="2"/>
        <v>#DIV/0!</v>
      </c>
      <c r="H11" s="119"/>
      <c r="I11" s="128" t="e">
        <f t="shared" si="3"/>
        <v>#DIV/0!</v>
      </c>
      <c r="J11" s="129"/>
    </row>
    <row r="12" spans="1:10" ht="18.75" thickBot="1">
      <c r="A12" s="127" t="s">
        <v>316</v>
      </c>
      <c r="B12" s="117"/>
      <c r="C12" s="118" t="e">
        <f t="shared" si="0"/>
        <v>#DIV/0!</v>
      </c>
      <c r="D12" s="117"/>
      <c r="E12" s="118" t="e">
        <f t="shared" si="1"/>
        <v>#DIV/0!</v>
      </c>
      <c r="F12" s="119"/>
      <c r="G12" s="118" t="e">
        <f t="shared" si="2"/>
        <v>#DIV/0!</v>
      </c>
      <c r="H12" s="119"/>
      <c r="I12" s="128" t="e">
        <f t="shared" si="3"/>
        <v>#DIV/0!</v>
      </c>
    </row>
    <row r="13" spans="1:10" ht="18.75" thickBot="1">
      <c r="A13" s="130" t="s">
        <v>317</v>
      </c>
      <c r="B13" s="131">
        <f>B8-B10-B11-B12</f>
        <v>0</v>
      </c>
      <c r="C13" s="118" t="e">
        <f t="shared" si="0"/>
        <v>#DIV/0!</v>
      </c>
      <c r="D13" s="131">
        <f>D8-D10-D11-D12</f>
        <v>0</v>
      </c>
      <c r="E13" s="118" t="e">
        <f t="shared" si="1"/>
        <v>#DIV/0!</v>
      </c>
      <c r="F13" s="131">
        <f>F8-F10-F11-F12</f>
        <v>0</v>
      </c>
      <c r="G13" s="118" t="e">
        <f t="shared" si="2"/>
        <v>#DIV/0!</v>
      </c>
      <c r="H13" s="131">
        <f>H8-H10-H11-H12</f>
        <v>0</v>
      </c>
      <c r="I13" s="128" t="e">
        <f t="shared" si="3"/>
        <v>#DIV/0!</v>
      </c>
    </row>
    <row r="14" spans="1:10" ht="18.75" thickBot="1">
      <c r="A14" s="132" t="s">
        <v>318</v>
      </c>
      <c r="B14" s="117"/>
      <c r="C14" s="118" t="e">
        <f t="shared" si="0"/>
        <v>#DIV/0!</v>
      </c>
      <c r="D14" s="117"/>
      <c r="E14" s="118" t="e">
        <f t="shared" si="1"/>
        <v>#DIV/0!</v>
      </c>
      <c r="F14" s="119"/>
      <c r="G14" s="118" t="e">
        <f t="shared" si="2"/>
        <v>#DIV/0!</v>
      </c>
      <c r="H14" s="119"/>
      <c r="I14" s="128" t="e">
        <f t="shared" si="3"/>
        <v>#DIV/0!</v>
      </c>
      <c r="J14" s="129"/>
    </row>
    <row r="15" spans="1:10" ht="18.75" thickBot="1">
      <c r="A15" s="132" t="s">
        <v>319</v>
      </c>
      <c r="B15" s="117"/>
      <c r="C15" s="118" t="e">
        <f t="shared" si="0"/>
        <v>#DIV/0!</v>
      </c>
      <c r="D15" s="117"/>
      <c r="E15" s="118" t="e">
        <f t="shared" si="1"/>
        <v>#DIV/0!</v>
      </c>
      <c r="F15" s="119"/>
      <c r="G15" s="118" t="e">
        <f t="shared" si="2"/>
        <v>#DIV/0!</v>
      </c>
      <c r="H15" s="119"/>
      <c r="I15" s="128" t="e">
        <f t="shared" si="3"/>
        <v>#DIV/0!</v>
      </c>
      <c r="J15" s="129"/>
    </row>
    <row r="16" spans="1:10" ht="18.75" thickBot="1">
      <c r="A16" s="130" t="s">
        <v>320</v>
      </c>
      <c r="B16" s="131">
        <f>B13-B14-B15</f>
        <v>0</v>
      </c>
      <c r="C16" s="118" t="e">
        <f t="shared" si="0"/>
        <v>#DIV/0!</v>
      </c>
      <c r="D16" s="131">
        <f>D13-D14-D15</f>
        <v>0</v>
      </c>
      <c r="E16" s="118" t="e">
        <f t="shared" si="1"/>
        <v>#DIV/0!</v>
      </c>
      <c r="F16" s="131">
        <f>F13-F14-F15</f>
        <v>0</v>
      </c>
      <c r="G16" s="118" t="e">
        <f t="shared" si="2"/>
        <v>#DIV/0!</v>
      </c>
      <c r="H16" s="131">
        <f>H13-H14-H15</f>
        <v>0</v>
      </c>
      <c r="I16" s="128" t="e">
        <f t="shared" si="3"/>
        <v>#DIV/0!</v>
      </c>
    </row>
    <row r="17" spans="1:12" ht="18.75" thickBot="1">
      <c r="A17" s="133" t="s">
        <v>218</v>
      </c>
      <c r="B17" s="117"/>
      <c r="C17" s="118" t="e">
        <f t="shared" si="0"/>
        <v>#DIV/0!</v>
      </c>
      <c r="D17" s="117"/>
      <c r="E17" s="118" t="e">
        <f t="shared" si="1"/>
        <v>#DIV/0!</v>
      </c>
      <c r="F17" s="119"/>
      <c r="G17" s="118" t="e">
        <f t="shared" si="2"/>
        <v>#DIV/0!</v>
      </c>
      <c r="H17" s="119"/>
      <c r="I17" s="128" t="e">
        <f t="shared" si="3"/>
        <v>#DIV/0!</v>
      </c>
      <c r="L17" s="134"/>
    </row>
    <row r="18" spans="1:12" s="134" customFormat="1" ht="18.75" thickBot="1">
      <c r="A18" s="127" t="s">
        <v>321</v>
      </c>
      <c r="B18" s="117"/>
      <c r="C18" s="118" t="e">
        <f t="shared" si="0"/>
        <v>#DIV/0!</v>
      </c>
      <c r="D18" s="117"/>
      <c r="E18" s="118" t="e">
        <f t="shared" si="1"/>
        <v>#DIV/0!</v>
      </c>
      <c r="F18" s="119"/>
      <c r="G18" s="118" t="e">
        <f t="shared" si="2"/>
        <v>#DIV/0!</v>
      </c>
      <c r="H18" s="119"/>
      <c r="I18" s="128" t="e">
        <f t="shared" si="3"/>
        <v>#DIV/0!</v>
      </c>
      <c r="L18" s="112"/>
    </row>
    <row r="19" spans="1:12" s="134" customFormat="1" ht="18.75" thickBot="1">
      <c r="A19" s="127" t="s">
        <v>322</v>
      </c>
      <c r="B19" s="117"/>
      <c r="C19" s="118" t="e">
        <f t="shared" si="0"/>
        <v>#DIV/0!</v>
      </c>
      <c r="D19" s="117"/>
      <c r="E19" s="118" t="e">
        <f t="shared" si="1"/>
        <v>#DIV/0!</v>
      </c>
      <c r="F19" s="119"/>
      <c r="G19" s="118" t="e">
        <f t="shared" si="2"/>
        <v>#DIV/0!</v>
      </c>
      <c r="H19" s="119"/>
      <c r="I19" s="128" t="e">
        <f t="shared" si="3"/>
        <v>#DIV/0!</v>
      </c>
      <c r="L19" s="112"/>
    </row>
    <row r="20" spans="1:12" s="134" customFormat="1" ht="18.75" thickBot="1">
      <c r="A20" s="127" t="s">
        <v>323</v>
      </c>
      <c r="B20" s="117"/>
      <c r="C20" s="118" t="e">
        <f t="shared" si="0"/>
        <v>#DIV/0!</v>
      </c>
      <c r="D20" s="117"/>
      <c r="E20" s="118" t="e">
        <f t="shared" si="1"/>
        <v>#DIV/0!</v>
      </c>
      <c r="F20" s="119"/>
      <c r="G20" s="118" t="e">
        <f t="shared" si="2"/>
        <v>#DIV/0!</v>
      </c>
      <c r="H20" s="119"/>
      <c r="I20" s="128" t="e">
        <f t="shared" si="3"/>
        <v>#DIV/0!</v>
      </c>
      <c r="L20" s="112"/>
    </row>
    <row r="21" spans="1:12" s="134" customFormat="1" ht="18.75" thickBot="1">
      <c r="A21" s="127" t="s">
        <v>324</v>
      </c>
      <c r="B21" s="117"/>
      <c r="C21" s="118" t="e">
        <f t="shared" si="0"/>
        <v>#DIV/0!</v>
      </c>
      <c r="D21" s="117"/>
      <c r="E21" s="118" t="e">
        <f t="shared" si="1"/>
        <v>#DIV/0!</v>
      </c>
      <c r="F21" s="119"/>
      <c r="G21" s="118" t="e">
        <f t="shared" si="2"/>
        <v>#DIV/0!</v>
      </c>
      <c r="H21" s="119"/>
      <c r="I21" s="128" t="e">
        <f t="shared" si="3"/>
        <v>#DIV/0!</v>
      </c>
      <c r="L21" s="112"/>
    </row>
    <row r="22" spans="1:12" ht="18.75" thickBot="1">
      <c r="A22" s="133" t="s">
        <v>325</v>
      </c>
      <c r="B22" s="117"/>
      <c r="C22" s="118" t="e">
        <f t="shared" si="0"/>
        <v>#DIV/0!</v>
      </c>
      <c r="D22" s="117"/>
      <c r="E22" s="118" t="e">
        <f t="shared" si="1"/>
        <v>#DIV/0!</v>
      </c>
      <c r="F22" s="119"/>
      <c r="G22" s="118" t="e">
        <f t="shared" si="2"/>
        <v>#DIV/0!</v>
      </c>
      <c r="H22" s="119"/>
      <c r="I22" s="128" t="e">
        <f t="shared" si="3"/>
        <v>#DIV/0!</v>
      </c>
    </row>
    <row r="23" spans="1:12" ht="18.75" thickBot="1">
      <c r="A23" s="135" t="s">
        <v>326</v>
      </c>
      <c r="B23" s="136">
        <f>B16-B17-B18-B22-B21-B19-B20</f>
        <v>0</v>
      </c>
      <c r="C23" s="118" t="e">
        <f t="shared" si="0"/>
        <v>#DIV/0!</v>
      </c>
      <c r="D23" s="136">
        <f>D16-D17-D18-D22-D21-D19-D20</f>
        <v>0</v>
      </c>
      <c r="E23" s="118" t="e">
        <f t="shared" si="1"/>
        <v>#DIV/0!</v>
      </c>
      <c r="F23" s="136">
        <f>F16-F17-F18-F22-F21-F19-F20</f>
        <v>0</v>
      </c>
      <c r="G23" s="118" t="e">
        <f t="shared" si="2"/>
        <v>#DIV/0!</v>
      </c>
      <c r="H23" s="136">
        <f>H16-H17-H18-H22-H21-H19-H20</f>
        <v>0</v>
      </c>
      <c r="I23" s="128" t="e">
        <f t="shared" si="3"/>
        <v>#DIV/0!</v>
      </c>
    </row>
    <row r="24" spans="1:12" ht="18.75" thickBot="1">
      <c r="A24" s="121" t="s">
        <v>327</v>
      </c>
      <c r="B24" s="117"/>
      <c r="C24" s="118" t="e">
        <f t="shared" si="0"/>
        <v>#DIV/0!</v>
      </c>
      <c r="D24" s="117"/>
      <c r="E24" s="118" t="e">
        <f t="shared" si="1"/>
        <v>#DIV/0!</v>
      </c>
      <c r="F24" s="117"/>
      <c r="G24" s="118" t="e">
        <f t="shared" si="2"/>
        <v>#DIV/0!</v>
      </c>
      <c r="H24" s="117"/>
      <c r="I24" s="128" t="e">
        <f t="shared" si="3"/>
        <v>#DIV/0!</v>
      </c>
      <c r="K24" s="137"/>
    </row>
    <row r="25" spans="1:12" ht="18.75" thickBot="1">
      <c r="A25" s="138" t="s">
        <v>186</v>
      </c>
      <c r="B25" s="123">
        <f>B23-B24</f>
        <v>0</v>
      </c>
      <c r="C25" s="139" t="e">
        <f t="shared" si="0"/>
        <v>#DIV/0!</v>
      </c>
      <c r="D25" s="123">
        <f>D23-D24</f>
        <v>0</v>
      </c>
      <c r="E25" s="139" t="e">
        <f t="shared" si="1"/>
        <v>#DIV/0!</v>
      </c>
      <c r="F25" s="123">
        <f>F23-F24</f>
        <v>0</v>
      </c>
      <c r="G25" s="118" t="e">
        <f t="shared" si="2"/>
        <v>#DIV/0!</v>
      </c>
      <c r="H25" s="123">
        <f>H23-H24</f>
        <v>0</v>
      </c>
      <c r="I25" s="128" t="e">
        <f t="shared" si="3"/>
        <v>#DIV/0!</v>
      </c>
      <c r="J25" s="140"/>
    </row>
    <row r="26" spans="1:12" ht="18.75" thickBot="1">
      <c r="A26" s="135" t="s">
        <v>328</v>
      </c>
      <c r="B26" s="136">
        <f>B25+B17+B22</f>
        <v>0</v>
      </c>
      <c r="C26" s="118" t="e">
        <f t="shared" si="0"/>
        <v>#DIV/0!</v>
      </c>
      <c r="D26" s="136">
        <f>D25+D17+D22</f>
        <v>0</v>
      </c>
      <c r="E26" s="118" t="e">
        <f t="shared" si="1"/>
        <v>#DIV/0!</v>
      </c>
      <c r="F26" s="136">
        <f>F25+F17+F22</f>
        <v>0</v>
      </c>
      <c r="G26" s="118" t="e">
        <f t="shared" si="2"/>
        <v>#DIV/0!</v>
      </c>
      <c r="H26" s="136">
        <f>H25+H17+H22</f>
        <v>0</v>
      </c>
      <c r="I26" s="128" t="e">
        <f t="shared" si="3"/>
        <v>#DIV/0!</v>
      </c>
    </row>
    <row r="27" spans="1:12" ht="18.75" thickBot="1">
      <c r="A27" s="141" t="s">
        <v>329</v>
      </c>
      <c r="B27" s="117"/>
      <c r="C27" s="118" t="e">
        <f t="shared" si="0"/>
        <v>#DIV/0!</v>
      </c>
      <c r="D27" s="117"/>
      <c r="E27" s="118" t="e">
        <f t="shared" si="1"/>
        <v>#DIV/0!</v>
      </c>
      <c r="F27" s="117"/>
      <c r="G27" s="118" t="e">
        <f t="shared" si="2"/>
        <v>#DIV/0!</v>
      </c>
      <c r="H27" s="117"/>
      <c r="I27" s="128" t="e">
        <f t="shared" si="3"/>
        <v>#DIV/0!</v>
      </c>
    </row>
    <row r="28" spans="1:12" ht="18.75" thickBot="1">
      <c r="A28" s="141" t="s">
        <v>220</v>
      </c>
      <c r="B28" s="117"/>
      <c r="C28" s="118" t="e">
        <f t="shared" si="0"/>
        <v>#DIV/0!</v>
      </c>
      <c r="D28" s="117"/>
      <c r="E28" s="118" t="e">
        <f t="shared" si="1"/>
        <v>#DIV/0!</v>
      </c>
      <c r="F28" s="117"/>
      <c r="G28" s="118" t="e">
        <f t="shared" si="2"/>
        <v>#DIV/0!</v>
      </c>
      <c r="H28" s="117"/>
      <c r="I28" s="128" t="e">
        <f t="shared" si="3"/>
        <v>#DIV/0!</v>
      </c>
    </row>
    <row r="29" spans="1:12" ht="18.75" thickBot="1">
      <c r="A29" s="142" t="s">
        <v>187</v>
      </c>
      <c r="B29" s="143">
        <f>B26+B27+B28</f>
        <v>0</v>
      </c>
      <c r="C29" s="139" t="e">
        <f t="shared" si="0"/>
        <v>#DIV/0!</v>
      </c>
      <c r="D29" s="143">
        <f>D26+D27+D28</f>
        <v>0</v>
      </c>
      <c r="E29" s="139" t="e">
        <f t="shared" si="1"/>
        <v>#DIV/0!</v>
      </c>
      <c r="F29" s="143">
        <f>F26+F27+F28</f>
        <v>0</v>
      </c>
      <c r="G29" s="118" t="e">
        <f t="shared" si="2"/>
        <v>#DIV/0!</v>
      </c>
      <c r="H29" s="143">
        <f>H26+H27+H28</f>
        <v>0</v>
      </c>
      <c r="I29" s="128" t="e">
        <f t="shared" si="3"/>
        <v>#DIV/0!</v>
      </c>
    </row>
    <row r="30" spans="1:12" ht="18.75" thickBot="1">
      <c r="A30" s="142"/>
      <c r="B30" s="143"/>
      <c r="C30" s="139"/>
      <c r="D30" s="143"/>
      <c r="E30" s="139"/>
      <c r="F30" s="143"/>
      <c r="G30" s="139"/>
      <c r="H30" s="143"/>
      <c r="I30" s="144"/>
      <c r="J30" s="145"/>
    </row>
    <row r="31" spans="1:12" ht="18">
      <c r="A31" s="146"/>
      <c r="B31" s="147"/>
      <c r="C31" s="148"/>
      <c r="D31" s="147"/>
      <c r="E31" s="148"/>
      <c r="F31" s="147"/>
      <c r="G31" s="148"/>
      <c r="H31" s="147"/>
      <c r="I31" s="149" t="s">
        <v>330</v>
      </c>
    </row>
    <row r="32" spans="1:12" ht="18">
      <c r="A32" s="753" t="s">
        <v>331</v>
      </c>
      <c r="B32" s="754" t="str">
        <f>B3</f>
        <v>31.03.2021</v>
      </c>
      <c r="C32" s="150" t="s">
        <v>303</v>
      </c>
      <c r="D32" s="754" t="str">
        <f>D3</f>
        <v>31.03.2020</v>
      </c>
      <c r="E32" s="150" t="s">
        <v>303</v>
      </c>
      <c r="F32" s="754" t="str">
        <f>F3</f>
        <v>31.03.2019</v>
      </c>
      <c r="G32" s="150" t="s">
        <v>303</v>
      </c>
      <c r="H32" s="755" t="s">
        <v>306</v>
      </c>
      <c r="I32" s="151"/>
    </row>
    <row r="33" spans="1:10" ht="18">
      <c r="A33" s="753"/>
      <c r="B33" s="754"/>
      <c r="C33" s="152" t="str">
        <f>C4</f>
        <v>In 2021</v>
      </c>
      <c r="D33" s="754"/>
      <c r="E33" s="152" t="str">
        <f>E4</f>
        <v>In 2020</v>
      </c>
      <c r="F33" s="754"/>
      <c r="G33" s="152" t="str">
        <f>G4</f>
        <v>In 2019</v>
      </c>
      <c r="H33" s="755"/>
      <c r="I33" s="153"/>
    </row>
    <row r="34" spans="1:10" ht="18">
      <c r="A34" s="154" t="s">
        <v>332</v>
      </c>
      <c r="B34" s="117"/>
      <c r="C34" s="118" t="e">
        <f t="shared" ref="C34:C65" si="4">(B34-D34)/D34*100</f>
        <v>#DIV/0!</v>
      </c>
      <c r="D34" s="117"/>
      <c r="E34" s="118" t="e">
        <f t="shared" ref="E34:E65" si="5">(D34-F34)/F34*100</f>
        <v>#DIV/0!</v>
      </c>
      <c r="F34" s="117"/>
      <c r="G34" s="118" t="e">
        <f t="shared" ref="G34:G65" si="6">(F34-H34)/H34*100</f>
        <v>#DIV/0!</v>
      </c>
      <c r="H34" s="117"/>
      <c r="I34" s="112"/>
    </row>
    <row r="35" spans="1:10" ht="26.25">
      <c r="A35" s="154" t="s">
        <v>333</v>
      </c>
      <c r="B35" s="117"/>
      <c r="C35" s="118" t="e">
        <f t="shared" si="4"/>
        <v>#DIV/0!</v>
      </c>
      <c r="D35" s="117"/>
      <c r="E35" s="118" t="e">
        <f t="shared" si="5"/>
        <v>#DIV/0!</v>
      </c>
      <c r="F35" s="119"/>
      <c r="G35" s="118" t="e">
        <f t="shared" si="6"/>
        <v>#DIV/0!</v>
      </c>
      <c r="H35" s="119"/>
      <c r="I35" s="112"/>
    </row>
    <row r="36" spans="1:10" ht="18">
      <c r="A36" s="155" t="s">
        <v>188</v>
      </c>
      <c r="B36" s="123">
        <f>SUM(B34:B35)</f>
        <v>0</v>
      </c>
      <c r="C36" s="118" t="e">
        <f t="shared" si="4"/>
        <v>#DIV/0!</v>
      </c>
      <c r="D36" s="123">
        <f>SUM(D34:D35)</f>
        <v>0</v>
      </c>
      <c r="E36" s="118" t="e">
        <f t="shared" si="5"/>
        <v>#DIV/0!</v>
      </c>
      <c r="F36" s="136">
        <f>SUM(F34:F35)</f>
        <v>0</v>
      </c>
      <c r="G36" s="118" t="e">
        <f t="shared" si="6"/>
        <v>#DIV/0!</v>
      </c>
      <c r="H36" s="136">
        <f>SUM(H34:H35)</f>
        <v>0</v>
      </c>
      <c r="I36" s="112"/>
    </row>
    <row r="37" spans="1:10" ht="18">
      <c r="A37" s="154" t="s">
        <v>334</v>
      </c>
      <c r="B37" s="117"/>
      <c r="C37" s="118" t="e">
        <f t="shared" si="4"/>
        <v>#DIV/0!</v>
      </c>
      <c r="D37" s="117"/>
      <c r="E37" s="118" t="e">
        <f t="shared" si="5"/>
        <v>#DIV/0!</v>
      </c>
      <c r="F37" s="117"/>
      <c r="G37" s="118" t="e">
        <f t="shared" si="6"/>
        <v>#DIV/0!</v>
      </c>
      <c r="H37" s="117"/>
      <c r="I37" s="112"/>
    </row>
    <row r="38" spans="1:10" ht="18">
      <c r="A38" s="155" t="s">
        <v>335</v>
      </c>
      <c r="B38" s="123">
        <f>B34+B35+B43-B62-B64-B52</f>
        <v>0</v>
      </c>
      <c r="C38" s="118" t="e">
        <f t="shared" si="4"/>
        <v>#DIV/0!</v>
      </c>
      <c r="D38" s="123">
        <f>D34+D35+D43-D62-D64-D52</f>
        <v>0</v>
      </c>
      <c r="E38" s="118" t="e">
        <f t="shared" si="5"/>
        <v>#DIV/0!</v>
      </c>
      <c r="F38" s="136">
        <f>F34+F35+F43-F62-F64-F52</f>
        <v>0</v>
      </c>
      <c r="G38" s="118" t="e">
        <f t="shared" si="6"/>
        <v>#DIV/0!</v>
      </c>
      <c r="H38" s="136">
        <f>H34+H35+H43-H62-H64-H52</f>
        <v>0</v>
      </c>
      <c r="I38" s="112"/>
    </row>
    <row r="39" spans="1:10" ht="18">
      <c r="A39" s="154" t="s">
        <v>189</v>
      </c>
      <c r="B39" s="117"/>
      <c r="C39" s="118" t="e">
        <f t="shared" si="4"/>
        <v>#DIV/0!</v>
      </c>
      <c r="D39" s="117"/>
      <c r="E39" s="118" t="e">
        <f t="shared" si="5"/>
        <v>#DIV/0!</v>
      </c>
      <c r="F39" s="119"/>
      <c r="G39" s="118" t="e">
        <f t="shared" si="6"/>
        <v>#DIV/0!</v>
      </c>
      <c r="H39" s="119"/>
    </row>
    <row r="40" spans="1:10" ht="18">
      <c r="A40" s="154" t="s">
        <v>190</v>
      </c>
      <c r="B40" s="117"/>
      <c r="C40" s="118" t="e">
        <f t="shared" si="4"/>
        <v>#DIV/0!</v>
      </c>
      <c r="D40" s="117"/>
      <c r="E40" s="118" t="e">
        <f t="shared" si="5"/>
        <v>#DIV/0!</v>
      </c>
      <c r="F40" s="119"/>
      <c r="G40" s="118" t="e">
        <f t="shared" si="6"/>
        <v>#DIV/0!</v>
      </c>
      <c r="H40" s="119"/>
      <c r="I40" s="156"/>
      <c r="J40" s="157"/>
    </row>
    <row r="41" spans="1:10" ht="18">
      <c r="A41" s="158" t="s">
        <v>336</v>
      </c>
      <c r="B41" s="159">
        <f>B39+B40</f>
        <v>0</v>
      </c>
      <c r="C41" s="118" t="e">
        <f t="shared" si="4"/>
        <v>#DIV/0!</v>
      </c>
      <c r="D41" s="159">
        <f>D39+D40</f>
        <v>0</v>
      </c>
      <c r="E41" s="118" t="e">
        <f t="shared" si="5"/>
        <v>#DIV/0!</v>
      </c>
      <c r="F41" s="159">
        <f>F39+F40</f>
        <v>0</v>
      </c>
      <c r="G41" s="118" t="e">
        <f t="shared" si="6"/>
        <v>#DIV/0!</v>
      </c>
      <c r="H41" s="159">
        <f>H39+H40</f>
        <v>0</v>
      </c>
      <c r="I41" s="112"/>
      <c r="J41" s="157"/>
    </row>
    <row r="42" spans="1:10" ht="18">
      <c r="A42" s="154" t="s">
        <v>337</v>
      </c>
      <c r="B42" s="117"/>
      <c r="C42" s="118" t="e">
        <f t="shared" si="4"/>
        <v>#DIV/0!</v>
      </c>
      <c r="D42" s="117"/>
      <c r="E42" s="118" t="e">
        <f t="shared" si="5"/>
        <v>#DIV/0!</v>
      </c>
      <c r="F42" s="119"/>
      <c r="G42" s="118" t="e">
        <f t="shared" si="6"/>
        <v>#DIV/0!</v>
      </c>
      <c r="H42" s="119"/>
      <c r="I42" s="112"/>
    </row>
    <row r="43" spans="1:10" ht="26.25">
      <c r="A43" s="160" t="s">
        <v>338</v>
      </c>
      <c r="B43" s="117"/>
      <c r="C43" s="118" t="e">
        <f t="shared" si="4"/>
        <v>#DIV/0!</v>
      </c>
      <c r="D43" s="117"/>
      <c r="E43" s="118" t="e">
        <f t="shared" si="5"/>
        <v>#DIV/0!</v>
      </c>
      <c r="F43" s="119"/>
      <c r="G43" s="118" t="e">
        <f t="shared" si="6"/>
        <v>#DIV/0!</v>
      </c>
      <c r="H43" s="119"/>
      <c r="I43" s="112"/>
    </row>
    <row r="44" spans="1:10" ht="18">
      <c r="A44" s="161" t="s">
        <v>339</v>
      </c>
      <c r="B44" s="162">
        <f>B45+B46</f>
        <v>0</v>
      </c>
      <c r="C44" s="118" t="e">
        <f t="shared" si="4"/>
        <v>#DIV/0!</v>
      </c>
      <c r="D44" s="162">
        <f>D45+D46</f>
        <v>0</v>
      </c>
      <c r="E44" s="118" t="e">
        <f t="shared" si="5"/>
        <v>#DIV/0!</v>
      </c>
      <c r="F44" s="162">
        <f>F45+F46</f>
        <v>0</v>
      </c>
      <c r="G44" s="118" t="e">
        <f t="shared" si="6"/>
        <v>#DIV/0!</v>
      </c>
      <c r="H44" s="162">
        <f>H45+H46</f>
        <v>0</v>
      </c>
      <c r="I44" s="112"/>
    </row>
    <row r="45" spans="1:10" ht="18">
      <c r="A45" s="163" t="s">
        <v>340</v>
      </c>
      <c r="B45" s="117"/>
      <c r="C45" s="118" t="e">
        <f t="shared" si="4"/>
        <v>#DIV/0!</v>
      </c>
      <c r="D45" s="117"/>
      <c r="E45" s="118" t="e">
        <f t="shared" si="5"/>
        <v>#DIV/0!</v>
      </c>
      <c r="F45" s="119"/>
      <c r="G45" s="118" t="e">
        <f t="shared" si="6"/>
        <v>#DIV/0!</v>
      </c>
      <c r="H45" s="119"/>
      <c r="I45" s="112"/>
    </row>
    <row r="46" spans="1:10" ht="18">
      <c r="A46" s="154" t="s">
        <v>341</v>
      </c>
      <c r="B46" s="117"/>
      <c r="C46" s="118" t="e">
        <f t="shared" si="4"/>
        <v>#DIV/0!</v>
      </c>
      <c r="D46" s="117"/>
      <c r="E46" s="118" t="e">
        <f t="shared" si="5"/>
        <v>#DIV/0!</v>
      </c>
      <c r="F46" s="119"/>
      <c r="G46" s="118" t="e">
        <f t="shared" si="6"/>
        <v>#DIV/0!</v>
      </c>
      <c r="H46" s="119"/>
      <c r="I46" s="112"/>
    </row>
    <row r="47" spans="1:10" ht="18">
      <c r="A47" s="164" t="s">
        <v>342</v>
      </c>
      <c r="B47" s="136">
        <f>B41+B42+B44</f>
        <v>0</v>
      </c>
      <c r="C47" s="118" t="e">
        <f t="shared" si="4"/>
        <v>#DIV/0!</v>
      </c>
      <c r="D47" s="136">
        <f>D41+D42+D44</f>
        <v>0</v>
      </c>
      <c r="E47" s="118" t="e">
        <f t="shared" si="5"/>
        <v>#DIV/0!</v>
      </c>
      <c r="F47" s="136">
        <f>F41+F42+F44</f>
        <v>0</v>
      </c>
      <c r="G47" s="118" t="e">
        <f t="shared" si="6"/>
        <v>#DIV/0!</v>
      </c>
      <c r="H47" s="136">
        <f>H41+H42+H44</f>
        <v>0</v>
      </c>
      <c r="I47" s="112"/>
    </row>
    <row r="48" spans="1:10" ht="18">
      <c r="A48" s="198" t="s">
        <v>343</v>
      </c>
      <c r="B48" s="199">
        <f>B36+B37+B41+B42+B43+B44</f>
        <v>0</v>
      </c>
      <c r="C48" s="200" t="e">
        <f t="shared" si="4"/>
        <v>#DIV/0!</v>
      </c>
      <c r="D48" s="199">
        <f>D36+D37+D41+D42+D43+D44</f>
        <v>0</v>
      </c>
      <c r="E48" s="200" t="e">
        <f t="shared" si="5"/>
        <v>#DIV/0!</v>
      </c>
      <c r="F48" s="199">
        <f>F36+F37+F41+F42+F43+F44</f>
        <v>0</v>
      </c>
      <c r="G48" s="200" t="e">
        <f t="shared" si="6"/>
        <v>#DIV/0!</v>
      </c>
      <c r="H48" s="199">
        <f>H36+H37+H41+H42+H43+H44</f>
        <v>0</v>
      </c>
      <c r="I48" s="112"/>
    </row>
    <row r="49" spans="1:9" ht="18">
      <c r="A49" s="160" t="s">
        <v>344</v>
      </c>
      <c r="B49" s="117"/>
      <c r="C49" s="118" t="e">
        <f t="shared" si="4"/>
        <v>#DIV/0!</v>
      </c>
      <c r="D49" s="117"/>
      <c r="E49" s="118" t="e">
        <f t="shared" si="5"/>
        <v>#DIV/0!</v>
      </c>
      <c r="F49" s="119"/>
      <c r="G49" s="118" t="e">
        <f t="shared" si="6"/>
        <v>#DIV/0!</v>
      </c>
      <c r="H49" s="119"/>
      <c r="I49" s="165"/>
    </row>
    <row r="50" spans="1:9" ht="18">
      <c r="A50" s="166" t="s">
        <v>345</v>
      </c>
      <c r="B50" s="136">
        <f>B51+B53+B52</f>
        <v>0</v>
      </c>
      <c r="C50" s="118" t="e">
        <f t="shared" si="4"/>
        <v>#DIV/0!</v>
      </c>
      <c r="D50" s="136">
        <f>D51+D53+D52</f>
        <v>0</v>
      </c>
      <c r="E50" s="118" t="e">
        <f t="shared" si="5"/>
        <v>#DIV/0!</v>
      </c>
      <c r="F50" s="136">
        <f>F51+F53+F52</f>
        <v>0</v>
      </c>
      <c r="G50" s="118" t="e">
        <f t="shared" si="6"/>
        <v>#DIV/0!</v>
      </c>
      <c r="H50" s="136">
        <f>H51+H53+H52</f>
        <v>0</v>
      </c>
      <c r="I50" s="112"/>
    </row>
    <row r="51" spans="1:9" ht="18">
      <c r="A51" s="167" t="s">
        <v>346</v>
      </c>
      <c r="B51" s="117"/>
      <c r="C51" s="118" t="e">
        <f t="shared" si="4"/>
        <v>#DIV/0!</v>
      </c>
      <c r="D51" s="117"/>
      <c r="E51" s="118" t="e">
        <f t="shared" si="5"/>
        <v>#DIV/0!</v>
      </c>
      <c r="F51" s="119"/>
      <c r="G51" s="118" t="e">
        <f t="shared" si="6"/>
        <v>#DIV/0!</v>
      </c>
      <c r="H51" s="119"/>
      <c r="I51" s="112"/>
    </row>
    <row r="52" spans="1:9" ht="18">
      <c r="A52" s="167" t="s">
        <v>347</v>
      </c>
      <c r="B52" s="117"/>
      <c r="C52" s="118" t="e">
        <f t="shared" si="4"/>
        <v>#DIV/0!</v>
      </c>
      <c r="D52" s="117"/>
      <c r="E52" s="118" t="e">
        <f t="shared" si="5"/>
        <v>#DIV/0!</v>
      </c>
      <c r="F52" s="117"/>
      <c r="G52" s="118" t="e">
        <f t="shared" si="6"/>
        <v>#DIV/0!</v>
      </c>
      <c r="H52" s="117"/>
      <c r="I52" s="112"/>
    </row>
    <row r="53" spans="1:9" ht="18">
      <c r="A53" s="167" t="s">
        <v>348</v>
      </c>
      <c r="B53" s="117"/>
      <c r="C53" s="118" t="e">
        <f t="shared" si="4"/>
        <v>#DIV/0!</v>
      </c>
      <c r="D53" s="117"/>
      <c r="E53" s="118" t="e">
        <f t="shared" si="5"/>
        <v>#DIV/0!</v>
      </c>
      <c r="F53" s="117"/>
      <c r="G53" s="118" t="e">
        <f t="shared" si="6"/>
        <v>#DIV/0!</v>
      </c>
      <c r="H53" s="117"/>
      <c r="I53" s="112"/>
    </row>
    <row r="54" spans="1:9" ht="18">
      <c r="A54" s="168" t="s">
        <v>349</v>
      </c>
      <c r="B54" s="162">
        <f>B56+B57+B60+B61+B55</f>
        <v>0</v>
      </c>
      <c r="C54" s="118" t="e">
        <f t="shared" si="4"/>
        <v>#DIV/0!</v>
      </c>
      <c r="D54" s="162">
        <f>D56+D57+D60+D61+D55</f>
        <v>0</v>
      </c>
      <c r="E54" s="118" t="e">
        <f t="shared" si="5"/>
        <v>#DIV/0!</v>
      </c>
      <c r="F54" s="162">
        <f>F56+F57+F60+F61+F55</f>
        <v>0</v>
      </c>
      <c r="G54" s="118" t="e">
        <f t="shared" si="6"/>
        <v>#DIV/0!</v>
      </c>
      <c r="H54" s="162">
        <f>H56+H57+H60+H61+H55</f>
        <v>0</v>
      </c>
      <c r="I54" s="112"/>
    </row>
    <row r="55" spans="1:9" ht="18">
      <c r="A55" s="169" t="s">
        <v>350</v>
      </c>
      <c r="B55" s="117"/>
      <c r="C55" s="118" t="e">
        <f t="shared" si="4"/>
        <v>#DIV/0!</v>
      </c>
      <c r="D55" s="117"/>
      <c r="E55" s="118" t="e">
        <f t="shared" si="5"/>
        <v>#DIV/0!</v>
      </c>
      <c r="F55" s="117"/>
      <c r="G55" s="118" t="e">
        <f t="shared" si="6"/>
        <v>#DIV/0!</v>
      </c>
      <c r="H55" s="117"/>
      <c r="I55" s="112"/>
    </row>
    <row r="56" spans="1:9" ht="18">
      <c r="A56" s="160" t="s">
        <v>351</v>
      </c>
      <c r="B56" s="117"/>
      <c r="C56" s="118" t="e">
        <f t="shared" si="4"/>
        <v>#DIV/0!</v>
      </c>
      <c r="D56" s="117"/>
      <c r="E56" s="118" t="e">
        <f t="shared" si="5"/>
        <v>#DIV/0!</v>
      </c>
      <c r="F56" s="119"/>
      <c r="G56" s="118" t="e">
        <f t="shared" si="6"/>
        <v>#DIV/0!</v>
      </c>
      <c r="H56" s="119"/>
      <c r="I56" s="112"/>
    </row>
    <row r="57" spans="1:9" ht="18">
      <c r="A57" s="170" t="s">
        <v>352</v>
      </c>
      <c r="B57" s="162">
        <f>B58+B59</f>
        <v>0</v>
      </c>
      <c r="C57" s="118" t="e">
        <f t="shared" si="4"/>
        <v>#DIV/0!</v>
      </c>
      <c r="D57" s="162">
        <f>D58+D59</f>
        <v>0</v>
      </c>
      <c r="E57" s="118" t="e">
        <f t="shared" si="5"/>
        <v>#DIV/0!</v>
      </c>
      <c r="F57" s="162">
        <f>F58+F59</f>
        <v>0</v>
      </c>
      <c r="G57" s="118" t="e">
        <f t="shared" si="6"/>
        <v>#DIV/0!</v>
      </c>
      <c r="H57" s="162">
        <f>H58+H59</f>
        <v>0</v>
      </c>
      <c r="I57" s="112"/>
    </row>
    <row r="58" spans="1:9" ht="18">
      <c r="A58" s="160" t="s">
        <v>353</v>
      </c>
      <c r="B58" s="117"/>
      <c r="C58" s="118" t="e">
        <f t="shared" si="4"/>
        <v>#DIV/0!</v>
      </c>
      <c r="D58" s="117"/>
      <c r="E58" s="118" t="e">
        <f t="shared" si="5"/>
        <v>#DIV/0!</v>
      </c>
      <c r="F58" s="117"/>
      <c r="G58" s="118" t="e">
        <f t="shared" si="6"/>
        <v>#DIV/0!</v>
      </c>
      <c r="H58" s="117"/>
      <c r="I58" s="112"/>
    </row>
    <row r="59" spans="1:9" ht="18">
      <c r="A59" s="160" t="s">
        <v>354</v>
      </c>
      <c r="B59" s="117"/>
      <c r="C59" s="118" t="e">
        <f t="shared" si="4"/>
        <v>#DIV/0!</v>
      </c>
      <c r="D59" s="117"/>
      <c r="E59" s="118" t="e">
        <f t="shared" si="5"/>
        <v>#DIV/0!</v>
      </c>
      <c r="F59" s="119"/>
      <c r="G59" s="118" t="e">
        <f t="shared" si="6"/>
        <v>#DIV/0!</v>
      </c>
      <c r="H59" s="119"/>
      <c r="I59" s="112"/>
    </row>
    <row r="60" spans="1:9" ht="18">
      <c r="A60" s="160" t="s">
        <v>355</v>
      </c>
      <c r="B60" s="117"/>
      <c r="C60" s="118" t="e">
        <f t="shared" si="4"/>
        <v>#DIV/0!</v>
      </c>
      <c r="D60" s="117"/>
      <c r="E60" s="118" t="e">
        <f t="shared" si="5"/>
        <v>#DIV/0!</v>
      </c>
      <c r="F60" s="119"/>
      <c r="G60" s="118" t="e">
        <f t="shared" si="6"/>
        <v>#DIV/0!</v>
      </c>
      <c r="H60" s="119"/>
      <c r="I60" s="165"/>
    </row>
    <row r="61" spans="1:9" ht="18">
      <c r="A61" s="171" t="s">
        <v>356</v>
      </c>
      <c r="B61" s="172">
        <f>B62+B63</f>
        <v>0</v>
      </c>
      <c r="C61" s="118" t="e">
        <f t="shared" si="4"/>
        <v>#DIV/0!</v>
      </c>
      <c r="D61" s="172">
        <f>D62+D63</f>
        <v>0</v>
      </c>
      <c r="E61" s="118" t="e">
        <f t="shared" si="5"/>
        <v>#DIV/0!</v>
      </c>
      <c r="F61" s="172">
        <f>F62+F63</f>
        <v>0</v>
      </c>
      <c r="G61" s="118" t="e">
        <f t="shared" si="6"/>
        <v>#DIV/0!</v>
      </c>
      <c r="H61" s="172">
        <f>H62+H63</f>
        <v>0</v>
      </c>
      <c r="I61" s="112"/>
    </row>
    <row r="62" spans="1:9" ht="26.25">
      <c r="A62" s="154" t="s">
        <v>357</v>
      </c>
      <c r="B62" s="117"/>
      <c r="C62" s="118" t="e">
        <f t="shared" si="4"/>
        <v>#DIV/0!</v>
      </c>
      <c r="D62" s="117"/>
      <c r="E62" s="118" t="e">
        <f t="shared" si="5"/>
        <v>#DIV/0!</v>
      </c>
      <c r="F62" s="117"/>
      <c r="G62" s="118" t="e">
        <f t="shared" si="6"/>
        <v>#DIV/0!</v>
      </c>
      <c r="H62" s="117"/>
      <c r="I62" s="112"/>
    </row>
    <row r="63" spans="1:9" ht="18">
      <c r="A63" s="154" t="s">
        <v>358</v>
      </c>
      <c r="B63" s="117"/>
      <c r="C63" s="118" t="e">
        <f t="shared" si="4"/>
        <v>#DIV/0!</v>
      </c>
      <c r="D63" s="117"/>
      <c r="E63" s="118" t="e">
        <f t="shared" si="5"/>
        <v>#DIV/0!</v>
      </c>
      <c r="F63" s="119"/>
      <c r="G63" s="118" t="e">
        <f t="shared" si="6"/>
        <v>#DIV/0!</v>
      </c>
      <c r="H63" s="119"/>
      <c r="I63" s="112"/>
    </row>
    <row r="64" spans="1:9" ht="26.25">
      <c r="A64" s="154" t="s">
        <v>359</v>
      </c>
      <c r="B64" s="117"/>
      <c r="C64" s="118" t="e">
        <f t="shared" si="4"/>
        <v>#DIV/0!</v>
      </c>
      <c r="D64" s="117"/>
      <c r="E64" s="118" t="e">
        <f t="shared" si="5"/>
        <v>#DIV/0!</v>
      </c>
      <c r="F64" s="117"/>
      <c r="G64" s="118" t="e">
        <f t="shared" si="6"/>
        <v>#DIV/0!</v>
      </c>
      <c r="H64" s="117"/>
      <c r="I64" s="112"/>
    </row>
    <row r="65" spans="1:10" ht="18">
      <c r="A65" s="198" t="s">
        <v>343</v>
      </c>
      <c r="B65" s="201">
        <f>B49+B50+B54+B64</f>
        <v>0</v>
      </c>
      <c r="C65" s="200" t="e">
        <f t="shared" si="4"/>
        <v>#DIV/0!</v>
      </c>
      <c r="D65" s="201">
        <f>D49+D50+D54+D64</f>
        <v>0</v>
      </c>
      <c r="E65" s="200" t="e">
        <f t="shared" si="5"/>
        <v>#DIV/0!</v>
      </c>
      <c r="F65" s="201">
        <f>F49+F50+F54+F64</f>
        <v>0</v>
      </c>
      <c r="G65" s="200" t="e">
        <f t="shared" si="6"/>
        <v>#DIV/0!</v>
      </c>
      <c r="H65" s="201">
        <f>H49+H50+H54+H64</f>
        <v>0</v>
      </c>
      <c r="I65" s="153"/>
    </row>
    <row r="66" spans="1:10" ht="18">
      <c r="A66" s="173"/>
      <c r="B66" s="173"/>
      <c r="C66" s="173"/>
      <c r="D66" s="173"/>
      <c r="E66" s="173"/>
      <c r="F66" s="173"/>
      <c r="G66" s="173"/>
      <c r="H66" s="173"/>
      <c r="I66" s="112"/>
      <c r="J66" s="129"/>
    </row>
    <row r="67" spans="1:10" ht="18">
      <c r="A67" s="750" t="s">
        <v>360</v>
      </c>
      <c r="B67" s="750"/>
      <c r="C67" s="750"/>
      <c r="D67" s="750"/>
      <c r="E67" s="750"/>
      <c r="F67" s="750"/>
      <c r="G67" s="750"/>
      <c r="H67" s="750"/>
      <c r="I67" s="112"/>
    </row>
    <row r="68" spans="1:10" ht="18">
      <c r="A68" s="750"/>
      <c r="B68" s="750"/>
      <c r="C68" s="750"/>
      <c r="D68" s="750"/>
      <c r="E68" s="750"/>
      <c r="F68" s="750"/>
      <c r="G68" s="750"/>
      <c r="H68" s="750"/>
      <c r="I68" s="112"/>
    </row>
    <row r="69" spans="1:10" ht="18.75" thickBot="1">
      <c r="A69" s="174" t="s">
        <v>361</v>
      </c>
      <c r="B69" s="175" t="e">
        <f>B57/B5*365</f>
        <v>#DIV/0!</v>
      </c>
      <c r="C69" s="174"/>
      <c r="D69" s="175" t="e">
        <f>D57/D5*365</f>
        <v>#DIV/0!</v>
      </c>
      <c r="E69" s="174"/>
      <c r="F69" s="175" t="e">
        <f>F57/F5*365</f>
        <v>#DIV/0!</v>
      </c>
      <c r="G69" s="174"/>
      <c r="H69" s="175" t="e">
        <f>H57/H5*365</f>
        <v>#DIV/0!</v>
      </c>
      <c r="I69" s="176"/>
    </row>
    <row r="70" spans="1:10" ht="18">
      <c r="A70" s="174" t="s">
        <v>362</v>
      </c>
      <c r="B70" s="175" t="e">
        <f>B56/(B10+B11+B12)*365</f>
        <v>#DIV/0!</v>
      </c>
      <c r="C70" s="174"/>
      <c r="D70" s="175" t="e">
        <f>D56/(D10+D11+D12)*365</f>
        <v>#DIV/0!</v>
      </c>
      <c r="E70" s="174"/>
      <c r="F70" s="175" t="e">
        <f>F56/(F10+F11+F12)*365</f>
        <v>#DIV/0!</v>
      </c>
      <c r="G70" s="174"/>
      <c r="H70" s="175" t="e">
        <f>H56/(H10+H11+H12)*365</f>
        <v>#DIV/0!</v>
      </c>
      <c r="I70" s="112"/>
    </row>
    <row r="71" spans="1:10" ht="18">
      <c r="A71" s="174" t="s">
        <v>363</v>
      </c>
      <c r="B71" s="175" t="e">
        <f>B56/(B11+B10+B12)</f>
        <v>#DIV/0!</v>
      </c>
      <c r="C71" s="174"/>
      <c r="D71" s="175" t="e">
        <f>D56/(D11+D10+D12)</f>
        <v>#DIV/0!</v>
      </c>
      <c r="E71" s="174"/>
      <c r="F71" s="175" t="e">
        <f>F56/(F11+F10+F12)</f>
        <v>#DIV/0!</v>
      </c>
      <c r="G71" s="174"/>
      <c r="H71" s="175" t="e">
        <f>H56/(H11+H10+H12)</f>
        <v>#DIV/0!</v>
      </c>
      <c r="I71" s="112"/>
    </row>
    <row r="72" spans="1:10" ht="18.75" thickBot="1">
      <c r="A72" s="174" t="s">
        <v>364</v>
      </c>
      <c r="B72" s="175" t="e">
        <f>B54/(B44+B40)</f>
        <v>#DIV/0!</v>
      </c>
      <c r="C72" s="174"/>
      <c r="D72" s="175" t="e">
        <f>D54/(D44+D40)</f>
        <v>#DIV/0!</v>
      </c>
      <c r="E72" s="174"/>
      <c r="F72" s="175" t="e">
        <f>F54/(F44+F40)</f>
        <v>#DIV/0!</v>
      </c>
      <c r="G72" s="174"/>
      <c r="H72" s="175" t="e">
        <f>H54/(H44+H40)</f>
        <v>#DIV/0!</v>
      </c>
      <c r="I72" s="112"/>
    </row>
    <row r="73" spans="1:10" ht="18.75" thickBot="1">
      <c r="A73" s="174" t="s">
        <v>365</v>
      </c>
      <c r="B73" s="175" t="e">
        <f>(B54-B56)/(B44+B40)</f>
        <v>#DIV/0!</v>
      </c>
      <c r="C73" s="174"/>
      <c r="D73" s="175" t="e">
        <f>(D54-D56)/(D44+D40)</f>
        <v>#DIV/0!</v>
      </c>
      <c r="E73" s="174"/>
      <c r="F73" s="175" t="e">
        <f>(F54-F56)/(F44+F40)</f>
        <v>#DIV/0!</v>
      </c>
      <c r="G73" s="174"/>
      <c r="H73" s="175" t="e">
        <f>(H54-H56)/(H44+H40)</f>
        <v>#DIV/0!</v>
      </c>
      <c r="I73" s="177"/>
    </row>
    <row r="74" spans="1:10" ht="18.75" thickBot="1">
      <c r="A74" s="174" t="s">
        <v>366</v>
      </c>
      <c r="B74" s="175" t="e">
        <f>(B39+B40+B42)/B36</f>
        <v>#DIV/0!</v>
      </c>
      <c r="C74" s="174"/>
      <c r="D74" s="175" t="e">
        <f>(D39+D40+D42)/D36</f>
        <v>#DIV/0!</v>
      </c>
      <c r="E74" s="174"/>
      <c r="F74" s="175" t="e">
        <f>(F39+F40+F42)/F36</f>
        <v>#DIV/0!</v>
      </c>
      <c r="G74" s="174"/>
      <c r="H74" s="175" t="e">
        <f>(H39+H40+H42)/H36</f>
        <v>#DIV/0!</v>
      </c>
      <c r="I74" s="177"/>
    </row>
    <row r="75" spans="1:10" ht="18">
      <c r="A75" s="174" t="s">
        <v>367</v>
      </c>
      <c r="B75" s="175" t="e">
        <f>B16/(B18+B19+B20+B21)</f>
        <v>#DIV/0!</v>
      </c>
      <c r="C75" s="174"/>
      <c r="D75" s="175" t="e">
        <f>D16/(D18+D19+D20+D21)</f>
        <v>#DIV/0!</v>
      </c>
      <c r="E75" s="174"/>
      <c r="F75" s="175" t="e">
        <f>F16/(F18+F19+F20+F21)</f>
        <v>#DIV/0!</v>
      </c>
      <c r="G75" s="174"/>
      <c r="H75" s="175" t="e">
        <f>H16/(H18+H19+H20+H21)</f>
        <v>#DIV/0!</v>
      </c>
      <c r="I75" s="112"/>
    </row>
    <row r="76" spans="1:10" ht="18">
      <c r="A76" s="174" t="s">
        <v>368</v>
      </c>
      <c r="B76" s="175" t="e">
        <f>$B$16/($B$18+$B$19+$B$20+$B$21+($B$39+$B$42)/5)</f>
        <v>#DIV/0!</v>
      </c>
      <c r="C76" s="174"/>
      <c r="D76" s="175" t="e">
        <f>$D$16/($D$18+$D$19+$D$20+$D$21+($D$39+$D$42)/5)</f>
        <v>#DIV/0!</v>
      </c>
      <c r="E76" s="174"/>
      <c r="F76" s="175" t="e">
        <f>$F$16/($F$18+$F$19+$F$20+$F$21+($F$39+$F$42)/5)</f>
        <v>#DIV/0!</v>
      </c>
      <c r="G76" s="174"/>
      <c r="H76" s="175" t="e">
        <f>$H$16/($H$18+$H$19+$H$20+$H$21+($H$39+$H$42)/5)</f>
        <v>#DIV/0!</v>
      </c>
      <c r="I76" s="112"/>
    </row>
    <row r="77" spans="1:10" ht="18">
      <c r="A77" s="174" t="s">
        <v>369</v>
      </c>
      <c r="B77" s="175">
        <f>$B$16/($B$18+$B$19+$B$20+$B$21+($B$39+$B$42)/5+('Normal &amp; CGTMSE Eligibility'!F43))</f>
        <v>0</v>
      </c>
      <c r="C77" s="174"/>
      <c r="D77" s="175">
        <f>$D$16/($D$18+$D$19+$D$20+$D$21+($D$39+$D$42)/5+('Normal &amp; CGTMSE Eligibility'!F43))</f>
        <v>0</v>
      </c>
      <c r="E77" s="174"/>
      <c r="F77" s="175">
        <f>$F$16/($F$18+$F$19+$F$20+$F$21+($F$39+$F$42)/5+('Normal &amp; CGTMSE Eligibility'!F43))</f>
        <v>0</v>
      </c>
      <c r="G77" s="174"/>
      <c r="H77" s="175">
        <f>$H$16/($H$18+$H$19+$H$20+$H$21+($H$39+$H$42)/5+('Normal &amp; CGTMSE Eligibility'!F43))</f>
        <v>0</v>
      </c>
      <c r="I77" s="112"/>
    </row>
    <row r="78" spans="1:10" ht="18">
      <c r="A78" s="174" t="s">
        <v>370</v>
      </c>
      <c r="B78" s="175" t="e">
        <f>(B13-B7)/B5*100</f>
        <v>#DIV/0!</v>
      </c>
      <c r="C78" s="174"/>
      <c r="D78" s="175" t="e">
        <f>(D13-D7)/D5*100</f>
        <v>#DIV/0!</v>
      </c>
      <c r="E78" s="174"/>
      <c r="F78" s="175" t="e">
        <f>(F13-F7)/F5*100</f>
        <v>#DIV/0!</v>
      </c>
      <c r="G78" s="174"/>
      <c r="H78" s="175" t="e">
        <f>(H13-H7)/H5*100</f>
        <v>#DIV/0!</v>
      </c>
      <c r="I78" s="112"/>
    </row>
    <row r="79" spans="1:10" ht="18">
      <c r="A79" s="174" t="s">
        <v>371</v>
      </c>
      <c r="B79" s="175" t="e">
        <f>(B25-B7)/B5*100</f>
        <v>#DIV/0!</v>
      </c>
      <c r="C79" s="174"/>
      <c r="D79" s="175" t="e">
        <f>(D25-D7)/D5*100</f>
        <v>#DIV/0!</v>
      </c>
      <c r="E79" s="174"/>
      <c r="F79" s="175" t="e">
        <f>(F25-F7)/F5*100</f>
        <v>#DIV/0!</v>
      </c>
      <c r="G79" s="174"/>
      <c r="H79" s="175" t="e">
        <f>(H25-H7)/H5*100</f>
        <v>#DIV/0!</v>
      </c>
      <c r="I79" s="112"/>
    </row>
    <row r="80" spans="1:10" ht="18">
      <c r="A80" s="174" t="s">
        <v>372</v>
      </c>
      <c r="B80" s="175" t="e">
        <f>(B26-B7)/B5*100</f>
        <v>#DIV/0!</v>
      </c>
      <c r="C80" s="174"/>
      <c r="D80" s="175" t="e">
        <f>(D26-D7)/D5*100</f>
        <v>#DIV/0!</v>
      </c>
      <c r="E80" s="174"/>
      <c r="F80" s="175" t="e">
        <f>(F26-F7)/F5*100</f>
        <v>#DIV/0!</v>
      </c>
      <c r="G80" s="174"/>
      <c r="H80" s="175" t="e">
        <f>(H26-H7)/H5*100</f>
        <v>#DIV/0!</v>
      </c>
      <c r="I80" s="112"/>
    </row>
    <row r="81" spans="1:10" ht="18">
      <c r="A81" s="174" t="s">
        <v>373</v>
      </c>
      <c r="B81" s="178" t="e">
        <f>(B5-D5)/D5*100</f>
        <v>#DIV/0!</v>
      </c>
      <c r="C81" s="179"/>
      <c r="D81" s="178" t="e">
        <f>(D5-F5)/F5*100</f>
        <v>#DIV/0!</v>
      </c>
      <c r="E81" s="179"/>
      <c r="F81" s="178" t="e">
        <f>#N/A</f>
        <v>#N/A</v>
      </c>
      <c r="G81" s="179"/>
      <c r="H81" s="178" t="e">
        <f>#N/A</f>
        <v>#N/A</v>
      </c>
      <c r="I81" s="112"/>
      <c r="J81" s="129"/>
    </row>
    <row r="82" spans="1:10" ht="18">
      <c r="A82" s="174" t="s">
        <v>374</v>
      </c>
      <c r="B82" s="178" t="e">
        <f>(B25-D25)/D25*100</f>
        <v>#DIV/0!</v>
      </c>
      <c r="C82" s="179"/>
      <c r="D82" s="178" t="e">
        <f>(D25-F25)/F25*100</f>
        <v>#DIV/0!</v>
      </c>
      <c r="E82" s="179"/>
      <c r="F82" s="178" t="e">
        <f>#N/A</f>
        <v>#N/A</v>
      </c>
      <c r="G82" s="179"/>
      <c r="H82" s="178" t="e">
        <f>#N/A</f>
        <v>#N/A</v>
      </c>
      <c r="I82" s="112"/>
    </row>
    <row r="83" spans="1:10" ht="18">
      <c r="A83" s="174"/>
      <c r="B83" s="175"/>
      <c r="C83" s="174"/>
      <c r="D83" s="175"/>
      <c r="E83" s="174"/>
      <c r="F83" s="175"/>
      <c r="G83" s="174"/>
      <c r="H83" s="175"/>
      <c r="I83" s="112"/>
    </row>
    <row r="84" spans="1:10" ht="18">
      <c r="A84" s="180" t="s">
        <v>375</v>
      </c>
      <c r="B84" s="175"/>
      <c r="C84" s="174"/>
      <c r="D84" s="175"/>
      <c r="E84" s="174"/>
      <c r="F84" s="175"/>
      <c r="G84" s="174"/>
      <c r="H84" s="175"/>
      <c r="I84" s="112"/>
    </row>
    <row r="85" spans="1:10" ht="18">
      <c r="A85" s="180"/>
      <c r="B85" s="175"/>
      <c r="C85" s="174"/>
      <c r="D85" s="175"/>
      <c r="E85" s="174"/>
      <c r="F85" s="175"/>
      <c r="G85" s="174"/>
      <c r="H85" s="175"/>
      <c r="I85" s="112"/>
    </row>
    <row r="86" spans="1:10" ht="18">
      <c r="A86" s="174" t="s">
        <v>376</v>
      </c>
      <c r="B86" s="175">
        <f>B25</f>
        <v>0</v>
      </c>
      <c r="C86" s="174"/>
      <c r="D86" s="175">
        <f>D25</f>
        <v>0</v>
      </c>
      <c r="E86" s="174"/>
      <c r="F86" s="175">
        <f>F25</f>
        <v>0</v>
      </c>
      <c r="G86" s="174"/>
      <c r="H86" s="175">
        <f>H25</f>
        <v>0</v>
      </c>
      <c r="I86" s="112"/>
    </row>
    <row r="87" spans="1:10" ht="18">
      <c r="A87" s="174" t="s">
        <v>377</v>
      </c>
      <c r="B87" s="175"/>
      <c r="C87" s="174"/>
      <c r="D87" s="175"/>
      <c r="E87" s="174"/>
      <c r="F87" s="175"/>
      <c r="G87" s="174"/>
      <c r="H87" s="175"/>
      <c r="I87" s="112"/>
    </row>
    <row r="88" spans="1:10" ht="18">
      <c r="A88" s="174" t="s">
        <v>378</v>
      </c>
      <c r="B88" s="175">
        <f>B17</f>
        <v>0</v>
      </c>
      <c r="C88" s="174"/>
      <c r="D88" s="175">
        <f>D17</f>
        <v>0</v>
      </c>
      <c r="E88" s="174"/>
      <c r="F88" s="175">
        <f>F17</f>
        <v>0</v>
      </c>
      <c r="G88" s="174"/>
      <c r="H88" s="175">
        <f>H17</f>
        <v>0</v>
      </c>
      <c r="I88" s="112"/>
    </row>
    <row r="89" spans="1:10" ht="18">
      <c r="A89" s="174" t="s">
        <v>379</v>
      </c>
      <c r="B89" s="175">
        <f>B22</f>
        <v>0</v>
      </c>
      <c r="C89" s="174"/>
      <c r="D89" s="175">
        <f>D22</f>
        <v>0</v>
      </c>
      <c r="E89" s="174"/>
      <c r="F89" s="175">
        <f>F22</f>
        <v>0</v>
      </c>
      <c r="G89" s="174"/>
      <c r="H89" s="175">
        <f>H22</f>
        <v>0</v>
      </c>
      <c r="I89" s="112"/>
    </row>
    <row r="90" spans="1:10" ht="18">
      <c r="A90" s="174" t="s">
        <v>380</v>
      </c>
      <c r="B90" s="175">
        <f>B27</f>
        <v>0</v>
      </c>
      <c r="C90" s="174"/>
      <c r="D90" s="175">
        <f>D27</f>
        <v>0</v>
      </c>
      <c r="E90" s="174"/>
      <c r="F90" s="175">
        <f>F27</f>
        <v>0</v>
      </c>
      <c r="G90" s="174"/>
      <c r="H90" s="175">
        <f>H27</f>
        <v>0</v>
      </c>
      <c r="I90" s="112"/>
    </row>
    <row r="91" spans="1:10" ht="18">
      <c r="A91" s="174" t="s">
        <v>381</v>
      </c>
      <c r="B91" s="175">
        <f>B28</f>
        <v>0</v>
      </c>
      <c r="C91" s="174"/>
      <c r="D91" s="175">
        <f>D28</f>
        <v>0</v>
      </c>
      <c r="E91" s="174"/>
      <c r="F91" s="175">
        <f>F28</f>
        <v>0</v>
      </c>
      <c r="G91" s="174"/>
      <c r="H91" s="175">
        <f>H28</f>
        <v>0</v>
      </c>
      <c r="I91" s="112"/>
    </row>
    <row r="92" spans="1:10" ht="18">
      <c r="A92" s="174" t="s">
        <v>382</v>
      </c>
      <c r="B92" s="175">
        <f>B24</f>
        <v>0</v>
      </c>
      <c r="C92" s="174"/>
      <c r="D92" s="175">
        <f>D24</f>
        <v>0</v>
      </c>
      <c r="E92" s="174"/>
      <c r="F92" s="175">
        <f>F24</f>
        <v>0</v>
      </c>
      <c r="G92" s="174"/>
      <c r="H92" s="175">
        <f>H24</f>
        <v>0</v>
      </c>
      <c r="I92" s="112"/>
    </row>
    <row r="93" spans="1:10" ht="18">
      <c r="A93" s="174" t="s">
        <v>383</v>
      </c>
      <c r="B93" s="175">
        <f>B18+B19+B20+B21</f>
        <v>0</v>
      </c>
      <c r="C93" s="174"/>
      <c r="D93" s="175">
        <f>D18+D19+D20+D21</f>
        <v>0</v>
      </c>
      <c r="E93" s="174"/>
      <c r="F93" s="175">
        <f>F18+F19+F20+F21</f>
        <v>0</v>
      </c>
      <c r="G93" s="174"/>
      <c r="H93" s="175">
        <f>H18+H19+H20+H21</f>
        <v>0</v>
      </c>
      <c r="I93" s="112"/>
    </row>
    <row r="94" spans="1:10" ht="26.25">
      <c r="A94" s="181" t="s">
        <v>384</v>
      </c>
      <c r="B94" s="182">
        <f>-B7</f>
        <v>0</v>
      </c>
      <c r="C94" s="180"/>
      <c r="D94" s="182">
        <f>-D7</f>
        <v>0</v>
      </c>
      <c r="E94" s="180"/>
      <c r="F94" s="182">
        <f>-F7</f>
        <v>0</v>
      </c>
      <c r="G94" s="180"/>
      <c r="H94" s="182">
        <f>-H7</f>
        <v>0</v>
      </c>
      <c r="I94" s="153"/>
    </row>
    <row r="95" spans="1:10" ht="18">
      <c r="A95" s="181"/>
      <c r="B95" s="182"/>
      <c r="C95" s="180"/>
      <c r="D95" s="182"/>
      <c r="E95" s="180"/>
      <c r="F95" s="182"/>
      <c r="G95" s="180"/>
      <c r="H95" s="182"/>
      <c r="I95" s="153"/>
    </row>
    <row r="96" spans="1:10" ht="18">
      <c r="A96" s="174" t="s">
        <v>385</v>
      </c>
      <c r="B96" s="175">
        <f>SUM(B86:B94)</f>
        <v>0</v>
      </c>
      <c r="C96" s="174"/>
      <c r="D96" s="175">
        <f>SUM(D86:D94)</f>
        <v>0</v>
      </c>
      <c r="E96" s="174"/>
      <c r="F96" s="175">
        <f>SUM(F86:F94)</f>
        <v>0</v>
      </c>
      <c r="G96" s="174"/>
      <c r="H96" s="175">
        <f>SUM(H86:H94)</f>
        <v>0</v>
      </c>
      <c r="I96" s="112"/>
    </row>
    <row r="97" spans="1:9" ht="18">
      <c r="A97" s="174" t="s">
        <v>386</v>
      </c>
      <c r="B97" s="175">
        <f>D57-B57</f>
        <v>0</v>
      </c>
      <c r="C97" s="174"/>
      <c r="D97" s="175">
        <f>F57-D57</f>
        <v>0</v>
      </c>
      <c r="E97" s="174"/>
      <c r="F97" s="175">
        <f>J57-F57</f>
        <v>0</v>
      </c>
      <c r="G97" s="174"/>
      <c r="H97" s="175">
        <f>L57-H57</f>
        <v>0</v>
      </c>
      <c r="I97" s="112"/>
    </row>
    <row r="98" spans="1:9" ht="18">
      <c r="A98" s="174" t="s">
        <v>387</v>
      </c>
      <c r="B98" s="175">
        <f>D56-B56</f>
        <v>0</v>
      </c>
      <c r="C98" s="174"/>
      <c r="D98" s="175">
        <f>F56-D56</f>
        <v>0</v>
      </c>
      <c r="E98" s="174"/>
      <c r="F98" s="175">
        <f>J56-F56</f>
        <v>0</v>
      </c>
      <c r="G98" s="174"/>
      <c r="H98" s="175">
        <f>L56-H56</f>
        <v>0</v>
      </c>
      <c r="I98" s="112"/>
    </row>
    <row r="99" spans="1:9" ht="18">
      <c r="A99" s="174" t="s">
        <v>388</v>
      </c>
      <c r="B99" s="175">
        <f>D61-B61</f>
        <v>0</v>
      </c>
      <c r="C99" s="174"/>
      <c r="D99" s="175">
        <f>F61-D61</f>
        <v>0</v>
      </c>
      <c r="E99" s="174"/>
      <c r="F99" s="175">
        <f>J61-F61</f>
        <v>0</v>
      </c>
      <c r="G99" s="174"/>
      <c r="H99" s="175">
        <f>L61-H61</f>
        <v>0</v>
      </c>
      <c r="I99" s="112"/>
    </row>
    <row r="100" spans="1:9" ht="18">
      <c r="A100" s="174" t="s">
        <v>389</v>
      </c>
      <c r="B100" s="175">
        <f>B44-D44</f>
        <v>0</v>
      </c>
      <c r="C100" s="174"/>
      <c r="D100" s="175">
        <f>D44-F44</f>
        <v>0</v>
      </c>
      <c r="E100" s="174"/>
      <c r="F100" s="175">
        <f>F44-J44</f>
        <v>0</v>
      </c>
      <c r="G100" s="174"/>
      <c r="H100" s="175">
        <f>H44-L44</f>
        <v>0</v>
      </c>
      <c r="I100" s="112"/>
    </row>
    <row r="101" spans="1:9" ht="18">
      <c r="A101" s="174" t="s">
        <v>390</v>
      </c>
      <c r="B101" s="175">
        <f>SUM(B97:B100)</f>
        <v>0</v>
      </c>
      <c r="C101" s="174"/>
      <c r="D101" s="175">
        <f>SUM(D97:D100)</f>
        <v>0</v>
      </c>
      <c r="E101" s="174"/>
      <c r="F101" s="175">
        <f>SUM(F97:F100)</f>
        <v>0</v>
      </c>
      <c r="G101" s="174"/>
      <c r="H101" s="175">
        <f>SUM(H97:H100)</f>
        <v>0</v>
      </c>
      <c r="I101" s="112"/>
    </row>
    <row r="102" spans="1:9" ht="18">
      <c r="A102" s="180" t="s">
        <v>391</v>
      </c>
      <c r="B102" s="182">
        <f>B96+B101</f>
        <v>0</v>
      </c>
      <c r="C102" s="180"/>
      <c r="D102" s="182">
        <f>D96+D101</f>
        <v>0</v>
      </c>
      <c r="E102" s="180"/>
      <c r="F102" s="182">
        <f>F96+F101</f>
        <v>0</v>
      </c>
      <c r="G102" s="180"/>
      <c r="H102" s="182">
        <f>H96+H101</f>
        <v>0</v>
      </c>
      <c r="I102" s="153"/>
    </row>
    <row r="103" spans="1:9" ht="18">
      <c r="A103" s="180"/>
      <c r="B103" s="182"/>
      <c r="C103" s="180"/>
      <c r="D103" s="182"/>
      <c r="E103" s="180"/>
      <c r="F103" s="182"/>
      <c r="G103" s="180"/>
      <c r="H103" s="182"/>
      <c r="I103" s="153"/>
    </row>
    <row r="104" spans="1:9" ht="18">
      <c r="A104" s="174" t="s">
        <v>392</v>
      </c>
      <c r="B104" s="175">
        <f>B24</f>
        <v>0</v>
      </c>
      <c r="C104" s="174"/>
      <c r="D104" s="175">
        <f>D24</f>
        <v>0</v>
      </c>
      <c r="E104" s="174"/>
      <c r="F104" s="175">
        <f>F24</f>
        <v>0</v>
      </c>
      <c r="G104" s="174"/>
      <c r="H104" s="175">
        <f>H24</f>
        <v>0</v>
      </c>
      <c r="I104" s="112"/>
    </row>
    <row r="105" spans="1:9" ht="18">
      <c r="A105" s="174"/>
      <c r="B105" s="175"/>
      <c r="C105" s="174"/>
      <c r="D105" s="175"/>
      <c r="E105" s="174"/>
      <c r="F105" s="175"/>
      <c r="G105" s="174"/>
      <c r="H105" s="175"/>
      <c r="I105" s="112"/>
    </row>
    <row r="106" spans="1:9" ht="18">
      <c r="A106" s="180" t="s">
        <v>393</v>
      </c>
      <c r="B106" s="175">
        <f>B102-B104</f>
        <v>0</v>
      </c>
      <c r="C106" s="174"/>
      <c r="D106" s="175">
        <f>D102-D104</f>
        <v>0</v>
      </c>
      <c r="E106" s="174"/>
      <c r="F106" s="175">
        <f>F102-F104</f>
        <v>0</v>
      </c>
      <c r="G106" s="174"/>
      <c r="H106" s="175">
        <f>H102-H104</f>
        <v>0</v>
      </c>
      <c r="I106" s="112"/>
    </row>
    <row r="107" spans="1:9" ht="18"/>
  </sheetData>
  <mergeCells count="9">
    <mergeCell ref="A67:H68"/>
    <mergeCell ref="A1:H2"/>
    <mergeCell ref="I1:I2"/>
    <mergeCell ref="A3:A4"/>
    <mergeCell ref="A32:A33"/>
    <mergeCell ref="B32:B33"/>
    <mergeCell ref="D32:D33"/>
    <mergeCell ref="F32:F33"/>
    <mergeCell ref="H32:H33"/>
  </mergeCells>
  <conditionalFormatting sqref="B65 B48">
    <cfRule type="expression" dxfId="189" priority="4">
      <formula>$B$48&lt;&gt;$B$65</formula>
    </cfRule>
  </conditionalFormatting>
  <conditionalFormatting sqref="D65 D48">
    <cfRule type="expression" dxfId="188" priority="3">
      <formula>$D$48&lt;&gt;$D$65</formula>
    </cfRule>
  </conditionalFormatting>
  <conditionalFormatting sqref="F48 F65">
    <cfRule type="expression" dxfId="187" priority="2">
      <formula>$F$65&lt;&gt;$F$48</formula>
    </cfRule>
  </conditionalFormatting>
  <conditionalFormatting sqref="H48 H65">
    <cfRule type="expression" dxfId="186" priority="1">
      <formula>$H$48&lt;&gt;$H$65</formula>
    </cfRule>
  </conditionalFormatting>
  <pageMargins left="0.78749999999999998" right="0.78749999999999998" top="1.0249999999999999" bottom="1.0249999999999999" header="0.78749999999999998" footer="0.78749999999999998"/>
  <pageSetup scale="58" firstPageNumber="0" orientation="portrait" horizontalDpi="300" verticalDpi="300" r:id="rId1"/>
  <headerFooter alignWithMargins="0">
    <oddHeader>&amp;C&amp;"Arial,Regular"&amp;10&amp;A</oddHeader>
    <oddFooter>&amp;C&amp;"Arial,Regular"&amp;10Page &amp;P</oddFooter>
  </headerFooter>
  <rowBreaks count="2" manualBreakCount="2">
    <brk id="30" max="16383" man="1"/>
    <brk id="6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A1:L115"/>
  <sheetViews>
    <sheetView view="pageBreakPreview" topLeftCell="A31" zoomScale="85" zoomScaleSheetLayoutView="85" workbookViewId="0">
      <selection activeCell="B54" sqref="B54"/>
    </sheetView>
  </sheetViews>
  <sheetFormatPr defaultColWidth="13.5703125" defaultRowHeight="32.1" customHeight="1"/>
  <cols>
    <col min="1" max="1" width="37.28515625" style="112" customWidth="1"/>
    <col min="2" max="2" width="12.28515625" style="112" bestFit="1" customWidth="1"/>
    <col min="3" max="3" width="12.7109375" style="112" customWidth="1"/>
    <col min="4" max="4" width="10.140625" style="129" customWidth="1"/>
    <col min="5" max="5" width="12.28515625" style="112" customWidth="1"/>
    <col min="6" max="6" width="15.7109375" style="129" customWidth="1"/>
    <col min="7" max="7" width="12.28515625" style="112" customWidth="1"/>
    <col min="8" max="8" width="15.7109375" style="129" customWidth="1"/>
    <col min="9" max="9" width="17.42578125" style="129" bestFit="1" customWidth="1"/>
    <col min="10" max="10" width="22" style="112" customWidth="1"/>
    <col min="11" max="11" width="12" style="112" customWidth="1"/>
    <col min="12" max="16384" width="13.5703125" style="112"/>
  </cols>
  <sheetData>
    <row r="1" spans="1:10" ht="18">
      <c r="A1" s="751"/>
      <c r="B1" s="751"/>
      <c r="C1" s="751"/>
      <c r="D1" s="751"/>
      <c r="E1" s="751"/>
      <c r="F1" s="751"/>
      <c r="G1" s="751"/>
      <c r="H1" s="751"/>
      <c r="I1" s="752"/>
    </row>
    <row r="2" spans="1:10" ht="7.5" customHeight="1">
      <c r="A2" s="751"/>
      <c r="B2" s="751"/>
      <c r="C2" s="751"/>
      <c r="D2" s="751"/>
      <c r="E2" s="751"/>
      <c r="F2" s="751"/>
      <c r="G2" s="751"/>
      <c r="H2" s="751"/>
      <c r="I2" s="752"/>
    </row>
    <row r="3" spans="1:10" ht="18">
      <c r="A3" s="753" t="s">
        <v>301</v>
      </c>
      <c r="B3" s="113" t="s">
        <v>558</v>
      </c>
      <c r="C3" s="114" t="s">
        <v>303</v>
      </c>
      <c r="D3" s="113" t="s">
        <v>559</v>
      </c>
      <c r="E3" s="114" t="s">
        <v>303</v>
      </c>
      <c r="F3" s="113" t="s">
        <v>560</v>
      </c>
      <c r="G3" s="114" t="s">
        <v>303</v>
      </c>
      <c r="H3" s="113" t="s">
        <v>561</v>
      </c>
      <c r="I3" s="115"/>
    </row>
    <row r="4" spans="1:10" ht="18">
      <c r="A4" s="753"/>
      <c r="B4" s="114" t="s">
        <v>307</v>
      </c>
      <c r="C4" s="113" t="s">
        <v>562</v>
      </c>
      <c r="D4" s="114" t="s">
        <v>307</v>
      </c>
      <c r="E4" s="113" t="s">
        <v>563</v>
      </c>
      <c r="F4" s="114" t="s">
        <v>307</v>
      </c>
      <c r="G4" s="113" t="s">
        <v>564</v>
      </c>
      <c r="H4" s="114" t="s">
        <v>307</v>
      </c>
      <c r="I4" s="115"/>
    </row>
    <row r="5" spans="1:10" ht="18">
      <c r="A5" s="116" t="s">
        <v>185</v>
      </c>
      <c r="B5" s="118">
        <f>'Financials_Applicant 1'!B5+'Financials_Applicant 2'!B5+'Financials_Applicant 3'!B5+'Financials_Applicant 4'!B5</f>
        <v>599999</v>
      </c>
      <c r="C5" s="118">
        <f>(B5-D5)/D5*100</f>
        <v>85614.142857142855</v>
      </c>
      <c r="D5" s="118">
        <f>'Financials_Applicant 1'!D5+'Financials_Applicant 2'!D5+'Financials_Applicant 3'!D5+'Financials_Applicant 4'!D5</f>
        <v>700</v>
      </c>
      <c r="E5" s="118" t="e">
        <f>(D5-F5)/F5*100</f>
        <v>#DIV/0!</v>
      </c>
      <c r="F5" s="118">
        <f>'Financials_Applicant 1'!F5+'Financials_Applicant 2'!F5+'Financials_Applicant 3'!F5+'Financials_Applicant 4'!F5</f>
        <v>0</v>
      </c>
      <c r="G5" s="118" t="e">
        <f>(F5-H5)/H5*100</f>
        <v>#DIV/0!</v>
      </c>
      <c r="H5" s="118">
        <f>'Financials_Applicant 1'!H5+'Financials_Applicant 2'!H5+'Financials_Applicant 3'!H5+'Financials_Applicant 4'!H5</f>
        <v>0</v>
      </c>
      <c r="I5" s="120"/>
    </row>
    <row r="6" spans="1:10" ht="25.35" customHeight="1">
      <c r="A6" s="121" t="s">
        <v>311</v>
      </c>
      <c r="B6" s="118">
        <f>'Financials_Applicant 1'!B6+'Financials_Applicant 2'!B6+'Financials_Applicant 3'!B6+'Financials_Applicant 4'!B6</f>
        <v>12</v>
      </c>
      <c r="C6" s="118">
        <f>(B6-D6)/D6*100</f>
        <v>0</v>
      </c>
      <c r="D6" s="118">
        <f>'Financials_Applicant 1'!D6+'Financials_Applicant 2'!D6+'Financials_Applicant 3'!D6+'Financials_Applicant 4'!D6</f>
        <v>12</v>
      </c>
      <c r="E6" s="118" t="e">
        <f>(D6-F6)/F6*100</f>
        <v>#DIV/0!</v>
      </c>
      <c r="F6" s="118">
        <f>'Financials_Applicant 1'!F6+'Financials_Applicant 2'!F6+'Financials_Applicant 3'!F6+'Financials_Applicant 4'!F6</f>
        <v>0</v>
      </c>
      <c r="G6" s="118" t="e">
        <f>(F6-H6)/H6*100</f>
        <v>#DIV/0!</v>
      </c>
      <c r="H6" s="118">
        <f>'Financials_Applicant 1'!H6+'Financials_Applicant 2'!H6+'Financials_Applicant 3'!H6+'Financials_Applicant 4'!H6</f>
        <v>0</v>
      </c>
      <c r="I6" s="120"/>
    </row>
    <row r="7" spans="1:10" ht="18">
      <c r="A7" s="121" t="s">
        <v>312</v>
      </c>
      <c r="B7" s="118">
        <f>'Financials_Applicant 1'!B7+'Financials_Applicant 2'!B7+'Financials_Applicant 3'!B7+'Financials_Applicant 4'!B7</f>
        <v>5</v>
      </c>
      <c r="C7" s="118">
        <f>(B7-D7)/D7*100</f>
        <v>0</v>
      </c>
      <c r="D7" s="118">
        <f>'Financials_Applicant 1'!D7+'Financials_Applicant 2'!D7+'Financials_Applicant 3'!D7+'Financials_Applicant 4'!D7</f>
        <v>5</v>
      </c>
      <c r="E7" s="118" t="e">
        <f>(D7-F7)/F7*100</f>
        <v>#DIV/0!</v>
      </c>
      <c r="F7" s="118">
        <f>'Financials_Applicant 1'!F7+'Financials_Applicant 2'!F7+'Financials_Applicant 3'!F7+'Financials_Applicant 4'!F7</f>
        <v>0</v>
      </c>
      <c r="G7" s="118" t="e">
        <f>(F7-H7)/H7*100</f>
        <v>#DIV/0!</v>
      </c>
      <c r="H7" s="118">
        <f>'Financials_Applicant 1'!H7+'Financials_Applicant 2'!H7+'Financials_Applicant 3'!H7+'Financials_Applicant 4'!H7</f>
        <v>0</v>
      </c>
      <c r="I7" s="120"/>
    </row>
    <row r="8" spans="1:10" ht="18.75" thickBot="1">
      <c r="A8" s="122" t="s">
        <v>313</v>
      </c>
      <c r="B8" s="123">
        <f>B5+B6+B7</f>
        <v>600016</v>
      </c>
      <c r="C8" s="118">
        <f>(B8-D8)/D8*100</f>
        <v>83584.239888423981</v>
      </c>
      <c r="D8" s="123">
        <f>D5+D6+D7</f>
        <v>717</v>
      </c>
      <c r="E8" s="118" t="e">
        <f>(D8-F8)/F8*100</f>
        <v>#DIV/0!</v>
      </c>
      <c r="F8" s="123">
        <f>F5+F6+F7</f>
        <v>0</v>
      </c>
      <c r="G8" s="118" t="e">
        <f>(F8-H8)/H8*100</f>
        <v>#DIV/0!</v>
      </c>
      <c r="H8" s="123">
        <f>H5+H6+H7</f>
        <v>0</v>
      </c>
      <c r="I8" s="120"/>
    </row>
    <row r="9" spans="1:10" ht="39" thickBot="1">
      <c r="A9" s="122"/>
      <c r="B9" s="123"/>
      <c r="C9" s="124" t="s">
        <v>565</v>
      </c>
      <c r="D9" s="123"/>
      <c r="E9" s="124" t="s">
        <v>566</v>
      </c>
      <c r="F9" s="125"/>
      <c r="G9" s="124" t="s">
        <v>567</v>
      </c>
      <c r="H9" s="125"/>
      <c r="I9" s="126" t="s">
        <v>568</v>
      </c>
    </row>
    <row r="10" spans="1:10" ht="18.75" thickBot="1">
      <c r="A10" s="127" t="s">
        <v>314</v>
      </c>
      <c r="B10" s="118">
        <f>'Financials_Applicant 1'!B10+'Financials_Applicant 2'!B10+'Financials_Applicant 3'!B10+'Financials_Applicant 4'!B10</f>
        <v>1</v>
      </c>
      <c r="C10" s="118">
        <f t="shared" ref="C10:C29" si="0">B10/$B$5*100</f>
        <v>1.6666694444490742E-4</v>
      </c>
      <c r="D10" s="118">
        <f>'Financials_Applicant 1'!D10+'Financials_Applicant 2'!D10+'Financials_Applicant 3'!D10+'Financials_Applicant 4'!D10</f>
        <v>1</v>
      </c>
      <c r="E10" s="118">
        <f t="shared" ref="E10:E29" si="1">D10/$D$5*100</f>
        <v>0.14285714285714285</v>
      </c>
      <c r="F10" s="118">
        <f>'Financials_Applicant 1'!F10+'Financials_Applicant 2'!F10+'Financials_Applicant 3'!F10+'Financials_Applicant 4'!F10</f>
        <v>0</v>
      </c>
      <c r="G10" s="118" t="e">
        <f t="shared" ref="G10:G29" si="2">F10/$F$5*100</f>
        <v>#DIV/0!</v>
      </c>
      <c r="H10" s="118">
        <f>'Financials_Applicant 1'!H10+'Financials_Applicant 2'!H10+'Financials_Applicant 3'!H10+'Financials_Applicant 4'!H10</f>
        <v>0</v>
      </c>
      <c r="I10" s="128" t="e">
        <f t="shared" ref="I10:I29" si="3">H10/$H$5*100</f>
        <v>#DIV/0!</v>
      </c>
    </row>
    <row r="11" spans="1:10" ht="18.75" thickBot="1">
      <c r="A11" s="127" t="s">
        <v>315</v>
      </c>
      <c r="B11" s="118">
        <f>'Financials_Applicant 1'!B11+'Financials_Applicant 2'!B11+'Financials_Applicant 3'!B11+'Financials_Applicant 4'!B11</f>
        <v>0</v>
      </c>
      <c r="C11" s="118">
        <f t="shared" si="0"/>
        <v>0</v>
      </c>
      <c r="D11" s="118">
        <f>'Financials_Applicant 1'!D11+'Financials_Applicant 2'!D11+'Financials_Applicant 3'!D11+'Financials_Applicant 4'!D11</f>
        <v>50</v>
      </c>
      <c r="E11" s="118">
        <f t="shared" si="1"/>
        <v>7.1428571428571423</v>
      </c>
      <c r="F11" s="118">
        <f>'Financials_Applicant 1'!F11+'Financials_Applicant 2'!F11+'Financials_Applicant 3'!F11+'Financials_Applicant 4'!F11</f>
        <v>0</v>
      </c>
      <c r="G11" s="118" t="e">
        <f t="shared" si="2"/>
        <v>#DIV/0!</v>
      </c>
      <c r="H11" s="118">
        <f>'Financials_Applicant 1'!H11+'Financials_Applicant 2'!H11+'Financials_Applicant 3'!H11+'Financials_Applicant 4'!H11</f>
        <v>0</v>
      </c>
      <c r="I11" s="128" t="e">
        <f t="shared" si="3"/>
        <v>#DIV/0!</v>
      </c>
      <c r="J11" s="129"/>
    </row>
    <row r="12" spans="1:10" ht="18.75" thickBot="1">
      <c r="A12" s="127" t="s">
        <v>316</v>
      </c>
      <c r="B12" s="118">
        <f>'Financials_Applicant 1'!B12+'Financials_Applicant 2'!B12+'Financials_Applicant 3'!B12+'Financials_Applicant 4'!B12</f>
        <v>850</v>
      </c>
      <c r="C12" s="118">
        <f t="shared" si="0"/>
        <v>0.14166690277817129</v>
      </c>
      <c r="D12" s="118">
        <f>'Financials_Applicant 1'!D12+'Financials_Applicant 2'!D12+'Financials_Applicant 3'!D12+'Financials_Applicant 4'!D12</f>
        <v>600</v>
      </c>
      <c r="E12" s="118">
        <f t="shared" si="1"/>
        <v>85.714285714285708</v>
      </c>
      <c r="F12" s="118">
        <f>'Financials_Applicant 1'!F12+'Financials_Applicant 2'!F12+'Financials_Applicant 3'!F12+'Financials_Applicant 4'!F12</f>
        <v>0</v>
      </c>
      <c r="G12" s="118" t="e">
        <f t="shared" si="2"/>
        <v>#DIV/0!</v>
      </c>
      <c r="H12" s="118">
        <f>'Financials_Applicant 1'!H12+'Financials_Applicant 2'!H12+'Financials_Applicant 3'!H12+'Financials_Applicant 4'!H12</f>
        <v>0</v>
      </c>
      <c r="I12" s="128" t="e">
        <f t="shared" si="3"/>
        <v>#DIV/0!</v>
      </c>
    </row>
    <row r="13" spans="1:10" ht="18.75" thickBot="1">
      <c r="A13" s="130" t="s">
        <v>317</v>
      </c>
      <c r="B13" s="131">
        <f>B8-B10-B11-B12</f>
        <v>599165</v>
      </c>
      <c r="C13" s="118">
        <f t="shared" si="0"/>
        <v>99.860999768332945</v>
      </c>
      <c r="D13" s="131">
        <f>D8-D10-D11-D12</f>
        <v>66</v>
      </c>
      <c r="E13" s="118">
        <f t="shared" si="1"/>
        <v>9.4285714285714288</v>
      </c>
      <c r="F13" s="131">
        <f>F8-F10-F11-F12</f>
        <v>0</v>
      </c>
      <c r="G13" s="118" t="e">
        <f t="shared" si="2"/>
        <v>#DIV/0!</v>
      </c>
      <c r="H13" s="131">
        <f>H8-H10-H11-H12</f>
        <v>0</v>
      </c>
      <c r="I13" s="128" t="e">
        <f t="shared" si="3"/>
        <v>#DIV/0!</v>
      </c>
    </row>
    <row r="14" spans="1:10" ht="18.75" thickBot="1">
      <c r="A14" s="132" t="s">
        <v>318</v>
      </c>
      <c r="B14" s="118">
        <f>'Financials_Applicant 1'!B14+'Financials_Applicant 2'!B14+'Financials_Applicant 3'!B14+'Financials_Applicant 4'!B14</f>
        <v>3</v>
      </c>
      <c r="C14" s="118">
        <f t="shared" si="0"/>
        <v>5.000008333347222E-4</v>
      </c>
      <c r="D14" s="118">
        <f>'Financials_Applicant 1'!D14+'Financials_Applicant 2'!D14+'Financials_Applicant 3'!D14+'Financials_Applicant 4'!D14</f>
        <v>3</v>
      </c>
      <c r="E14" s="118">
        <f t="shared" si="1"/>
        <v>0.4285714285714286</v>
      </c>
      <c r="F14" s="118">
        <f>'Financials_Applicant 1'!F14+'Financials_Applicant 2'!F14+'Financials_Applicant 3'!F14+'Financials_Applicant 4'!F14</f>
        <v>0</v>
      </c>
      <c r="G14" s="118" t="e">
        <f t="shared" si="2"/>
        <v>#DIV/0!</v>
      </c>
      <c r="H14" s="118">
        <f>'Financials_Applicant 1'!H14+'Financials_Applicant 2'!H14+'Financials_Applicant 3'!H14+'Financials_Applicant 4'!H14</f>
        <v>0</v>
      </c>
      <c r="I14" s="128" t="e">
        <f t="shared" si="3"/>
        <v>#DIV/0!</v>
      </c>
      <c r="J14" s="129"/>
    </row>
    <row r="15" spans="1:10" ht="18.75" thickBot="1">
      <c r="A15" s="132" t="s">
        <v>319</v>
      </c>
      <c r="B15" s="118">
        <f>'Financials_Applicant 1'!B15+'Financials_Applicant 2'!B15+'Financials_Applicant 3'!B15+'Financials_Applicant 4'!B15</f>
        <v>2</v>
      </c>
      <c r="C15" s="118">
        <f t="shared" si="0"/>
        <v>3.3333388888981484E-4</v>
      </c>
      <c r="D15" s="118">
        <f>'Financials_Applicant 1'!D15+'Financials_Applicant 2'!D15+'Financials_Applicant 3'!D15+'Financials_Applicant 4'!D15</f>
        <v>2</v>
      </c>
      <c r="E15" s="118">
        <f t="shared" si="1"/>
        <v>0.2857142857142857</v>
      </c>
      <c r="F15" s="118">
        <f>'Financials_Applicant 1'!F15+'Financials_Applicant 2'!F15+'Financials_Applicant 3'!F15+'Financials_Applicant 4'!F15</f>
        <v>0</v>
      </c>
      <c r="G15" s="118" t="e">
        <f t="shared" si="2"/>
        <v>#DIV/0!</v>
      </c>
      <c r="H15" s="118">
        <f>'Financials_Applicant 1'!H15+'Financials_Applicant 2'!H15+'Financials_Applicant 3'!H15+'Financials_Applicant 4'!H15</f>
        <v>0</v>
      </c>
      <c r="I15" s="128" t="e">
        <f t="shared" si="3"/>
        <v>#DIV/0!</v>
      </c>
      <c r="J15" s="129"/>
    </row>
    <row r="16" spans="1:10" ht="18.75" thickBot="1">
      <c r="A16" s="130" t="s">
        <v>320</v>
      </c>
      <c r="B16" s="131">
        <f>B13-B14-B15</f>
        <v>599160</v>
      </c>
      <c r="C16" s="118">
        <f t="shared" si="0"/>
        <v>99.860166433610715</v>
      </c>
      <c r="D16" s="131">
        <f>D13-D14-D15</f>
        <v>61</v>
      </c>
      <c r="E16" s="118">
        <f t="shared" si="1"/>
        <v>8.7142857142857153</v>
      </c>
      <c r="F16" s="131">
        <f>F13-F14-F15</f>
        <v>0</v>
      </c>
      <c r="G16" s="118" t="e">
        <f t="shared" si="2"/>
        <v>#DIV/0!</v>
      </c>
      <c r="H16" s="131">
        <f>H13-H14-H15</f>
        <v>0</v>
      </c>
      <c r="I16" s="128" t="e">
        <f t="shared" si="3"/>
        <v>#DIV/0!</v>
      </c>
    </row>
    <row r="17" spans="1:12" ht="18.75" thickBot="1">
      <c r="A17" s="133" t="s">
        <v>218</v>
      </c>
      <c r="B17" s="118">
        <f>'Financials_Applicant 1'!B17+'Financials_Applicant 2'!B17+'Financials_Applicant 3'!B17+'Financials_Applicant 4'!B17</f>
        <v>1</v>
      </c>
      <c r="C17" s="118">
        <f t="shared" si="0"/>
        <v>1.6666694444490742E-4</v>
      </c>
      <c r="D17" s="118">
        <f>'Financials_Applicant 1'!D17+'Financials_Applicant 2'!D17+'Financials_Applicant 3'!D17+'Financials_Applicant 4'!D17</f>
        <v>0.25</v>
      </c>
      <c r="E17" s="118">
        <f t="shared" si="1"/>
        <v>3.5714285714285712E-2</v>
      </c>
      <c r="F17" s="118">
        <f>'Financials_Applicant 1'!F17+'Financials_Applicant 2'!F17+'Financials_Applicant 3'!F17+'Financials_Applicant 4'!F17</f>
        <v>0</v>
      </c>
      <c r="G17" s="118" t="e">
        <f t="shared" si="2"/>
        <v>#DIV/0!</v>
      </c>
      <c r="H17" s="118">
        <f>'Financials_Applicant 1'!H17+'Financials_Applicant 2'!H17+'Financials_Applicant 3'!H17+'Financials_Applicant 4'!H17</f>
        <v>0</v>
      </c>
      <c r="I17" s="128" t="e">
        <f t="shared" si="3"/>
        <v>#DIV/0!</v>
      </c>
      <c r="L17" s="134"/>
    </row>
    <row r="18" spans="1:12" s="134" customFormat="1" ht="18.75" thickBot="1">
      <c r="A18" s="127" t="s">
        <v>321</v>
      </c>
      <c r="B18" s="118">
        <f>'Financials_Applicant 1'!B18+'Financials_Applicant 2'!B18+'Financials_Applicant 3'!B18+'Financials_Applicant 4'!B18</f>
        <v>34</v>
      </c>
      <c r="C18" s="118">
        <f t="shared" si="0"/>
        <v>5.6666761111268515E-3</v>
      </c>
      <c r="D18" s="118">
        <f>'Financials_Applicant 1'!D18+'Financials_Applicant 2'!D18+'Financials_Applicant 3'!D18+'Financials_Applicant 4'!D18</f>
        <v>34</v>
      </c>
      <c r="E18" s="118">
        <f t="shared" si="1"/>
        <v>4.8571428571428568</v>
      </c>
      <c r="F18" s="118">
        <f>'Financials_Applicant 1'!F18+'Financials_Applicant 2'!F18+'Financials_Applicant 3'!F18+'Financials_Applicant 4'!F18</f>
        <v>0</v>
      </c>
      <c r="G18" s="118" t="e">
        <f t="shared" si="2"/>
        <v>#DIV/0!</v>
      </c>
      <c r="H18" s="118">
        <f>'Financials_Applicant 1'!H18+'Financials_Applicant 2'!H18+'Financials_Applicant 3'!H18+'Financials_Applicant 4'!H18</f>
        <v>0</v>
      </c>
      <c r="I18" s="128" t="e">
        <f t="shared" si="3"/>
        <v>#DIV/0!</v>
      </c>
      <c r="L18" s="112"/>
    </row>
    <row r="19" spans="1:12" s="134" customFormat="1" ht="18.75" thickBot="1">
      <c r="A19" s="127" t="s">
        <v>322</v>
      </c>
      <c r="B19" s="118">
        <f>'Financials_Applicant 1'!B19+'Financials_Applicant 2'!B19+'Financials_Applicant 3'!B19+'Financials_Applicant 4'!B19</f>
        <v>1</v>
      </c>
      <c r="C19" s="118">
        <f t="shared" si="0"/>
        <v>1.6666694444490742E-4</v>
      </c>
      <c r="D19" s="118">
        <f>'Financials_Applicant 1'!D19+'Financials_Applicant 2'!D19+'Financials_Applicant 3'!D19+'Financials_Applicant 4'!D19</f>
        <v>1</v>
      </c>
      <c r="E19" s="118">
        <f t="shared" si="1"/>
        <v>0.14285714285714285</v>
      </c>
      <c r="F19" s="118">
        <f>'Financials_Applicant 1'!F19+'Financials_Applicant 2'!F19+'Financials_Applicant 3'!F19+'Financials_Applicant 4'!F19</f>
        <v>1</v>
      </c>
      <c r="G19" s="118" t="e">
        <f t="shared" si="2"/>
        <v>#DIV/0!</v>
      </c>
      <c r="H19" s="118">
        <f>'Financials_Applicant 1'!H19+'Financials_Applicant 2'!H19+'Financials_Applicant 3'!H19+'Financials_Applicant 4'!H19</f>
        <v>1</v>
      </c>
      <c r="I19" s="128" t="e">
        <f t="shared" si="3"/>
        <v>#DIV/0!</v>
      </c>
      <c r="L19" s="112"/>
    </row>
    <row r="20" spans="1:12" s="134" customFormat="1" ht="18.75" thickBot="1">
      <c r="A20" s="127" t="s">
        <v>323</v>
      </c>
      <c r="B20" s="118">
        <f>'Financials_Applicant 1'!B20+'Financials_Applicant 2'!B20+'Financials_Applicant 3'!B20+'Financials_Applicant 4'!B20</f>
        <v>1</v>
      </c>
      <c r="C20" s="118">
        <f t="shared" si="0"/>
        <v>1.6666694444490742E-4</v>
      </c>
      <c r="D20" s="118">
        <f>'Financials_Applicant 1'!D20+'Financials_Applicant 2'!D20+'Financials_Applicant 3'!D20+'Financials_Applicant 4'!D20</f>
        <v>1</v>
      </c>
      <c r="E20" s="118">
        <f t="shared" si="1"/>
        <v>0.14285714285714285</v>
      </c>
      <c r="F20" s="118">
        <f>'Financials_Applicant 1'!F20+'Financials_Applicant 2'!F20+'Financials_Applicant 3'!F20+'Financials_Applicant 4'!F20</f>
        <v>1</v>
      </c>
      <c r="G20" s="118" t="e">
        <f t="shared" si="2"/>
        <v>#DIV/0!</v>
      </c>
      <c r="H20" s="118">
        <f>'Financials_Applicant 1'!H20+'Financials_Applicant 2'!H20+'Financials_Applicant 3'!H20+'Financials_Applicant 4'!H20</f>
        <v>1</v>
      </c>
      <c r="I20" s="128" t="e">
        <f t="shared" si="3"/>
        <v>#DIV/0!</v>
      </c>
      <c r="L20" s="112"/>
    </row>
    <row r="21" spans="1:12" s="134" customFormat="1" ht="18.75" thickBot="1">
      <c r="A21" s="127" t="s">
        <v>324</v>
      </c>
      <c r="B21" s="118">
        <f>'Financials_Applicant 1'!B21+'Financials_Applicant 2'!B21+'Financials_Applicant 3'!B21+'Financials_Applicant 4'!B21</f>
        <v>5</v>
      </c>
      <c r="C21" s="118">
        <f t="shared" si="0"/>
        <v>8.3333472222453715E-4</v>
      </c>
      <c r="D21" s="118">
        <f>'Financials_Applicant 1'!D21+'Financials_Applicant 2'!D21+'Financials_Applicant 3'!D21+'Financials_Applicant 4'!D21</f>
        <v>5</v>
      </c>
      <c r="E21" s="118">
        <f t="shared" si="1"/>
        <v>0.7142857142857143</v>
      </c>
      <c r="F21" s="118">
        <f>'Financials_Applicant 1'!F21+'Financials_Applicant 2'!F21+'Financials_Applicant 3'!F21+'Financials_Applicant 4'!F21</f>
        <v>0</v>
      </c>
      <c r="G21" s="118" t="e">
        <f t="shared" si="2"/>
        <v>#DIV/0!</v>
      </c>
      <c r="H21" s="118">
        <f>'Financials_Applicant 1'!H21+'Financials_Applicant 2'!H21+'Financials_Applicant 3'!H21+'Financials_Applicant 4'!H21</f>
        <v>0</v>
      </c>
      <c r="I21" s="128" t="e">
        <f t="shared" si="3"/>
        <v>#DIV/0!</v>
      </c>
      <c r="L21" s="112"/>
    </row>
    <row r="22" spans="1:12" ht="18.75" thickBot="1">
      <c r="A22" s="133" t="s">
        <v>325</v>
      </c>
      <c r="B22" s="118">
        <f>'Financials_Applicant 1'!B22+'Financials_Applicant 2'!B22+'Financials_Applicant 3'!B22+'Financials_Applicant 4'!B22</f>
        <v>6</v>
      </c>
      <c r="C22" s="118">
        <f t="shared" si="0"/>
        <v>1.0000016666694444E-3</v>
      </c>
      <c r="D22" s="118">
        <f>'Financials_Applicant 1'!D22+'Financials_Applicant 2'!D22+'Financials_Applicant 3'!D22+'Financials_Applicant 4'!D22</f>
        <v>6</v>
      </c>
      <c r="E22" s="118">
        <f t="shared" si="1"/>
        <v>0.85714285714285721</v>
      </c>
      <c r="F22" s="118">
        <f>'Financials_Applicant 1'!F22+'Financials_Applicant 2'!F22+'Financials_Applicant 3'!F22+'Financials_Applicant 4'!F22</f>
        <v>0</v>
      </c>
      <c r="G22" s="118" t="e">
        <f t="shared" si="2"/>
        <v>#DIV/0!</v>
      </c>
      <c r="H22" s="118">
        <f>'Financials_Applicant 1'!H22+'Financials_Applicant 2'!H22+'Financials_Applicant 3'!H22+'Financials_Applicant 4'!H22</f>
        <v>0</v>
      </c>
      <c r="I22" s="128" t="e">
        <f t="shared" si="3"/>
        <v>#DIV/0!</v>
      </c>
    </row>
    <row r="23" spans="1:12" ht="18.75" thickBot="1">
      <c r="A23" s="135" t="s">
        <v>326</v>
      </c>
      <c r="B23" s="136">
        <f>B16-B17-B18-B22-B21-B19-B20</f>
        <v>599112</v>
      </c>
      <c r="C23" s="118">
        <f t="shared" si="0"/>
        <v>99.852166420277371</v>
      </c>
      <c r="D23" s="136">
        <f>D16-D17-D18-D22-D21-D19-D20</f>
        <v>13.75</v>
      </c>
      <c r="E23" s="118">
        <f t="shared" si="1"/>
        <v>1.9642857142857142</v>
      </c>
      <c r="F23" s="136">
        <f>F16-F17-F18-F22-F21-F19-F20</f>
        <v>-2</v>
      </c>
      <c r="G23" s="118" t="e">
        <f t="shared" si="2"/>
        <v>#DIV/0!</v>
      </c>
      <c r="H23" s="136">
        <f>H16-H17-H18-H22-H21-H19-H20</f>
        <v>-2</v>
      </c>
      <c r="I23" s="128" t="e">
        <f t="shared" si="3"/>
        <v>#DIV/0!</v>
      </c>
    </row>
    <row r="24" spans="1:12" ht="18.75" thickBot="1">
      <c r="A24" s="121" t="s">
        <v>327</v>
      </c>
      <c r="B24" s="118">
        <f>'Financials_Applicant 1'!B24+'Financials_Applicant 2'!B24+'Financials_Applicant 3'!B24+'Financials_Applicant 4'!B24</f>
        <v>1</v>
      </c>
      <c r="C24" s="118">
        <f t="shared" si="0"/>
        <v>1.6666694444490742E-4</v>
      </c>
      <c r="D24" s="118">
        <f>'Financials_Applicant 1'!D24+'Financials_Applicant 2'!D24+'Financials_Applicant 3'!D24+'Financials_Applicant 4'!D24</f>
        <v>1</v>
      </c>
      <c r="E24" s="118">
        <f t="shared" si="1"/>
        <v>0.14285714285714285</v>
      </c>
      <c r="F24" s="118">
        <f>'Financials_Applicant 1'!F24+'Financials_Applicant 2'!F24+'Financials_Applicant 3'!F24+'Financials_Applicant 4'!F24</f>
        <v>0</v>
      </c>
      <c r="G24" s="118" t="e">
        <f t="shared" si="2"/>
        <v>#DIV/0!</v>
      </c>
      <c r="H24" s="118">
        <f>'Financials_Applicant 1'!H24+'Financials_Applicant 2'!H24+'Financials_Applicant 3'!H24+'Financials_Applicant 4'!H24</f>
        <v>0</v>
      </c>
      <c r="I24" s="128" t="e">
        <f t="shared" si="3"/>
        <v>#DIV/0!</v>
      </c>
      <c r="K24" s="137"/>
    </row>
    <row r="25" spans="1:12" ht="18.75" thickBot="1">
      <c r="A25" s="138" t="s">
        <v>186</v>
      </c>
      <c r="B25" s="123">
        <f>B23-B24</f>
        <v>599111</v>
      </c>
      <c r="C25" s="139">
        <f t="shared" si="0"/>
        <v>99.851999753332919</v>
      </c>
      <c r="D25" s="123">
        <f>D23-D24</f>
        <v>12.75</v>
      </c>
      <c r="E25" s="139">
        <f t="shared" si="1"/>
        <v>1.8214285714285714</v>
      </c>
      <c r="F25" s="123">
        <f>F23-F24</f>
        <v>-2</v>
      </c>
      <c r="G25" s="118" t="e">
        <f t="shared" si="2"/>
        <v>#DIV/0!</v>
      </c>
      <c r="H25" s="123">
        <f>H23-H24</f>
        <v>-2</v>
      </c>
      <c r="I25" s="128" t="e">
        <f t="shared" si="3"/>
        <v>#DIV/0!</v>
      </c>
      <c r="J25" s="140"/>
    </row>
    <row r="26" spans="1:12" ht="18.75" thickBot="1">
      <c r="A26" s="135" t="s">
        <v>328</v>
      </c>
      <c r="B26" s="136">
        <f>B25+B17+B22</f>
        <v>599118</v>
      </c>
      <c r="C26" s="118">
        <f t="shared" si="0"/>
        <v>99.853166421944039</v>
      </c>
      <c r="D26" s="136">
        <f>D25+D17+D22</f>
        <v>19</v>
      </c>
      <c r="E26" s="118">
        <f t="shared" si="1"/>
        <v>2.7142857142857144</v>
      </c>
      <c r="F26" s="136">
        <f>F25+F17+F22</f>
        <v>-2</v>
      </c>
      <c r="G26" s="118" t="e">
        <f t="shared" si="2"/>
        <v>#DIV/0!</v>
      </c>
      <c r="H26" s="136">
        <f>H25+H17+H22</f>
        <v>-2</v>
      </c>
      <c r="I26" s="128" t="e">
        <f t="shared" si="3"/>
        <v>#DIV/0!</v>
      </c>
    </row>
    <row r="27" spans="1:12" ht="18.75" thickBot="1">
      <c r="A27" s="141" t="s">
        <v>329</v>
      </c>
      <c r="B27" s="118">
        <f>'Financials_Applicant 1'!B27+'Financials_Applicant 2'!B27+'Financials_Applicant 3'!B27+'Financials_Applicant 4'!B27</f>
        <v>1</v>
      </c>
      <c r="C27" s="118">
        <f t="shared" si="0"/>
        <v>1.6666694444490742E-4</v>
      </c>
      <c r="D27" s="118">
        <f>'Financials_Applicant 1'!D27+'Financials_Applicant 2'!D27+'Financials_Applicant 3'!D27+'Financials_Applicant 4'!D27</f>
        <v>1</v>
      </c>
      <c r="E27" s="118">
        <f t="shared" si="1"/>
        <v>0.14285714285714285</v>
      </c>
      <c r="F27" s="118">
        <f>'Financials_Applicant 1'!F27+'Financials_Applicant 2'!F27+'Financials_Applicant 3'!F27+'Financials_Applicant 4'!F27</f>
        <v>0</v>
      </c>
      <c r="G27" s="118" t="e">
        <f t="shared" si="2"/>
        <v>#DIV/0!</v>
      </c>
      <c r="H27" s="118">
        <f>'Financials_Applicant 1'!H27+'Financials_Applicant 2'!H27+'Financials_Applicant 3'!H27+'Financials_Applicant 4'!H27</f>
        <v>0</v>
      </c>
      <c r="I27" s="128" t="e">
        <f t="shared" si="3"/>
        <v>#DIV/0!</v>
      </c>
    </row>
    <row r="28" spans="1:12" ht="18.75" thickBot="1">
      <c r="A28" s="141" t="s">
        <v>220</v>
      </c>
      <c r="B28" s="118">
        <f>'Financials_Applicant 1'!B28+'Financials_Applicant 2'!B28+'Financials_Applicant 3'!B28+'Financials_Applicant 4'!B28</f>
        <v>1</v>
      </c>
      <c r="C28" s="118">
        <f t="shared" si="0"/>
        <v>1.6666694444490742E-4</v>
      </c>
      <c r="D28" s="118">
        <f>'Financials_Applicant 1'!D28+'Financials_Applicant 2'!D28+'Financials_Applicant 3'!D28+'Financials_Applicant 4'!D28</f>
        <v>1</v>
      </c>
      <c r="E28" s="118">
        <f t="shared" si="1"/>
        <v>0.14285714285714285</v>
      </c>
      <c r="F28" s="118">
        <f>'Financials_Applicant 1'!F28+'Financials_Applicant 2'!F28+'Financials_Applicant 3'!F28+'Financials_Applicant 4'!F28</f>
        <v>0</v>
      </c>
      <c r="G28" s="118" t="e">
        <f t="shared" si="2"/>
        <v>#DIV/0!</v>
      </c>
      <c r="H28" s="118">
        <f>'Financials_Applicant 1'!H28+'Financials_Applicant 2'!H28+'Financials_Applicant 3'!H28+'Financials_Applicant 4'!H28</f>
        <v>0</v>
      </c>
      <c r="I28" s="128" t="e">
        <f t="shared" si="3"/>
        <v>#DIV/0!</v>
      </c>
    </row>
    <row r="29" spans="1:12" ht="18.75" thickBot="1">
      <c r="A29" s="142" t="s">
        <v>187</v>
      </c>
      <c r="B29" s="143">
        <f>B26+B27+B28</f>
        <v>599120</v>
      </c>
      <c r="C29" s="139">
        <f t="shared" si="0"/>
        <v>99.853499755832928</v>
      </c>
      <c r="D29" s="143">
        <f>D26+D27+D28</f>
        <v>21</v>
      </c>
      <c r="E29" s="139">
        <f t="shared" si="1"/>
        <v>3</v>
      </c>
      <c r="F29" s="143">
        <f>F26+F27+F28</f>
        <v>-2</v>
      </c>
      <c r="G29" s="118" t="e">
        <f t="shared" si="2"/>
        <v>#DIV/0!</v>
      </c>
      <c r="H29" s="143">
        <f>H26+H27+H28</f>
        <v>-2</v>
      </c>
      <c r="I29" s="128" t="e">
        <f t="shared" si="3"/>
        <v>#DIV/0!</v>
      </c>
    </row>
    <row r="30" spans="1:12" ht="18.75" thickBot="1">
      <c r="A30" s="142"/>
      <c r="B30" s="143"/>
      <c r="C30" s="139"/>
      <c r="D30" s="143"/>
      <c r="E30" s="139"/>
      <c r="F30" s="143"/>
      <c r="G30" s="139"/>
      <c r="H30" s="143"/>
      <c r="I30" s="144"/>
      <c r="J30" s="145"/>
    </row>
    <row r="31" spans="1:12" ht="18">
      <c r="A31" s="146"/>
      <c r="B31" s="147"/>
      <c r="C31" s="148"/>
      <c r="D31" s="147"/>
      <c r="E31" s="148"/>
      <c r="F31" s="147"/>
      <c r="G31" s="148"/>
      <c r="H31" s="147"/>
      <c r="I31" s="149" t="s">
        <v>330</v>
      </c>
    </row>
    <row r="32" spans="1:12" ht="18">
      <c r="A32" s="753" t="s">
        <v>331</v>
      </c>
      <c r="B32" s="754" t="s">
        <v>302</v>
      </c>
      <c r="C32" s="150" t="s">
        <v>303</v>
      </c>
      <c r="D32" s="754" t="s">
        <v>304</v>
      </c>
      <c r="E32" s="150" t="s">
        <v>303</v>
      </c>
      <c r="F32" s="755" t="s">
        <v>305</v>
      </c>
      <c r="G32" s="150" t="s">
        <v>303</v>
      </c>
      <c r="H32" s="755" t="s">
        <v>306</v>
      </c>
      <c r="I32" s="151"/>
    </row>
    <row r="33" spans="1:10" ht="18">
      <c r="A33" s="753"/>
      <c r="B33" s="754"/>
      <c r="C33" s="152" t="s">
        <v>308</v>
      </c>
      <c r="D33" s="754"/>
      <c r="E33" s="152" t="s">
        <v>309</v>
      </c>
      <c r="F33" s="755"/>
      <c r="G33" s="152" t="s">
        <v>310</v>
      </c>
      <c r="H33" s="755"/>
      <c r="I33" s="153"/>
    </row>
    <row r="34" spans="1:10" ht="18">
      <c r="A34" s="154" t="s">
        <v>332</v>
      </c>
      <c r="B34" s="118">
        <f>'Financials_Applicant 1'!B34+'Financials_Applicant 2'!B34+'Financials_Applicant 3'!B34+'Financials_Applicant 4'!B34</f>
        <v>10</v>
      </c>
      <c r="C34" s="118" t="e">
        <f t="shared" ref="C34:C65" si="4">(B34-D34)/D34*100</f>
        <v>#DIV/0!</v>
      </c>
      <c r="D34" s="118">
        <f>'Financials_Applicant 1'!D34+'Financials_Applicant 2'!D34+'Financials_Applicant 3'!D34+'Financials_Applicant 4'!D34</f>
        <v>0</v>
      </c>
      <c r="E34" s="118" t="e">
        <f t="shared" ref="E34:E65" si="5">(D34-F34)/F34*100</f>
        <v>#DIV/0!</v>
      </c>
      <c r="F34" s="118">
        <f>'Financials_Applicant 1'!F34+'Financials_Applicant 2'!F34+'Financials_Applicant 3'!F34+'Financials_Applicant 4'!F34</f>
        <v>0</v>
      </c>
      <c r="G34" s="118" t="e">
        <f t="shared" ref="G34:G65" si="6">(F34-H34)/H34*100</f>
        <v>#DIV/0!</v>
      </c>
      <c r="H34" s="118">
        <f>'Financials_Applicant 1'!H34+'Financials_Applicant 2'!H34+'Financials_Applicant 3'!H34+'Financials_Applicant 4'!H34</f>
        <v>0</v>
      </c>
      <c r="I34" s="112"/>
    </row>
    <row r="35" spans="1:10" ht="26.25">
      <c r="A35" s="154" t="s">
        <v>333</v>
      </c>
      <c r="B35" s="118">
        <f>'Financials_Applicant 1'!B35+'Financials_Applicant 2'!B35+'Financials_Applicant 3'!B35+'Financials_Applicant 4'!B35</f>
        <v>12</v>
      </c>
      <c r="C35" s="118" t="e">
        <f t="shared" si="4"/>
        <v>#DIV/0!</v>
      </c>
      <c r="D35" s="118">
        <f>'Financials_Applicant 1'!D35+'Financials_Applicant 2'!D35+'Financials_Applicant 3'!D35+'Financials_Applicant 4'!D35</f>
        <v>0</v>
      </c>
      <c r="E35" s="118" t="e">
        <f t="shared" si="5"/>
        <v>#DIV/0!</v>
      </c>
      <c r="F35" s="118">
        <f>'Financials_Applicant 1'!F35+'Financials_Applicant 2'!F35+'Financials_Applicant 3'!F35+'Financials_Applicant 4'!F35</f>
        <v>0</v>
      </c>
      <c r="G35" s="118" t="e">
        <f t="shared" si="6"/>
        <v>#DIV/0!</v>
      </c>
      <c r="H35" s="118">
        <f>'Financials_Applicant 1'!H35+'Financials_Applicant 2'!H35+'Financials_Applicant 3'!H35+'Financials_Applicant 4'!H35</f>
        <v>0</v>
      </c>
      <c r="I35" s="112"/>
    </row>
    <row r="36" spans="1:10" ht="18">
      <c r="A36" s="155" t="s">
        <v>188</v>
      </c>
      <c r="B36" s="123">
        <f>SUM(B34:B35)</f>
        <v>22</v>
      </c>
      <c r="C36" s="118" t="e">
        <f t="shared" si="4"/>
        <v>#DIV/0!</v>
      </c>
      <c r="D36" s="123">
        <f>SUM(D34:D35)</f>
        <v>0</v>
      </c>
      <c r="E36" s="118" t="e">
        <f t="shared" si="5"/>
        <v>#DIV/0!</v>
      </c>
      <c r="F36" s="136">
        <f>SUM(F34:F35)</f>
        <v>0</v>
      </c>
      <c r="G36" s="118" t="e">
        <f t="shared" si="6"/>
        <v>#DIV/0!</v>
      </c>
      <c r="H36" s="136">
        <f>SUM(H34:H35)</f>
        <v>0</v>
      </c>
      <c r="I36" s="112"/>
    </row>
    <row r="37" spans="1:10" ht="18">
      <c r="A37" s="154" t="s">
        <v>334</v>
      </c>
      <c r="B37" s="118">
        <f>'Financials_Applicant 1'!B37+'Financials_Applicant 2'!B37+'Financials_Applicant 3'!B37+'Financials_Applicant 4'!B37</f>
        <v>0</v>
      </c>
      <c r="C37" s="118" t="e">
        <f t="shared" si="4"/>
        <v>#DIV/0!</v>
      </c>
      <c r="D37" s="118">
        <f>'Financials_Applicant 1'!D37+'Financials_Applicant 2'!D37+'Financials_Applicant 3'!D37+'Financials_Applicant 4'!D37</f>
        <v>0</v>
      </c>
      <c r="E37" s="118" t="e">
        <f t="shared" si="5"/>
        <v>#DIV/0!</v>
      </c>
      <c r="F37" s="118">
        <f>'Financials_Applicant 1'!F37+'Financials_Applicant 2'!F37+'Financials_Applicant 3'!F37+'Financials_Applicant 4'!F37</f>
        <v>0</v>
      </c>
      <c r="G37" s="118" t="e">
        <f t="shared" si="6"/>
        <v>#DIV/0!</v>
      </c>
      <c r="H37" s="118">
        <f>'Financials_Applicant 1'!H37+'Financials_Applicant 2'!H37+'Financials_Applicant 3'!H37+'Financials_Applicant 4'!H37</f>
        <v>0</v>
      </c>
      <c r="I37" s="112"/>
    </row>
    <row r="38" spans="1:10" ht="18">
      <c r="A38" s="155" t="s">
        <v>335</v>
      </c>
      <c r="B38" s="123">
        <f>B34+B35+B43-B62-B64-B52</f>
        <v>22</v>
      </c>
      <c r="C38" s="118" t="e">
        <f t="shared" si="4"/>
        <v>#DIV/0!</v>
      </c>
      <c r="D38" s="123">
        <f>D34+D35+D43-D62-D64-D52</f>
        <v>0</v>
      </c>
      <c r="E38" s="118" t="e">
        <f t="shared" si="5"/>
        <v>#DIV/0!</v>
      </c>
      <c r="F38" s="136">
        <f>F34+F35+F43-F62-F64-F52</f>
        <v>0</v>
      </c>
      <c r="G38" s="118" t="e">
        <f t="shared" si="6"/>
        <v>#DIV/0!</v>
      </c>
      <c r="H38" s="136">
        <f>H34+H35+H43-H62-H64-H52</f>
        <v>0</v>
      </c>
      <c r="I38" s="112"/>
    </row>
    <row r="39" spans="1:10" ht="18">
      <c r="A39" s="154" t="s">
        <v>189</v>
      </c>
      <c r="B39" s="118">
        <f>'Financials_Applicant 1'!B39+'Financials_Applicant 2'!B39+'Financials_Applicant 3'!B39+'Financials_Applicant 4'!B39</f>
        <v>10</v>
      </c>
      <c r="C39" s="118" t="e">
        <f t="shared" si="4"/>
        <v>#DIV/0!</v>
      </c>
      <c r="D39" s="118">
        <f>'Financials_Applicant 1'!D39+'Financials_Applicant 2'!D39+'Financials_Applicant 3'!D39+'Financials_Applicant 4'!D39</f>
        <v>0</v>
      </c>
      <c r="E39" s="118" t="e">
        <f t="shared" si="5"/>
        <v>#DIV/0!</v>
      </c>
      <c r="F39" s="118">
        <f>'Financials_Applicant 1'!F39+'Financials_Applicant 2'!F39+'Financials_Applicant 3'!F39+'Financials_Applicant 4'!F39</f>
        <v>0</v>
      </c>
      <c r="G39" s="118" t="e">
        <f t="shared" si="6"/>
        <v>#DIV/0!</v>
      </c>
      <c r="H39" s="118">
        <f>'Financials_Applicant 1'!H39+'Financials_Applicant 2'!H39+'Financials_Applicant 3'!H39+'Financials_Applicant 4'!H39</f>
        <v>0</v>
      </c>
    </row>
    <row r="40" spans="1:10" ht="18">
      <c r="A40" s="154" t="s">
        <v>190</v>
      </c>
      <c r="B40" s="118">
        <f>'Financials_Applicant 1'!B40+'Financials_Applicant 2'!B40+'Financials_Applicant 3'!B40+'Financials_Applicant 4'!B40</f>
        <v>1</v>
      </c>
      <c r="C40" s="118" t="e">
        <f t="shared" si="4"/>
        <v>#DIV/0!</v>
      </c>
      <c r="D40" s="118">
        <f>'Financials_Applicant 1'!D40+'Financials_Applicant 2'!D40+'Financials_Applicant 3'!D40+'Financials_Applicant 4'!D40</f>
        <v>0</v>
      </c>
      <c r="E40" s="118" t="e">
        <f t="shared" si="5"/>
        <v>#DIV/0!</v>
      </c>
      <c r="F40" s="118">
        <f>'Financials_Applicant 1'!F40+'Financials_Applicant 2'!F40+'Financials_Applicant 3'!F40+'Financials_Applicant 4'!F40</f>
        <v>0</v>
      </c>
      <c r="G40" s="118" t="e">
        <f t="shared" si="6"/>
        <v>#DIV/0!</v>
      </c>
      <c r="H40" s="118">
        <f>'Financials_Applicant 1'!H40+'Financials_Applicant 2'!H40+'Financials_Applicant 3'!H40+'Financials_Applicant 4'!H40</f>
        <v>0</v>
      </c>
      <c r="I40" s="156"/>
      <c r="J40" s="157"/>
    </row>
    <row r="41" spans="1:10" ht="18">
      <c r="A41" s="158" t="s">
        <v>336</v>
      </c>
      <c r="B41" s="159">
        <f>B39+B40</f>
        <v>11</v>
      </c>
      <c r="C41" s="118" t="e">
        <f t="shared" si="4"/>
        <v>#DIV/0!</v>
      </c>
      <c r="D41" s="159">
        <f>D39+D40</f>
        <v>0</v>
      </c>
      <c r="E41" s="118" t="e">
        <f t="shared" si="5"/>
        <v>#DIV/0!</v>
      </c>
      <c r="F41" s="159">
        <f>F39+F40</f>
        <v>0</v>
      </c>
      <c r="G41" s="118" t="e">
        <f t="shared" si="6"/>
        <v>#DIV/0!</v>
      </c>
      <c r="H41" s="159">
        <f>H39+H40</f>
        <v>0</v>
      </c>
      <c r="I41" s="112"/>
      <c r="J41" s="157"/>
    </row>
    <row r="42" spans="1:10" ht="18">
      <c r="A42" s="154" t="s">
        <v>337</v>
      </c>
      <c r="B42" s="118">
        <f>'Financials_Applicant 1'!B42+'Financials_Applicant 2'!B42+'Financials_Applicant 3'!B42+'Financials_Applicant 4'!B42</f>
        <v>1</v>
      </c>
      <c r="C42" s="118" t="e">
        <f t="shared" si="4"/>
        <v>#DIV/0!</v>
      </c>
      <c r="D42" s="118">
        <f>'Financials_Applicant 1'!D42+'Financials_Applicant 2'!D42+'Financials_Applicant 3'!D42+'Financials_Applicant 4'!D42</f>
        <v>0</v>
      </c>
      <c r="E42" s="118" t="e">
        <f t="shared" si="5"/>
        <v>#DIV/0!</v>
      </c>
      <c r="F42" s="118">
        <f>'Financials_Applicant 1'!F42+'Financials_Applicant 2'!F42+'Financials_Applicant 3'!F42+'Financials_Applicant 4'!F42</f>
        <v>0</v>
      </c>
      <c r="G42" s="118" t="e">
        <f t="shared" si="6"/>
        <v>#DIV/0!</v>
      </c>
      <c r="H42" s="118">
        <f>'Financials_Applicant 1'!H42+'Financials_Applicant 2'!H42+'Financials_Applicant 3'!H42+'Financials_Applicant 4'!H42</f>
        <v>0</v>
      </c>
      <c r="I42" s="112"/>
    </row>
    <row r="43" spans="1:10" ht="26.25">
      <c r="A43" s="160" t="s">
        <v>338</v>
      </c>
      <c r="B43" s="118">
        <f>'Financials_Applicant 1'!B43+'Financials_Applicant 2'!B43+'Financials_Applicant 3'!B43+'Financials_Applicant 4'!B43</f>
        <v>0</v>
      </c>
      <c r="C43" s="118" t="e">
        <f t="shared" si="4"/>
        <v>#DIV/0!</v>
      </c>
      <c r="D43" s="118">
        <f>'Financials_Applicant 1'!D43+'Financials_Applicant 2'!D43+'Financials_Applicant 3'!D43+'Financials_Applicant 4'!D43</f>
        <v>0</v>
      </c>
      <c r="E43" s="118" t="e">
        <f t="shared" si="5"/>
        <v>#DIV/0!</v>
      </c>
      <c r="F43" s="118">
        <f>'Financials_Applicant 1'!F43+'Financials_Applicant 2'!F43+'Financials_Applicant 3'!F43+'Financials_Applicant 4'!F43</f>
        <v>0</v>
      </c>
      <c r="G43" s="118" t="e">
        <f t="shared" si="6"/>
        <v>#DIV/0!</v>
      </c>
      <c r="H43" s="118">
        <f>'Financials_Applicant 1'!H43+'Financials_Applicant 2'!H43+'Financials_Applicant 3'!H43+'Financials_Applicant 4'!H43</f>
        <v>0</v>
      </c>
      <c r="I43" s="112"/>
    </row>
    <row r="44" spans="1:10" ht="18">
      <c r="A44" s="161" t="s">
        <v>339</v>
      </c>
      <c r="B44" s="162">
        <f>B45+B46</f>
        <v>1</v>
      </c>
      <c r="C44" s="118" t="e">
        <f t="shared" si="4"/>
        <v>#DIV/0!</v>
      </c>
      <c r="D44" s="162">
        <f>D45+D46</f>
        <v>0</v>
      </c>
      <c r="E44" s="118" t="e">
        <f t="shared" si="5"/>
        <v>#DIV/0!</v>
      </c>
      <c r="F44" s="162">
        <f>F45+F46</f>
        <v>0</v>
      </c>
      <c r="G44" s="118" t="e">
        <f t="shared" si="6"/>
        <v>#DIV/0!</v>
      </c>
      <c r="H44" s="162">
        <f>H45+H46</f>
        <v>0</v>
      </c>
      <c r="I44" s="112"/>
    </row>
    <row r="45" spans="1:10" ht="18">
      <c r="A45" s="163" t="s">
        <v>340</v>
      </c>
      <c r="B45" s="118">
        <f>'Financials_Applicant 1'!B45+'Financials_Applicant 2'!B45+'Financials_Applicant 3'!B45+'Financials_Applicant 4'!B45</f>
        <v>1</v>
      </c>
      <c r="C45" s="118" t="e">
        <f t="shared" si="4"/>
        <v>#DIV/0!</v>
      </c>
      <c r="D45" s="118">
        <f>'Financials_Applicant 1'!D45+'Financials_Applicant 2'!D45+'Financials_Applicant 3'!D45+'Financials_Applicant 4'!D45</f>
        <v>0</v>
      </c>
      <c r="E45" s="118" t="e">
        <f t="shared" si="5"/>
        <v>#DIV/0!</v>
      </c>
      <c r="F45" s="118">
        <f>'Financials_Applicant 1'!F45+'Financials_Applicant 2'!F45+'Financials_Applicant 3'!F45+'Financials_Applicant 4'!F45</f>
        <v>0</v>
      </c>
      <c r="G45" s="118" t="e">
        <f t="shared" si="6"/>
        <v>#DIV/0!</v>
      </c>
      <c r="H45" s="118">
        <f>'Financials_Applicant 1'!H45+'Financials_Applicant 2'!H45+'Financials_Applicant 3'!H45+'Financials_Applicant 4'!H45</f>
        <v>0</v>
      </c>
      <c r="I45" s="112"/>
    </row>
    <row r="46" spans="1:10" ht="18">
      <c r="A46" s="154" t="s">
        <v>341</v>
      </c>
      <c r="B46" s="118">
        <f>'Financials_Applicant 1'!B46+'Financials_Applicant 2'!B46+'Financials_Applicant 3'!B46+'Financials_Applicant 4'!B46</f>
        <v>0</v>
      </c>
      <c r="C46" s="118" t="e">
        <f t="shared" si="4"/>
        <v>#DIV/0!</v>
      </c>
      <c r="D46" s="118">
        <f>'Financials_Applicant 1'!D46+'Financials_Applicant 2'!D46+'Financials_Applicant 3'!D46+'Financials_Applicant 4'!D46</f>
        <v>0</v>
      </c>
      <c r="E46" s="118" t="e">
        <f t="shared" si="5"/>
        <v>#DIV/0!</v>
      </c>
      <c r="F46" s="118">
        <f>'Financials_Applicant 1'!F46+'Financials_Applicant 2'!F46+'Financials_Applicant 3'!F46+'Financials_Applicant 4'!F46</f>
        <v>0</v>
      </c>
      <c r="G46" s="118" t="e">
        <f t="shared" si="6"/>
        <v>#DIV/0!</v>
      </c>
      <c r="H46" s="118">
        <f>'Financials_Applicant 1'!H46+'Financials_Applicant 2'!H46+'Financials_Applicant 3'!H46+'Financials_Applicant 4'!H46</f>
        <v>0</v>
      </c>
      <c r="I46" s="112"/>
    </row>
    <row r="47" spans="1:10" ht="18">
      <c r="A47" s="164" t="s">
        <v>342</v>
      </c>
      <c r="B47" s="136">
        <f>B41+B42+B44</f>
        <v>13</v>
      </c>
      <c r="C47" s="118" t="e">
        <f t="shared" si="4"/>
        <v>#DIV/0!</v>
      </c>
      <c r="D47" s="136">
        <f>D41+D42+D44</f>
        <v>0</v>
      </c>
      <c r="E47" s="118" t="e">
        <f t="shared" si="5"/>
        <v>#DIV/0!</v>
      </c>
      <c r="F47" s="136">
        <f>F41+F42+F44</f>
        <v>0</v>
      </c>
      <c r="G47" s="118" t="e">
        <f t="shared" si="6"/>
        <v>#DIV/0!</v>
      </c>
      <c r="H47" s="136">
        <f>H41+H42+H44</f>
        <v>0</v>
      </c>
      <c r="I47" s="112"/>
    </row>
    <row r="48" spans="1:10" ht="18">
      <c r="A48" s="198" t="s">
        <v>343</v>
      </c>
      <c r="B48" s="199">
        <f>B36+B37+B41+B42+B43+B44</f>
        <v>35</v>
      </c>
      <c r="C48" s="200" t="e">
        <f t="shared" si="4"/>
        <v>#DIV/0!</v>
      </c>
      <c r="D48" s="199">
        <f>D36+D37+D41+D42+D43+D44</f>
        <v>0</v>
      </c>
      <c r="E48" s="200" t="e">
        <f t="shared" si="5"/>
        <v>#DIV/0!</v>
      </c>
      <c r="F48" s="199">
        <f>F36+F37+F41+F42+F43+F44</f>
        <v>0</v>
      </c>
      <c r="G48" s="200" t="e">
        <f t="shared" si="6"/>
        <v>#DIV/0!</v>
      </c>
      <c r="H48" s="199">
        <f>H36+H37+H41+H42+H43+H44</f>
        <v>0</v>
      </c>
      <c r="I48" s="112"/>
    </row>
    <row r="49" spans="1:9" ht="18">
      <c r="A49" s="160" t="s">
        <v>344</v>
      </c>
      <c r="B49" s="118">
        <f>'Financials_Applicant 1'!B49+'Financials_Applicant 2'!B49+'Financials_Applicant 3'!B49+'Financials_Applicant 4'!B49</f>
        <v>0</v>
      </c>
      <c r="C49" s="118" t="e">
        <f t="shared" si="4"/>
        <v>#DIV/0!</v>
      </c>
      <c r="D49" s="118">
        <f>'Financials_Applicant 1'!D49+'Financials_Applicant 2'!D49+'Financials_Applicant 3'!D49+'Financials_Applicant 4'!D49</f>
        <v>0</v>
      </c>
      <c r="E49" s="118" t="e">
        <f t="shared" si="5"/>
        <v>#DIV/0!</v>
      </c>
      <c r="F49" s="118">
        <f>'Financials_Applicant 1'!F49+'Financials_Applicant 2'!F49+'Financials_Applicant 3'!F49+'Financials_Applicant 4'!F49</f>
        <v>0</v>
      </c>
      <c r="G49" s="118" t="e">
        <f t="shared" si="6"/>
        <v>#DIV/0!</v>
      </c>
      <c r="H49" s="118">
        <f>'Financials_Applicant 1'!H49+'Financials_Applicant 2'!H49+'Financials_Applicant 3'!H49+'Financials_Applicant 4'!H49</f>
        <v>0</v>
      </c>
      <c r="I49" s="165"/>
    </row>
    <row r="50" spans="1:9" ht="18">
      <c r="A50" s="166" t="s">
        <v>345</v>
      </c>
      <c r="B50" s="136">
        <f>B51+B53+B52</f>
        <v>0</v>
      </c>
      <c r="C50" s="118" t="e">
        <f t="shared" si="4"/>
        <v>#DIV/0!</v>
      </c>
      <c r="D50" s="136">
        <f>D51+D53+D52</f>
        <v>0</v>
      </c>
      <c r="E50" s="118" t="e">
        <f t="shared" si="5"/>
        <v>#DIV/0!</v>
      </c>
      <c r="F50" s="136">
        <f>F51+F53+F52</f>
        <v>0</v>
      </c>
      <c r="G50" s="118" t="e">
        <f t="shared" si="6"/>
        <v>#DIV/0!</v>
      </c>
      <c r="H50" s="136">
        <f>H51+H53+H52</f>
        <v>0</v>
      </c>
      <c r="I50" s="112"/>
    </row>
    <row r="51" spans="1:9" ht="18">
      <c r="A51" s="167" t="s">
        <v>346</v>
      </c>
      <c r="B51" s="118">
        <f>'Financials_Applicant 1'!B51+'Financials_Applicant 2'!B51+'Financials_Applicant 3'!B51+'Financials_Applicant 4'!B51</f>
        <v>0</v>
      </c>
      <c r="C51" s="118" t="e">
        <f t="shared" si="4"/>
        <v>#DIV/0!</v>
      </c>
      <c r="D51" s="118">
        <f>'Financials_Applicant 1'!D51+'Financials_Applicant 2'!D51+'Financials_Applicant 3'!D51+'Financials_Applicant 4'!D51</f>
        <v>0</v>
      </c>
      <c r="E51" s="118" t="e">
        <f t="shared" si="5"/>
        <v>#DIV/0!</v>
      </c>
      <c r="F51" s="118">
        <f>'Financials_Applicant 1'!F51+'Financials_Applicant 2'!F51+'Financials_Applicant 3'!F51+'Financials_Applicant 4'!F51</f>
        <v>0</v>
      </c>
      <c r="G51" s="118" t="e">
        <f t="shared" si="6"/>
        <v>#DIV/0!</v>
      </c>
      <c r="H51" s="118">
        <f>'Financials_Applicant 1'!H51+'Financials_Applicant 2'!H51+'Financials_Applicant 3'!H51+'Financials_Applicant 4'!H51</f>
        <v>0</v>
      </c>
      <c r="I51" s="112"/>
    </row>
    <row r="52" spans="1:9" ht="18">
      <c r="A52" s="167" t="s">
        <v>347</v>
      </c>
      <c r="B52" s="118">
        <f>'Financials_Applicant 1'!B52+'Financials_Applicant 2'!B52+'Financials_Applicant 3'!B52+'Financials_Applicant 4'!B52</f>
        <v>0</v>
      </c>
      <c r="C52" s="118" t="e">
        <f t="shared" si="4"/>
        <v>#DIV/0!</v>
      </c>
      <c r="D52" s="118">
        <f>'Financials_Applicant 1'!D52+'Financials_Applicant 2'!D52+'Financials_Applicant 3'!D52+'Financials_Applicant 4'!D52</f>
        <v>0</v>
      </c>
      <c r="E52" s="118" t="e">
        <f t="shared" si="5"/>
        <v>#DIV/0!</v>
      </c>
      <c r="F52" s="118">
        <f>'Financials_Applicant 1'!F52+'Financials_Applicant 2'!F52+'Financials_Applicant 3'!F52+'Financials_Applicant 4'!F52</f>
        <v>0</v>
      </c>
      <c r="G52" s="118" t="e">
        <f t="shared" si="6"/>
        <v>#DIV/0!</v>
      </c>
      <c r="H52" s="118">
        <f>'Financials_Applicant 1'!H52+'Financials_Applicant 2'!H52+'Financials_Applicant 3'!H52+'Financials_Applicant 4'!H52</f>
        <v>0</v>
      </c>
      <c r="I52" s="112"/>
    </row>
    <row r="53" spans="1:9" ht="18">
      <c r="A53" s="167" t="s">
        <v>348</v>
      </c>
      <c r="B53" s="118">
        <f>'Financials_Applicant 1'!B53+'Financials_Applicant 2'!B53+'Financials_Applicant 3'!B53+'Financials_Applicant 4'!B53</f>
        <v>0</v>
      </c>
      <c r="C53" s="118" t="e">
        <f t="shared" si="4"/>
        <v>#DIV/0!</v>
      </c>
      <c r="D53" s="118">
        <f>'Financials_Applicant 1'!D53+'Financials_Applicant 2'!D53+'Financials_Applicant 3'!D53+'Financials_Applicant 4'!D53</f>
        <v>0</v>
      </c>
      <c r="E53" s="118" t="e">
        <f t="shared" si="5"/>
        <v>#DIV/0!</v>
      </c>
      <c r="F53" s="118">
        <f>'Financials_Applicant 1'!F53+'Financials_Applicant 2'!F53+'Financials_Applicant 3'!F53+'Financials_Applicant 4'!F53</f>
        <v>0</v>
      </c>
      <c r="G53" s="118" t="e">
        <f t="shared" si="6"/>
        <v>#DIV/0!</v>
      </c>
      <c r="H53" s="118">
        <f>'Financials_Applicant 1'!H53+'Financials_Applicant 2'!H53+'Financials_Applicant 3'!H53+'Financials_Applicant 4'!H53</f>
        <v>0</v>
      </c>
      <c r="I53" s="112"/>
    </row>
    <row r="54" spans="1:9" ht="18">
      <c r="A54" s="168" t="s">
        <v>349</v>
      </c>
      <c r="B54" s="162">
        <f>B56+B57+B60+B61+B55</f>
        <v>2</v>
      </c>
      <c r="C54" s="118" t="e">
        <f t="shared" si="4"/>
        <v>#DIV/0!</v>
      </c>
      <c r="D54" s="162">
        <f>D56+D57+D60+D61+D55</f>
        <v>0</v>
      </c>
      <c r="E54" s="118" t="e">
        <f t="shared" si="5"/>
        <v>#DIV/0!</v>
      </c>
      <c r="F54" s="162">
        <f>F56+F57+F60+F61+F55</f>
        <v>0</v>
      </c>
      <c r="G54" s="118" t="e">
        <f t="shared" si="6"/>
        <v>#DIV/0!</v>
      </c>
      <c r="H54" s="162">
        <f>H56+H57+H60+H61+H55</f>
        <v>0</v>
      </c>
      <c r="I54" s="112"/>
    </row>
    <row r="55" spans="1:9" ht="18">
      <c r="A55" s="169" t="s">
        <v>350</v>
      </c>
      <c r="B55" s="118">
        <f>'Financials_Applicant 1'!B55+'Financials_Applicant 2'!B55+'Financials_Applicant 3'!B55+'Financials_Applicant 4'!B55</f>
        <v>0</v>
      </c>
      <c r="C55" s="118" t="e">
        <f t="shared" si="4"/>
        <v>#DIV/0!</v>
      </c>
      <c r="D55" s="118">
        <f>'Financials_Applicant 1'!D55+'Financials_Applicant 2'!D55+'Financials_Applicant 3'!D55+'Financials_Applicant 4'!D55</f>
        <v>0</v>
      </c>
      <c r="E55" s="118" t="e">
        <f t="shared" si="5"/>
        <v>#DIV/0!</v>
      </c>
      <c r="F55" s="118">
        <f>'Financials_Applicant 1'!F55+'Financials_Applicant 2'!F55+'Financials_Applicant 3'!F55+'Financials_Applicant 4'!F55</f>
        <v>0</v>
      </c>
      <c r="G55" s="118" t="e">
        <f t="shared" si="6"/>
        <v>#DIV/0!</v>
      </c>
      <c r="H55" s="118">
        <f>'Financials_Applicant 1'!H55+'Financials_Applicant 2'!H55+'Financials_Applicant 3'!H55+'Financials_Applicant 4'!H55</f>
        <v>0</v>
      </c>
      <c r="I55" s="112"/>
    </row>
    <row r="56" spans="1:9" ht="18">
      <c r="A56" s="160" t="s">
        <v>351</v>
      </c>
      <c r="B56" s="118">
        <f>'Financials_Applicant 1'!B56+'Financials_Applicant 2'!B56+'Financials_Applicant 3'!B56+'Financials_Applicant 4'!B56</f>
        <v>0</v>
      </c>
      <c r="C56" s="118" t="e">
        <f t="shared" si="4"/>
        <v>#DIV/0!</v>
      </c>
      <c r="D56" s="118">
        <f>'Financials_Applicant 1'!D56+'Financials_Applicant 2'!D56+'Financials_Applicant 3'!D56+'Financials_Applicant 4'!D56</f>
        <v>0</v>
      </c>
      <c r="E56" s="118" t="e">
        <f t="shared" si="5"/>
        <v>#DIV/0!</v>
      </c>
      <c r="F56" s="118">
        <f>'Financials_Applicant 1'!F56+'Financials_Applicant 2'!F56+'Financials_Applicant 3'!F56+'Financials_Applicant 4'!F56</f>
        <v>0</v>
      </c>
      <c r="G56" s="118" t="e">
        <f t="shared" si="6"/>
        <v>#DIV/0!</v>
      </c>
      <c r="H56" s="118">
        <f>'Financials_Applicant 1'!H56+'Financials_Applicant 2'!H56+'Financials_Applicant 3'!H56+'Financials_Applicant 4'!H56</f>
        <v>0</v>
      </c>
      <c r="I56" s="112"/>
    </row>
    <row r="57" spans="1:9" ht="18">
      <c r="A57" s="170" t="s">
        <v>352</v>
      </c>
      <c r="B57" s="162">
        <f>B58+B59</f>
        <v>2</v>
      </c>
      <c r="C57" s="118" t="e">
        <f t="shared" si="4"/>
        <v>#DIV/0!</v>
      </c>
      <c r="D57" s="162">
        <f>D58+D59</f>
        <v>0</v>
      </c>
      <c r="E57" s="118" t="e">
        <f t="shared" si="5"/>
        <v>#DIV/0!</v>
      </c>
      <c r="F57" s="162">
        <f>F58+F59</f>
        <v>0</v>
      </c>
      <c r="G57" s="118" t="e">
        <f t="shared" si="6"/>
        <v>#DIV/0!</v>
      </c>
      <c r="H57" s="162">
        <f>H58+H59</f>
        <v>0</v>
      </c>
      <c r="I57" s="112"/>
    </row>
    <row r="58" spans="1:9" ht="18">
      <c r="A58" s="160" t="s">
        <v>353</v>
      </c>
      <c r="B58" s="118">
        <f>'Financials_Applicant 1'!B58+'Financials_Applicant 2'!B58+'Financials_Applicant 3'!B58+'Financials_Applicant 4'!B58</f>
        <v>1</v>
      </c>
      <c r="C58" s="118" t="e">
        <f t="shared" si="4"/>
        <v>#DIV/0!</v>
      </c>
      <c r="D58" s="118">
        <f>'Financials_Applicant 1'!D58+'Financials_Applicant 2'!D58+'Financials_Applicant 3'!D58+'Financials_Applicant 4'!D58</f>
        <v>0</v>
      </c>
      <c r="E58" s="118" t="e">
        <f t="shared" si="5"/>
        <v>#DIV/0!</v>
      </c>
      <c r="F58" s="118">
        <f>'Financials_Applicant 1'!F58+'Financials_Applicant 2'!F58+'Financials_Applicant 3'!F58+'Financials_Applicant 4'!F58</f>
        <v>0</v>
      </c>
      <c r="G58" s="118" t="e">
        <f t="shared" si="6"/>
        <v>#DIV/0!</v>
      </c>
      <c r="H58" s="118">
        <f>'Financials_Applicant 1'!H58+'Financials_Applicant 2'!H58+'Financials_Applicant 3'!H58+'Financials_Applicant 4'!H58</f>
        <v>0</v>
      </c>
      <c r="I58" s="112"/>
    </row>
    <row r="59" spans="1:9" ht="18">
      <c r="A59" s="160" t="s">
        <v>354</v>
      </c>
      <c r="B59" s="118">
        <f>'Financials_Applicant 1'!B59+'Financials_Applicant 2'!B59+'Financials_Applicant 3'!B59+'Financials_Applicant 4'!B59</f>
        <v>1</v>
      </c>
      <c r="C59" s="118" t="e">
        <f t="shared" si="4"/>
        <v>#DIV/0!</v>
      </c>
      <c r="D59" s="118">
        <f>'Financials_Applicant 1'!D59+'Financials_Applicant 2'!D59+'Financials_Applicant 3'!D59+'Financials_Applicant 4'!D59</f>
        <v>0</v>
      </c>
      <c r="E59" s="118" t="e">
        <f t="shared" si="5"/>
        <v>#DIV/0!</v>
      </c>
      <c r="F59" s="118">
        <f>'Financials_Applicant 1'!F59+'Financials_Applicant 2'!F59+'Financials_Applicant 3'!F59+'Financials_Applicant 4'!F59</f>
        <v>0</v>
      </c>
      <c r="G59" s="118" t="e">
        <f t="shared" si="6"/>
        <v>#DIV/0!</v>
      </c>
      <c r="H59" s="118">
        <f>'Financials_Applicant 1'!H59+'Financials_Applicant 2'!H59+'Financials_Applicant 3'!H59+'Financials_Applicant 4'!H59</f>
        <v>0</v>
      </c>
      <c r="I59" s="112"/>
    </row>
    <row r="60" spans="1:9" ht="18">
      <c r="A60" s="160" t="s">
        <v>355</v>
      </c>
      <c r="B60" s="118">
        <f>'Financials_Applicant 1'!B60+'Financials_Applicant 2'!B60+'Financials_Applicant 3'!B60+'Financials_Applicant 4'!B60</f>
        <v>0</v>
      </c>
      <c r="C60" s="118" t="e">
        <f t="shared" si="4"/>
        <v>#DIV/0!</v>
      </c>
      <c r="D60" s="118">
        <f>'Financials_Applicant 1'!D60+'Financials_Applicant 2'!D60+'Financials_Applicant 3'!D60+'Financials_Applicant 4'!D60</f>
        <v>0</v>
      </c>
      <c r="E60" s="118" t="e">
        <f t="shared" si="5"/>
        <v>#DIV/0!</v>
      </c>
      <c r="F60" s="118">
        <f>'Financials_Applicant 1'!F60+'Financials_Applicant 2'!F60+'Financials_Applicant 3'!F60+'Financials_Applicant 4'!F60</f>
        <v>0</v>
      </c>
      <c r="G60" s="118" t="e">
        <f t="shared" si="6"/>
        <v>#DIV/0!</v>
      </c>
      <c r="H60" s="118">
        <f>'Financials_Applicant 1'!H60+'Financials_Applicant 2'!H60+'Financials_Applicant 3'!H60+'Financials_Applicant 4'!H60</f>
        <v>0</v>
      </c>
      <c r="I60" s="165"/>
    </row>
    <row r="61" spans="1:9" ht="18">
      <c r="A61" s="171" t="s">
        <v>356</v>
      </c>
      <c r="B61" s="172">
        <f>B62+B63</f>
        <v>0</v>
      </c>
      <c r="C61" s="118" t="e">
        <f t="shared" si="4"/>
        <v>#DIV/0!</v>
      </c>
      <c r="D61" s="172">
        <f>D62+D63</f>
        <v>0</v>
      </c>
      <c r="E61" s="118" t="e">
        <f t="shared" si="5"/>
        <v>#DIV/0!</v>
      </c>
      <c r="F61" s="172">
        <f>F62+F63</f>
        <v>0</v>
      </c>
      <c r="G61" s="118" t="e">
        <f t="shared" si="6"/>
        <v>#DIV/0!</v>
      </c>
      <c r="H61" s="172">
        <f>H62+H63</f>
        <v>0</v>
      </c>
      <c r="I61" s="112"/>
    </row>
    <row r="62" spans="1:9" ht="26.25">
      <c r="A62" s="154" t="s">
        <v>357</v>
      </c>
      <c r="B62" s="118">
        <f>'Financials_Applicant 1'!B62+'Financials_Applicant 2'!B62+'Financials_Applicant 3'!B62+'Financials_Applicant 4'!B62</f>
        <v>0</v>
      </c>
      <c r="C62" s="118" t="e">
        <f t="shared" si="4"/>
        <v>#DIV/0!</v>
      </c>
      <c r="D62" s="118">
        <f>'Financials_Applicant 1'!D62+'Financials_Applicant 2'!D62+'Financials_Applicant 3'!D62+'Financials_Applicant 4'!D62</f>
        <v>0</v>
      </c>
      <c r="E62" s="118" t="e">
        <f t="shared" si="5"/>
        <v>#DIV/0!</v>
      </c>
      <c r="F62" s="118">
        <f>'Financials_Applicant 1'!F62+'Financials_Applicant 2'!F62+'Financials_Applicant 3'!F62+'Financials_Applicant 4'!F62</f>
        <v>0</v>
      </c>
      <c r="G62" s="118" t="e">
        <f t="shared" si="6"/>
        <v>#DIV/0!</v>
      </c>
      <c r="H62" s="118">
        <f>'Financials_Applicant 1'!H62+'Financials_Applicant 2'!H62+'Financials_Applicant 3'!H62+'Financials_Applicant 4'!H62</f>
        <v>0</v>
      </c>
      <c r="I62" s="112"/>
    </row>
    <row r="63" spans="1:9" ht="18">
      <c r="A63" s="154" t="s">
        <v>358</v>
      </c>
      <c r="B63" s="118">
        <f>'Financials_Applicant 1'!B63+'Financials_Applicant 2'!B63+'Financials_Applicant 3'!B63+'Financials_Applicant 4'!B63</f>
        <v>0</v>
      </c>
      <c r="C63" s="118" t="e">
        <f t="shared" si="4"/>
        <v>#DIV/0!</v>
      </c>
      <c r="D63" s="118">
        <f>'Financials_Applicant 1'!D63+'Financials_Applicant 2'!D63+'Financials_Applicant 3'!D63+'Financials_Applicant 4'!D63</f>
        <v>0</v>
      </c>
      <c r="E63" s="118" t="e">
        <f t="shared" si="5"/>
        <v>#DIV/0!</v>
      </c>
      <c r="F63" s="118">
        <f>'Financials_Applicant 1'!F63+'Financials_Applicant 2'!F63+'Financials_Applicant 3'!F63+'Financials_Applicant 4'!F63</f>
        <v>0</v>
      </c>
      <c r="G63" s="118" t="e">
        <f t="shared" si="6"/>
        <v>#DIV/0!</v>
      </c>
      <c r="H63" s="118">
        <f>'Financials_Applicant 1'!H63+'Financials_Applicant 2'!H63+'Financials_Applicant 3'!H63+'Financials_Applicant 4'!H63</f>
        <v>0</v>
      </c>
      <c r="I63" s="112"/>
    </row>
    <row r="64" spans="1:9" ht="26.25">
      <c r="A64" s="154" t="s">
        <v>359</v>
      </c>
      <c r="B64" s="118">
        <f>'Financials_Applicant 1'!B64+'Financials_Applicant 2'!B64+'Financials_Applicant 3'!B64+'Financials_Applicant 4'!B64</f>
        <v>0</v>
      </c>
      <c r="C64" s="118" t="e">
        <f t="shared" si="4"/>
        <v>#DIV/0!</v>
      </c>
      <c r="D64" s="118">
        <f>'Financials_Applicant 1'!D64+'Financials_Applicant 2'!D64+'Financials_Applicant 3'!D64+'Financials_Applicant 4'!D64</f>
        <v>0</v>
      </c>
      <c r="E64" s="118" t="e">
        <f t="shared" si="5"/>
        <v>#DIV/0!</v>
      </c>
      <c r="F64" s="118">
        <f>'Financials_Applicant 1'!F64+'Financials_Applicant 2'!F64+'Financials_Applicant 3'!F64+'Financials_Applicant 4'!F64</f>
        <v>0</v>
      </c>
      <c r="G64" s="118" t="e">
        <f t="shared" si="6"/>
        <v>#DIV/0!</v>
      </c>
      <c r="H64" s="118">
        <f>'Financials_Applicant 1'!H64+'Financials_Applicant 2'!H64+'Financials_Applicant 3'!H64+'Financials_Applicant 4'!H64</f>
        <v>0</v>
      </c>
      <c r="I64" s="112"/>
    </row>
    <row r="65" spans="1:10" ht="18">
      <c r="A65" s="198" t="s">
        <v>343</v>
      </c>
      <c r="B65" s="201">
        <f>B49+B50+B54+B64</f>
        <v>2</v>
      </c>
      <c r="C65" s="200" t="e">
        <f t="shared" si="4"/>
        <v>#DIV/0!</v>
      </c>
      <c r="D65" s="201">
        <f>D49+D50+D54+D64</f>
        <v>0</v>
      </c>
      <c r="E65" s="200" t="e">
        <f t="shared" si="5"/>
        <v>#DIV/0!</v>
      </c>
      <c r="F65" s="201">
        <f>F49+F50+F54+F64</f>
        <v>0</v>
      </c>
      <c r="G65" s="200" t="e">
        <f t="shared" si="6"/>
        <v>#DIV/0!</v>
      </c>
      <c r="H65" s="201">
        <f>H49+H50+H54+H64</f>
        <v>0</v>
      </c>
      <c r="I65" s="153"/>
    </row>
    <row r="66" spans="1:10" ht="18">
      <c r="A66" s="173"/>
      <c r="B66" s="173">
        <f>+B48-B65</f>
        <v>33</v>
      </c>
      <c r="C66" s="173"/>
      <c r="D66" s="173">
        <f>+D48-D65</f>
        <v>0</v>
      </c>
      <c r="E66" s="173"/>
      <c r="F66" s="173">
        <f>+F48-F65</f>
        <v>0</v>
      </c>
      <c r="G66" s="173"/>
      <c r="H66" s="173">
        <f>+H48-H65</f>
        <v>0</v>
      </c>
      <c r="I66" s="112"/>
      <c r="J66" s="129"/>
    </row>
    <row r="67" spans="1:10" ht="18">
      <c r="A67" s="750" t="s">
        <v>360</v>
      </c>
      <c r="B67" s="750"/>
      <c r="C67" s="750"/>
      <c r="D67" s="750"/>
      <c r="E67" s="750"/>
      <c r="F67" s="750"/>
      <c r="G67" s="750"/>
      <c r="H67" s="750"/>
      <c r="I67" s="112"/>
    </row>
    <row r="68" spans="1:10" ht="18">
      <c r="A68" s="750"/>
      <c r="B68" s="750"/>
      <c r="C68" s="750"/>
      <c r="D68" s="750"/>
      <c r="E68" s="750"/>
      <c r="F68" s="750"/>
      <c r="G68" s="750"/>
      <c r="H68" s="750"/>
      <c r="I68" s="112"/>
    </row>
    <row r="69" spans="1:10" ht="18.75" thickBot="1">
      <c r="A69" s="174" t="s">
        <v>361</v>
      </c>
      <c r="B69" s="175">
        <f>B57/B5*365</f>
        <v>1.2166686944478241E-3</v>
      </c>
      <c r="C69" s="174"/>
      <c r="D69" s="175">
        <f>D57/D5*365</f>
        <v>0</v>
      </c>
      <c r="E69" s="174"/>
      <c r="F69" s="175" t="e">
        <f>F57/F5*365</f>
        <v>#DIV/0!</v>
      </c>
      <c r="G69" s="174"/>
      <c r="H69" s="175" t="e">
        <f>H57/H5*365</f>
        <v>#DIV/0!</v>
      </c>
      <c r="I69" s="176"/>
    </row>
    <row r="70" spans="1:10" ht="18">
      <c r="A70" s="174" t="s">
        <v>362</v>
      </c>
      <c r="B70" s="175">
        <f>B56/(B10+B11+B12)*365</f>
        <v>0</v>
      </c>
      <c r="C70" s="174"/>
      <c r="D70" s="175">
        <f>D56/(D10+D11+D12)*365</f>
        <v>0</v>
      </c>
      <c r="E70" s="174"/>
      <c r="F70" s="175" t="e">
        <f>F56/(F10+F11+F12)*365</f>
        <v>#DIV/0!</v>
      </c>
      <c r="G70" s="174"/>
      <c r="H70" s="175" t="e">
        <f>H56/(H10+H11+H12)*365</f>
        <v>#DIV/0!</v>
      </c>
      <c r="I70" s="112"/>
    </row>
    <row r="71" spans="1:10" ht="18">
      <c r="A71" s="174" t="s">
        <v>363</v>
      </c>
      <c r="B71" s="175">
        <f>B56/(B11+B10+B12)</f>
        <v>0</v>
      </c>
      <c r="C71" s="174"/>
      <c r="D71" s="175">
        <f>D56/(D11+D10+D12)</f>
        <v>0</v>
      </c>
      <c r="E71" s="174"/>
      <c r="F71" s="175" t="e">
        <f>F56/(F11+F10+F12)</f>
        <v>#DIV/0!</v>
      </c>
      <c r="G71" s="174"/>
      <c r="H71" s="175" t="e">
        <f>H56/(H11+H10+H12)</f>
        <v>#DIV/0!</v>
      </c>
      <c r="I71" s="112"/>
    </row>
    <row r="72" spans="1:10" ht="18.75" thickBot="1">
      <c r="A72" s="174" t="s">
        <v>364</v>
      </c>
      <c r="B72" s="175">
        <f>B54/(B44+B40)</f>
        <v>1</v>
      </c>
      <c r="C72" s="174"/>
      <c r="D72" s="175" t="e">
        <f>D54/(D44+D40)</f>
        <v>#DIV/0!</v>
      </c>
      <c r="E72" s="174"/>
      <c r="F72" s="175" t="e">
        <f>F54/(F44+F40)</f>
        <v>#DIV/0!</v>
      </c>
      <c r="G72" s="174"/>
      <c r="H72" s="175" t="e">
        <f>H54/(H44+H40)</f>
        <v>#DIV/0!</v>
      </c>
      <c r="I72" s="112"/>
    </row>
    <row r="73" spans="1:10" ht="18.75" thickBot="1">
      <c r="A73" s="174" t="s">
        <v>365</v>
      </c>
      <c r="B73" s="175">
        <f>(B54-B56)/(B44+B40)</f>
        <v>1</v>
      </c>
      <c r="C73" s="174"/>
      <c r="D73" s="175" t="e">
        <f>(D54-D56)/(D44+D40)</f>
        <v>#DIV/0!</v>
      </c>
      <c r="E73" s="174"/>
      <c r="F73" s="175" t="e">
        <f>(F54-F56)/(F44+F40)</f>
        <v>#DIV/0!</v>
      </c>
      <c r="G73" s="174"/>
      <c r="H73" s="175" t="e">
        <f>(H54-H56)/(H44+H40)</f>
        <v>#DIV/0!</v>
      </c>
      <c r="I73" s="177"/>
    </row>
    <row r="74" spans="1:10" ht="18.75" thickBot="1">
      <c r="A74" s="174" t="s">
        <v>366</v>
      </c>
      <c r="B74" s="175">
        <f>(B39+B40+B42)/B36</f>
        <v>0.54545454545454541</v>
      </c>
      <c r="C74" s="174"/>
      <c r="D74" s="175" t="e">
        <f>(D39+D40+D42)/D36</f>
        <v>#DIV/0!</v>
      </c>
      <c r="E74" s="174"/>
      <c r="F74" s="175" t="e">
        <f>(F39+F40+F42)/F36</f>
        <v>#DIV/0!</v>
      </c>
      <c r="G74" s="174"/>
      <c r="H74" s="175" t="e">
        <f>(H39+H40+H42)/H36</f>
        <v>#DIV/0!</v>
      </c>
      <c r="I74" s="177"/>
    </row>
    <row r="75" spans="1:10" ht="18">
      <c r="A75" s="174" t="s">
        <v>367</v>
      </c>
      <c r="B75" s="175">
        <f>B16/(B18+B19+B20+B21)</f>
        <v>14613.658536585366</v>
      </c>
      <c r="C75" s="174"/>
      <c r="D75" s="175">
        <f>D16/(D18+D19+D20+D21)</f>
        <v>1.4878048780487805</v>
      </c>
      <c r="E75" s="174"/>
      <c r="F75" s="175">
        <f>F16/(F18+F19+F20+F21)</f>
        <v>0</v>
      </c>
      <c r="G75" s="174"/>
      <c r="H75" s="175">
        <f>H16/(H18+H19+H20+H21)</f>
        <v>0</v>
      </c>
      <c r="I75" s="112"/>
    </row>
    <row r="76" spans="1:10" ht="18">
      <c r="A76" s="174" t="s">
        <v>368</v>
      </c>
      <c r="B76" s="175">
        <f>$B$16/($B$18+$B$19+$B$20+$B$21+($B$39+$B$42)/5)</f>
        <v>13869.444444444443</v>
      </c>
      <c r="C76" s="174"/>
      <c r="D76" s="175">
        <f>$D$16/($D$18+$D$19+$D$20+$D$21+($D$39+$D$42)/5)</f>
        <v>1.4878048780487805</v>
      </c>
      <c r="E76" s="174"/>
      <c r="F76" s="175">
        <f>$F$16/($F$18+$F$19+$F$20+$F$21+($F$39+$F$42)/5)</f>
        <v>0</v>
      </c>
      <c r="G76" s="174"/>
      <c r="H76" s="175">
        <f>$H$16/($H$18+$H$19+$H$20+$H$21+($H$39+$H$42)/5)</f>
        <v>0</v>
      </c>
      <c r="I76" s="112"/>
    </row>
    <row r="77" spans="1:10" ht="18">
      <c r="A77" s="174" t="s">
        <v>369</v>
      </c>
      <c r="B77" s="175">
        <f>$B$16/($B$18+$B$19+$B$20+$B$21+($B$39+$B$42)/5+('Normal &amp; CGTMSE Eligibility'!F43))</f>
        <v>6.1364069307518827</v>
      </c>
      <c r="C77" s="174"/>
      <c r="D77" s="175">
        <f>$D$16/($D$18+$D$19+$D$20+$D$21+($D$39+$D$42)/5+('Normal &amp; CGTMSE Eligibility'!F43))</f>
        <v>6.2475675454228886E-4</v>
      </c>
      <c r="E77" s="174"/>
      <c r="F77" s="175">
        <f>$F$16/($F$18+$F$19+$F$20+$F$21+($F$39+$F$42)/5+('Normal &amp; CGTMSE Eligibility'!F43))</f>
        <v>0</v>
      </c>
      <c r="G77" s="174"/>
      <c r="H77" s="175">
        <f>$H$16/($H$18+$H$19+$H$20+$H$21+($H$39+$H$42)/5+('Normal &amp; CGTMSE Eligibility'!F43))</f>
        <v>0</v>
      </c>
      <c r="I77" s="112"/>
    </row>
    <row r="78" spans="1:10" ht="18">
      <c r="A78" s="174" t="s">
        <v>370</v>
      </c>
      <c r="B78" s="175">
        <f>(B13-B7)/B5*100</f>
        <v>99.860166433610715</v>
      </c>
      <c r="C78" s="174"/>
      <c r="D78" s="175">
        <f>(D13-D7)/D5*100</f>
        <v>8.7142857142857153</v>
      </c>
      <c r="E78" s="174"/>
      <c r="F78" s="175" t="e">
        <f>(F13-F7)/F5*100</f>
        <v>#DIV/0!</v>
      </c>
      <c r="G78" s="174"/>
      <c r="H78" s="175" t="e">
        <f>(H13-H7)/H5*100</f>
        <v>#DIV/0!</v>
      </c>
      <c r="I78" s="112"/>
    </row>
    <row r="79" spans="1:10" ht="18">
      <c r="A79" s="174" t="s">
        <v>371</v>
      </c>
      <c r="B79" s="175">
        <f>(B25-B7)/B5*100</f>
        <v>99.851166418610688</v>
      </c>
      <c r="C79" s="174"/>
      <c r="D79" s="175">
        <f>(D25-D7)/D5*100</f>
        <v>1.107142857142857</v>
      </c>
      <c r="E79" s="174"/>
      <c r="F79" s="175" t="e">
        <f>(F25-F7)/F5*100</f>
        <v>#DIV/0!</v>
      </c>
      <c r="G79" s="174"/>
      <c r="H79" s="175" t="e">
        <f>(H25-H7)/H5*100</f>
        <v>#DIV/0!</v>
      </c>
      <c r="I79" s="112"/>
    </row>
    <row r="80" spans="1:10" ht="18">
      <c r="A80" s="174" t="s">
        <v>372</v>
      </c>
      <c r="B80" s="175">
        <f>(B26-B7)/B5*100</f>
        <v>99.852333087221808</v>
      </c>
      <c r="C80" s="174"/>
      <c r="D80" s="175">
        <f>(D26-D7)/D5*100</f>
        <v>2</v>
      </c>
      <c r="E80" s="174"/>
      <c r="F80" s="175" t="e">
        <f>(F26-F7)/F5*100</f>
        <v>#DIV/0!</v>
      </c>
      <c r="G80" s="174"/>
      <c r="H80" s="175" t="e">
        <f>(H26-H7)/H5*100</f>
        <v>#DIV/0!</v>
      </c>
      <c r="I80" s="112"/>
    </row>
    <row r="81" spans="1:10" ht="18">
      <c r="A81" s="174" t="s">
        <v>373</v>
      </c>
      <c r="B81" s="178">
        <f>(B5-D5)/D5*100</f>
        <v>85614.142857142855</v>
      </c>
      <c r="C81" s="179"/>
      <c r="D81" s="178" t="e">
        <f>(D5-F5)/F5*100</f>
        <v>#DIV/0!</v>
      </c>
      <c r="E81" s="179"/>
      <c r="F81" s="178" t="e">
        <f>#N/A</f>
        <v>#N/A</v>
      </c>
      <c r="G81" s="179"/>
      <c r="H81" s="178" t="e">
        <f>#N/A</f>
        <v>#N/A</v>
      </c>
      <c r="I81" s="112"/>
      <c r="J81" s="129"/>
    </row>
    <row r="82" spans="1:10" ht="18">
      <c r="A82" s="174" t="s">
        <v>374</v>
      </c>
      <c r="B82" s="178">
        <f>(B25-D25)/D25*100</f>
        <v>4698809.8039215682</v>
      </c>
      <c r="C82" s="179"/>
      <c r="D82" s="178">
        <f>(D25-F25)/F25*100</f>
        <v>-737.5</v>
      </c>
      <c r="E82" s="179"/>
      <c r="F82" s="178" t="e">
        <f>#N/A</f>
        <v>#N/A</v>
      </c>
      <c r="G82" s="179"/>
      <c r="H82" s="178" t="e">
        <f>#N/A</f>
        <v>#N/A</v>
      </c>
      <c r="I82" s="112"/>
    </row>
    <row r="83" spans="1:10" ht="18">
      <c r="A83" s="174"/>
      <c r="B83" s="175"/>
      <c r="C83" s="174"/>
      <c r="D83" s="175"/>
      <c r="E83" s="174"/>
      <c r="F83" s="175"/>
      <c r="G83" s="174"/>
      <c r="H83" s="175"/>
      <c r="I83" s="112"/>
    </row>
    <row r="84" spans="1:10" ht="18">
      <c r="A84" s="180" t="s">
        <v>375</v>
      </c>
      <c r="B84" s="175"/>
      <c r="C84" s="174"/>
      <c r="D84" s="175"/>
      <c r="E84" s="174"/>
      <c r="F84" s="175"/>
      <c r="G84" s="174"/>
      <c r="H84" s="175"/>
      <c r="I84" s="112"/>
    </row>
    <row r="85" spans="1:10" ht="18">
      <c r="A85" s="180"/>
      <c r="B85" s="175"/>
      <c r="C85" s="174"/>
      <c r="D85" s="175"/>
      <c r="E85" s="174"/>
      <c r="F85" s="175"/>
      <c r="G85" s="174"/>
      <c r="H85" s="175"/>
      <c r="I85" s="112"/>
    </row>
    <row r="86" spans="1:10" ht="18">
      <c r="A86" s="174" t="s">
        <v>376</v>
      </c>
      <c r="B86" s="175">
        <f>B25</f>
        <v>599111</v>
      </c>
      <c r="C86" s="174"/>
      <c r="D86" s="175">
        <f>D25</f>
        <v>12.75</v>
      </c>
      <c r="E86" s="174"/>
      <c r="F86" s="175">
        <f>F25</f>
        <v>-2</v>
      </c>
      <c r="G86" s="174"/>
      <c r="H86" s="175">
        <f>H25</f>
        <v>-2</v>
      </c>
      <c r="I86" s="112"/>
    </row>
    <row r="87" spans="1:10" ht="18">
      <c r="A87" s="174" t="s">
        <v>377</v>
      </c>
      <c r="B87" s="175"/>
      <c r="C87" s="174"/>
      <c r="D87" s="175"/>
      <c r="E87" s="174"/>
      <c r="F87" s="175"/>
      <c r="G87" s="174"/>
      <c r="H87" s="175"/>
      <c r="I87" s="112"/>
    </row>
    <row r="88" spans="1:10" ht="18">
      <c r="A88" s="174" t="s">
        <v>378</v>
      </c>
      <c r="B88" s="175">
        <f>B17</f>
        <v>1</v>
      </c>
      <c r="C88" s="174"/>
      <c r="D88" s="175">
        <f>D17</f>
        <v>0.25</v>
      </c>
      <c r="E88" s="174"/>
      <c r="F88" s="175">
        <f>F17</f>
        <v>0</v>
      </c>
      <c r="G88" s="174"/>
      <c r="H88" s="175">
        <f>H17</f>
        <v>0</v>
      </c>
      <c r="I88" s="112"/>
    </row>
    <row r="89" spans="1:10" ht="18">
      <c r="A89" s="174" t="s">
        <v>379</v>
      </c>
      <c r="B89" s="175">
        <f>B22</f>
        <v>6</v>
      </c>
      <c r="C89" s="174"/>
      <c r="D89" s="175">
        <f>D22</f>
        <v>6</v>
      </c>
      <c r="E89" s="174"/>
      <c r="F89" s="175">
        <f>F22</f>
        <v>0</v>
      </c>
      <c r="G89" s="174"/>
      <c r="H89" s="175">
        <f>H22</f>
        <v>0</v>
      </c>
      <c r="I89" s="112"/>
    </row>
    <row r="90" spans="1:10" ht="18">
      <c r="A90" s="174" t="s">
        <v>380</v>
      </c>
      <c r="B90" s="175">
        <f>B27</f>
        <v>1</v>
      </c>
      <c r="C90" s="174"/>
      <c r="D90" s="175">
        <f>D27</f>
        <v>1</v>
      </c>
      <c r="E90" s="174"/>
      <c r="F90" s="175">
        <f>F27</f>
        <v>0</v>
      </c>
      <c r="G90" s="174"/>
      <c r="H90" s="175">
        <f>H27</f>
        <v>0</v>
      </c>
      <c r="I90" s="112"/>
    </row>
    <row r="91" spans="1:10" ht="18">
      <c r="A91" s="174" t="s">
        <v>381</v>
      </c>
      <c r="B91" s="175">
        <f>B28</f>
        <v>1</v>
      </c>
      <c r="C91" s="174"/>
      <c r="D91" s="175">
        <f>D28</f>
        <v>1</v>
      </c>
      <c r="E91" s="174"/>
      <c r="F91" s="175">
        <f>F28</f>
        <v>0</v>
      </c>
      <c r="G91" s="174"/>
      <c r="H91" s="175">
        <f>H28</f>
        <v>0</v>
      </c>
      <c r="I91" s="112"/>
    </row>
    <row r="92" spans="1:10" ht="18">
      <c r="A92" s="174" t="s">
        <v>382</v>
      </c>
      <c r="B92" s="175">
        <f>B24</f>
        <v>1</v>
      </c>
      <c r="C92" s="174"/>
      <c r="D92" s="175">
        <f>D24</f>
        <v>1</v>
      </c>
      <c r="E92" s="174"/>
      <c r="F92" s="175">
        <f>F24</f>
        <v>0</v>
      </c>
      <c r="G92" s="174"/>
      <c r="H92" s="175">
        <f>H24</f>
        <v>0</v>
      </c>
      <c r="I92" s="112"/>
    </row>
    <row r="93" spans="1:10" ht="18">
      <c r="A93" s="174" t="s">
        <v>383</v>
      </c>
      <c r="B93" s="175">
        <f>B18+B19+B20+B21</f>
        <v>41</v>
      </c>
      <c r="C93" s="174"/>
      <c r="D93" s="175">
        <f>D18+D19+D20+D21</f>
        <v>41</v>
      </c>
      <c r="E93" s="174"/>
      <c r="F93" s="175">
        <f>F18+F19+F20+F21</f>
        <v>2</v>
      </c>
      <c r="G93" s="174"/>
      <c r="H93" s="175">
        <f>H18+H19+H20+H21</f>
        <v>2</v>
      </c>
      <c r="I93" s="112"/>
    </row>
    <row r="94" spans="1:10" ht="26.25">
      <c r="A94" s="181" t="s">
        <v>384</v>
      </c>
      <c r="B94" s="182">
        <f>-B7</f>
        <v>-5</v>
      </c>
      <c r="C94" s="180"/>
      <c r="D94" s="182">
        <f>-D7</f>
        <v>-5</v>
      </c>
      <c r="E94" s="180"/>
      <c r="F94" s="182">
        <f>-F7</f>
        <v>0</v>
      </c>
      <c r="G94" s="180"/>
      <c r="H94" s="182">
        <f>-H7</f>
        <v>0</v>
      </c>
      <c r="I94" s="153"/>
    </row>
    <row r="95" spans="1:10" ht="18">
      <c r="A95" s="181"/>
      <c r="B95" s="182"/>
      <c r="C95" s="180"/>
      <c r="D95" s="182"/>
      <c r="E95" s="180"/>
      <c r="F95" s="182"/>
      <c r="G95" s="180"/>
      <c r="H95" s="182"/>
      <c r="I95" s="153"/>
    </row>
    <row r="96" spans="1:10" ht="18">
      <c r="A96" s="174" t="s">
        <v>385</v>
      </c>
      <c r="B96" s="175">
        <f>SUM(B86:B94)</f>
        <v>599157</v>
      </c>
      <c r="C96" s="174"/>
      <c r="D96" s="175">
        <f>SUM(D86:D94)</f>
        <v>58</v>
      </c>
      <c r="E96" s="174"/>
      <c r="F96" s="175">
        <f>SUM(F86:F94)</f>
        <v>0</v>
      </c>
      <c r="G96" s="174"/>
      <c r="H96" s="175">
        <f>SUM(H86:H94)</f>
        <v>0</v>
      </c>
      <c r="I96" s="112"/>
    </row>
    <row r="97" spans="1:9" ht="18">
      <c r="A97" s="174" t="s">
        <v>386</v>
      </c>
      <c r="B97" s="175">
        <f>D57-B57</f>
        <v>-2</v>
      </c>
      <c r="C97" s="174"/>
      <c r="D97" s="175">
        <f>F57-D57</f>
        <v>0</v>
      </c>
      <c r="E97" s="174"/>
      <c r="F97" s="175">
        <f>J57-F57</f>
        <v>0</v>
      </c>
      <c r="G97" s="174"/>
      <c r="H97" s="175">
        <f>L57-H57</f>
        <v>0</v>
      </c>
      <c r="I97" s="112"/>
    </row>
    <row r="98" spans="1:9" ht="18">
      <c r="A98" s="174" t="s">
        <v>387</v>
      </c>
      <c r="B98" s="175">
        <f>D56-B56</f>
        <v>0</v>
      </c>
      <c r="C98" s="174"/>
      <c r="D98" s="175">
        <f>F56-D56</f>
        <v>0</v>
      </c>
      <c r="E98" s="174"/>
      <c r="F98" s="175">
        <f>J56-F56</f>
        <v>0</v>
      </c>
      <c r="G98" s="174"/>
      <c r="H98" s="175">
        <f>L56-H56</f>
        <v>0</v>
      </c>
      <c r="I98" s="112"/>
    </row>
    <row r="99" spans="1:9" ht="18">
      <c r="A99" s="174" t="s">
        <v>388</v>
      </c>
      <c r="B99" s="175">
        <f>D61-B61</f>
        <v>0</v>
      </c>
      <c r="C99" s="174"/>
      <c r="D99" s="175">
        <f>F61-D61</f>
        <v>0</v>
      </c>
      <c r="E99" s="174"/>
      <c r="F99" s="175">
        <f>J61-F61</f>
        <v>0</v>
      </c>
      <c r="G99" s="174"/>
      <c r="H99" s="175">
        <f>L61-H61</f>
        <v>0</v>
      </c>
      <c r="I99" s="112"/>
    </row>
    <row r="100" spans="1:9" ht="18">
      <c r="A100" s="174" t="s">
        <v>389</v>
      </c>
      <c r="B100" s="175">
        <f>B44-D44</f>
        <v>1</v>
      </c>
      <c r="C100" s="174"/>
      <c r="D100" s="175">
        <f>D44-F44</f>
        <v>0</v>
      </c>
      <c r="E100" s="174"/>
      <c r="F100" s="175">
        <f>F44-J44</f>
        <v>0</v>
      </c>
      <c r="G100" s="174"/>
      <c r="H100" s="175">
        <f>H44-L44</f>
        <v>0</v>
      </c>
      <c r="I100" s="112"/>
    </row>
    <row r="101" spans="1:9" ht="18">
      <c r="A101" s="174" t="s">
        <v>390</v>
      </c>
      <c r="B101" s="175">
        <f>SUM(B97:B100)</f>
        <v>-1</v>
      </c>
      <c r="C101" s="174"/>
      <c r="D101" s="175">
        <f>SUM(D97:D100)</f>
        <v>0</v>
      </c>
      <c r="E101" s="174"/>
      <c r="F101" s="175">
        <f>SUM(F97:F100)</f>
        <v>0</v>
      </c>
      <c r="G101" s="174"/>
      <c r="H101" s="175">
        <f>SUM(H97:H100)</f>
        <v>0</v>
      </c>
      <c r="I101" s="112"/>
    </row>
    <row r="102" spans="1:9" ht="18">
      <c r="A102" s="180" t="s">
        <v>391</v>
      </c>
      <c r="B102" s="182">
        <f>B96+B101</f>
        <v>599156</v>
      </c>
      <c r="C102" s="180"/>
      <c r="D102" s="182">
        <f>D96+D101</f>
        <v>58</v>
      </c>
      <c r="E102" s="180"/>
      <c r="F102" s="182">
        <f>F96+F101</f>
        <v>0</v>
      </c>
      <c r="G102" s="180"/>
      <c r="H102" s="182">
        <f>H96+H101</f>
        <v>0</v>
      </c>
      <c r="I102" s="153"/>
    </row>
    <row r="103" spans="1:9" ht="18">
      <c r="A103" s="180"/>
      <c r="B103" s="182"/>
      <c r="C103" s="180"/>
      <c r="D103" s="182"/>
      <c r="E103" s="180"/>
      <c r="F103" s="182"/>
      <c r="G103" s="180"/>
      <c r="H103" s="182"/>
      <c r="I103" s="153"/>
    </row>
    <row r="104" spans="1:9" ht="18">
      <c r="A104" s="174" t="s">
        <v>392</v>
      </c>
      <c r="B104" s="175">
        <f>B24</f>
        <v>1</v>
      </c>
      <c r="C104" s="174"/>
      <c r="D104" s="175">
        <f>D24</f>
        <v>1</v>
      </c>
      <c r="E104" s="174"/>
      <c r="F104" s="175">
        <f>F24</f>
        <v>0</v>
      </c>
      <c r="G104" s="174"/>
      <c r="H104" s="175">
        <f>H24</f>
        <v>0</v>
      </c>
      <c r="I104" s="112"/>
    </row>
    <row r="105" spans="1:9" ht="18">
      <c r="A105" s="174"/>
      <c r="B105" s="175"/>
      <c r="C105" s="174"/>
      <c r="D105" s="175"/>
      <c r="E105" s="174"/>
      <c r="F105" s="175"/>
      <c r="G105" s="174"/>
      <c r="H105" s="175"/>
      <c r="I105" s="112"/>
    </row>
    <row r="106" spans="1:9" ht="18">
      <c r="A106" s="180" t="s">
        <v>393</v>
      </c>
      <c r="B106" s="175">
        <f>B102-B104</f>
        <v>599155</v>
      </c>
      <c r="C106" s="174"/>
      <c r="D106" s="175">
        <f>D102-D104</f>
        <v>57</v>
      </c>
      <c r="E106" s="174"/>
      <c r="F106" s="175">
        <f>F102-F104</f>
        <v>0</v>
      </c>
      <c r="G106" s="174"/>
      <c r="H106" s="175">
        <f>H102-H104</f>
        <v>0</v>
      </c>
      <c r="I106" s="112"/>
    </row>
    <row r="107" spans="1:9" ht="18"/>
    <row r="108" spans="1:9" ht="18">
      <c r="A108" s="183"/>
      <c r="B108" s="184"/>
    </row>
    <row r="109" spans="1:9" ht="18">
      <c r="C109" s="185"/>
      <c r="E109" s="186"/>
      <c r="G109" s="186"/>
    </row>
    <row r="110" spans="1:9" ht="18">
      <c r="C110" s="185"/>
    </row>
    <row r="111" spans="1:9" ht="18">
      <c r="C111" s="187"/>
    </row>
    <row r="112" spans="1:9" ht="18">
      <c r="C112" s="129"/>
    </row>
    <row r="113" spans="3:3" ht="18">
      <c r="C113" s="188"/>
    </row>
    <row r="114" spans="3:3" ht="18">
      <c r="C114" s="188"/>
    </row>
    <row r="115" spans="3:3" ht="18">
      <c r="C115" s="188"/>
    </row>
  </sheetData>
  <mergeCells count="9">
    <mergeCell ref="A67:H68"/>
    <mergeCell ref="A1:H2"/>
    <mergeCell ref="I1:I2"/>
    <mergeCell ref="A3:A4"/>
    <mergeCell ref="A32:A33"/>
    <mergeCell ref="B32:B33"/>
    <mergeCell ref="D32:D33"/>
    <mergeCell ref="F32:F33"/>
    <mergeCell ref="H32:H33"/>
  </mergeCells>
  <pageMargins left="0.78749999999999998" right="0.78749999999999998" top="1.0249999999999999" bottom="1.0249999999999999" header="0.78749999999999998" footer="0.78749999999999998"/>
  <pageSetup scale="58" firstPageNumber="0" orientation="portrait" horizontalDpi="300" verticalDpi="300" r:id="rId1"/>
  <headerFooter alignWithMargins="0">
    <oddHeader>&amp;C&amp;"Arial,Regular"&amp;10&amp;A</oddHeader>
    <oddFooter>&amp;C&amp;"Arial,Regular"&amp;10Page &amp;P</oddFooter>
  </headerFooter>
  <rowBreaks count="2" manualBreakCount="2">
    <brk id="30" max="16383" man="1"/>
    <brk id="6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:I34"/>
  <sheetViews>
    <sheetView topLeftCell="A4" workbookViewId="0">
      <selection activeCell="B18" sqref="B18"/>
    </sheetView>
  </sheetViews>
  <sheetFormatPr defaultRowHeight="15"/>
  <cols>
    <col min="1" max="1" width="41.85546875" customWidth="1"/>
    <col min="2" max="2" width="30.7109375" customWidth="1"/>
    <col min="3" max="3" width="21.42578125" bestFit="1" customWidth="1"/>
  </cols>
  <sheetData>
    <row r="1" spans="1:9" ht="15.75" thickBot="1">
      <c r="A1" t="s">
        <v>1</v>
      </c>
    </row>
    <row r="2" spans="1:9" ht="16.5" thickTop="1" thickBot="1">
      <c r="A2" s="761" t="s">
        <v>569</v>
      </c>
      <c r="B2" s="762"/>
    </row>
    <row r="3" spans="1:9" ht="15.75" thickTop="1">
      <c r="A3" s="763" t="s">
        <v>604</v>
      </c>
      <c r="B3" s="764"/>
    </row>
    <row r="4" spans="1:9" ht="15.75" thickBot="1">
      <c r="A4" s="765" t="s">
        <v>0</v>
      </c>
      <c r="B4" s="766"/>
    </row>
    <row r="5" spans="1:9" ht="16.5" thickTop="1" thickBot="1">
      <c r="A5" s="1" t="s">
        <v>638</v>
      </c>
      <c r="B5" s="213">
        <f ca="1">TODAY()</f>
        <v>44537</v>
      </c>
    </row>
    <row r="6" spans="1:9" ht="16.5" thickTop="1" thickBot="1">
      <c r="A6" s="1" t="s">
        <v>2</v>
      </c>
      <c r="B6" s="202"/>
    </row>
    <row r="7" spans="1:9" ht="16.5" thickTop="1" thickBot="1">
      <c r="A7" s="2" t="s">
        <v>570</v>
      </c>
      <c r="B7" s="202"/>
    </row>
    <row r="8" spans="1:9" ht="16.5" thickTop="1" thickBot="1">
      <c r="A8" s="2" t="s">
        <v>3</v>
      </c>
      <c r="B8" s="202"/>
    </row>
    <row r="9" spans="1:9" ht="16.5" thickTop="1" thickBot="1">
      <c r="A9" s="2" t="s">
        <v>4</v>
      </c>
      <c r="B9" s="202"/>
      <c r="C9" t="s">
        <v>5</v>
      </c>
    </row>
    <row r="10" spans="1:9" ht="16.5" thickTop="1" thickBot="1">
      <c r="A10" s="2" t="s">
        <v>617</v>
      </c>
      <c r="B10" s="202"/>
    </row>
    <row r="11" spans="1:9" ht="16.5" thickTop="1" thickBot="1">
      <c r="A11" s="2" t="s">
        <v>579</v>
      </c>
      <c r="B11" s="202"/>
    </row>
    <row r="12" spans="1:9" ht="16.5" thickTop="1" thickBot="1">
      <c r="A12" s="2" t="s">
        <v>670</v>
      </c>
      <c r="B12" s="202"/>
    </row>
    <row r="13" spans="1:9" ht="16.5" thickTop="1" thickBot="1">
      <c r="A13" s="2" t="s">
        <v>671</v>
      </c>
      <c r="B13" s="202"/>
      <c r="C13" t="s">
        <v>882</v>
      </c>
    </row>
    <row r="14" spans="1:9" ht="16.5" thickTop="1" thickBot="1">
      <c r="A14" s="2" t="s">
        <v>607</v>
      </c>
      <c r="B14" s="202">
        <v>180</v>
      </c>
      <c r="C14" t="s">
        <v>606</v>
      </c>
    </row>
    <row r="15" spans="1:9" ht="16.5" thickTop="1" thickBot="1">
      <c r="A15" s="2" t="s">
        <v>605</v>
      </c>
      <c r="B15" s="212">
        <v>8.3500000000000005E-2</v>
      </c>
      <c r="C15" t="s">
        <v>606</v>
      </c>
    </row>
    <row r="16" spans="1:9" ht="27.75" thickTop="1" thickBot="1">
      <c r="A16" s="2" t="s">
        <v>589</v>
      </c>
      <c r="B16" s="202"/>
      <c r="I16" s="40" t="s">
        <v>157</v>
      </c>
    </row>
    <row r="17" spans="1:9" ht="27.75" thickTop="1" thickBot="1">
      <c r="A17" s="2" t="s">
        <v>590</v>
      </c>
      <c r="B17" s="202"/>
      <c r="I17" s="40"/>
    </row>
    <row r="18" spans="1:9" ht="27.75" thickTop="1" thickBot="1">
      <c r="A18" s="2" t="s">
        <v>591</v>
      </c>
      <c r="B18" s="202"/>
      <c r="I18" s="40"/>
    </row>
    <row r="19" spans="1:9" ht="15.75" thickTop="1">
      <c r="A19" s="758" t="s">
        <v>13</v>
      </c>
      <c r="B19" s="759"/>
      <c r="C19" s="760"/>
    </row>
    <row r="20" spans="1:9" ht="15.75" thickBot="1">
      <c r="A20" s="3" t="s">
        <v>17</v>
      </c>
      <c r="B20" s="4" t="s">
        <v>14</v>
      </c>
      <c r="C20" s="5" t="s">
        <v>15</v>
      </c>
    </row>
    <row r="21" spans="1:9" ht="16.5" thickTop="1" thickBot="1">
      <c r="A21" s="2" t="s">
        <v>6</v>
      </c>
      <c r="B21" s="767"/>
      <c r="C21" s="768"/>
    </row>
    <row r="22" spans="1:9" ht="16.5" thickTop="1" thickBot="1">
      <c r="A22" s="2" t="s">
        <v>592</v>
      </c>
      <c r="B22" s="202"/>
      <c r="C22" s="203"/>
    </row>
    <row r="23" spans="1:9" ht="16.5" thickTop="1" thickBot="1">
      <c r="A23" s="2" t="s">
        <v>593</v>
      </c>
      <c r="B23" s="202"/>
      <c r="C23" s="203"/>
    </row>
    <row r="24" spans="1:9" ht="16.5" thickTop="1" thickBot="1">
      <c r="A24" s="2" t="s">
        <v>594</v>
      </c>
      <c r="B24" s="202"/>
      <c r="C24" s="203"/>
    </row>
    <row r="25" spans="1:9" ht="16.5" thickTop="1" thickBot="1">
      <c r="A25" s="2" t="s">
        <v>156</v>
      </c>
      <c r="B25" s="202"/>
      <c r="C25" s="203"/>
    </row>
    <row r="26" spans="1:9" ht="16.5" thickTop="1" thickBot="1">
      <c r="A26" s="2" t="s">
        <v>595</v>
      </c>
      <c r="B26" s="202"/>
      <c r="C26" s="203"/>
    </row>
    <row r="27" spans="1:9" ht="16.5" thickTop="1" thickBot="1">
      <c r="A27" s="6" t="s">
        <v>11</v>
      </c>
      <c r="B27" s="204"/>
      <c r="C27" s="205"/>
    </row>
    <row r="28" spans="1:9" ht="28.5" customHeight="1" thickBot="1">
      <c r="A28" s="756" t="s">
        <v>16</v>
      </c>
      <c r="B28" s="757"/>
    </row>
    <row r="29" spans="1:9" ht="16.5" thickTop="1" thickBot="1">
      <c r="A29" s="2" t="s">
        <v>592</v>
      </c>
      <c r="B29" s="202"/>
    </row>
    <row r="30" spans="1:9" ht="16.5" thickTop="1" thickBot="1">
      <c r="A30" s="2" t="s">
        <v>593</v>
      </c>
      <c r="B30" s="202"/>
    </row>
    <row r="31" spans="1:9" ht="16.5" thickTop="1" thickBot="1">
      <c r="A31" s="2" t="s">
        <v>156</v>
      </c>
      <c r="B31" s="202"/>
    </row>
    <row r="32" spans="1:9" ht="16.5" thickTop="1" thickBot="1">
      <c r="A32" s="2" t="s">
        <v>595</v>
      </c>
      <c r="B32" s="202"/>
    </row>
    <row r="33" spans="1:2" ht="16.5" thickTop="1" thickBot="1">
      <c r="A33" s="2" t="s">
        <v>11</v>
      </c>
      <c r="B33" s="202"/>
    </row>
    <row r="34" spans="1:2" ht="15.75" thickTop="1"/>
  </sheetData>
  <mergeCells count="6">
    <mergeCell ref="A28:B28"/>
    <mergeCell ref="A19:C19"/>
    <mergeCell ref="A2:B2"/>
    <mergeCell ref="A3:B3"/>
    <mergeCell ref="A4:B4"/>
    <mergeCell ref="B21:C21"/>
  </mergeCells>
  <dataValidations count="1">
    <dataValidation type="decimal" allowBlank="1" showInputMessage="1" showErrorMessage="1" sqref="B16:B17" xr:uid="{00000000-0002-0000-0500-000000000000}">
      <formula1>8</formula1>
      <formula2>14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500-000001000000}">
          <x14:formula1>
            <xm:f>Masters!$B$99:$B$101</xm:f>
          </x14:formula1>
          <xm:sqref>B8</xm:sqref>
        </x14:dataValidation>
        <x14:dataValidation type="list" allowBlank="1" showInputMessage="1" showErrorMessage="1" xr:uid="{00000000-0002-0000-0500-000002000000}">
          <x14:formula1>
            <xm:f>Masters!$B$19:$B$20</xm:f>
          </x14:formula1>
          <xm:sqref>B11</xm:sqref>
        </x14:dataValidation>
        <x14:dataValidation type="list" allowBlank="1" showInputMessage="1" showErrorMessage="1" xr:uid="{00000000-0002-0000-0500-000003000000}">
          <x14:formula1>
            <xm:f>Masters!$B$2:$B$16</xm:f>
          </x14:formula1>
          <xm:sqref>B9</xm:sqref>
        </x14:dataValidation>
        <x14:dataValidation type="list" allowBlank="1" showInputMessage="1" showErrorMessage="1" xr:uid="{00000000-0002-0000-0500-000004000000}">
          <x14:formula1>
            <xm:f>Masters!$B$22:$B$32</xm:f>
          </x14:formula1>
          <xm:sqref>B10</xm:sqref>
        </x14:dataValidation>
        <x14:dataValidation type="list" allowBlank="1" showInputMessage="1" showErrorMessage="1" xr:uid="{00000000-0002-0000-0500-000005000000}">
          <x14:formula1>
            <xm:f>Masters!$B$34:$B$37</xm:f>
          </x14:formula1>
          <xm:sqref>B12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/>
  <dimension ref="A2:P101"/>
  <sheetViews>
    <sheetView workbookViewId="0">
      <selection activeCell="B2" sqref="B2:B14"/>
    </sheetView>
  </sheetViews>
  <sheetFormatPr defaultRowHeight="15"/>
  <cols>
    <col min="1" max="1" width="48.5703125" bestFit="1" customWidth="1"/>
    <col min="2" max="2" width="34.28515625" customWidth="1"/>
    <col min="3" max="3" width="16.7109375" bestFit="1" customWidth="1"/>
    <col min="4" max="4" width="13.28515625" bestFit="1" customWidth="1"/>
    <col min="5" max="5" width="16.7109375" bestFit="1" customWidth="1"/>
    <col min="6" max="6" width="11.7109375" bestFit="1" customWidth="1"/>
    <col min="7" max="7" width="20.140625" customWidth="1"/>
    <col min="8" max="8" width="19.5703125" customWidth="1"/>
    <col min="9" max="9" width="17.28515625" customWidth="1"/>
    <col min="10" max="10" width="16.5703125" customWidth="1"/>
    <col min="11" max="11" width="26.28515625" bestFit="1" customWidth="1"/>
    <col min="13" max="13" width="20.28515625" customWidth="1"/>
    <col min="14" max="14" width="19.7109375" customWidth="1"/>
    <col min="15" max="15" width="21.5703125" customWidth="1"/>
    <col min="16" max="16" width="19.85546875" customWidth="1"/>
  </cols>
  <sheetData>
    <row r="2" spans="1:2">
      <c r="A2" t="s">
        <v>574</v>
      </c>
      <c r="B2" t="s">
        <v>575</v>
      </c>
    </row>
    <row r="3" spans="1:2">
      <c r="B3" t="s">
        <v>578</v>
      </c>
    </row>
    <row r="4" spans="1:2">
      <c r="B4" t="s">
        <v>576</v>
      </c>
    </row>
    <row r="5" spans="1:2">
      <c r="B5" t="s">
        <v>577</v>
      </c>
    </row>
    <row r="6" spans="1:2">
      <c r="B6" t="s">
        <v>616</v>
      </c>
    </row>
    <row r="7" spans="1:2">
      <c r="B7" t="s">
        <v>557</v>
      </c>
    </row>
    <row r="8" spans="1:2">
      <c r="B8" t="s">
        <v>275</v>
      </c>
    </row>
    <row r="9" spans="1:2">
      <c r="B9" t="s">
        <v>538</v>
      </c>
    </row>
    <row r="10" spans="1:2">
      <c r="B10" t="s">
        <v>582</v>
      </c>
    </row>
    <row r="11" spans="1:2">
      <c r="B11" t="s">
        <v>583</v>
      </c>
    </row>
    <row r="12" spans="1:2">
      <c r="B12" t="s">
        <v>584</v>
      </c>
    </row>
    <row r="13" spans="1:2">
      <c r="B13" t="s">
        <v>585</v>
      </c>
    </row>
    <row r="14" spans="1:2">
      <c r="B14" t="s">
        <v>586</v>
      </c>
    </row>
    <row r="15" spans="1:2">
      <c r="B15" t="s">
        <v>587</v>
      </c>
    </row>
    <row r="16" spans="1:2">
      <c r="B16" t="s">
        <v>588</v>
      </c>
    </row>
    <row r="19" spans="1:2">
      <c r="A19" t="s">
        <v>165</v>
      </c>
      <c r="B19" t="s">
        <v>580</v>
      </c>
    </row>
    <row r="20" spans="1:2">
      <c r="B20" t="s">
        <v>581</v>
      </c>
    </row>
    <row r="22" spans="1:2">
      <c r="A22" t="s">
        <v>617</v>
      </c>
      <c r="B22" t="s">
        <v>618</v>
      </c>
    </row>
    <row r="23" spans="1:2">
      <c r="B23" t="s">
        <v>619</v>
      </c>
    </row>
    <row r="24" spans="1:2">
      <c r="B24" t="s">
        <v>626</v>
      </c>
    </row>
    <row r="25" spans="1:2">
      <c r="B25" t="s">
        <v>627</v>
      </c>
    </row>
    <row r="26" spans="1:2">
      <c r="B26" t="s">
        <v>620</v>
      </c>
    </row>
    <row r="27" spans="1:2">
      <c r="B27" t="s">
        <v>621</v>
      </c>
    </row>
    <row r="28" spans="1:2">
      <c r="B28" t="s">
        <v>408</v>
      </c>
    </row>
    <row r="29" spans="1:2">
      <c r="B29" t="s">
        <v>622</v>
      </c>
    </row>
    <row r="30" spans="1:2">
      <c r="B30" t="s">
        <v>623</v>
      </c>
    </row>
    <row r="31" spans="1:2">
      <c r="B31" t="s">
        <v>624</v>
      </c>
    </row>
    <row r="32" spans="1:2">
      <c r="B32" t="s">
        <v>625</v>
      </c>
    </row>
    <row r="34" spans="1:16">
      <c r="A34" t="s">
        <v>670</v>
      </c>
      <c r="B34" t="s">
        <v>672</v>
      </c>
    </row>
    <row r="35" spans="1:16">
      <c r="B35" t="s">
        <v>673</v>
      </c>
    </row>
    <row r="36" spans="1:16">
      <c r="B36" t="s">
        <v>674</v>
      </c>
    </row>
    <row r="37" spans="1:16">
      <c r="B37" t="s">
        <v>675</v>
      </c>
    </row>
    <row r="39" spans="1:16" ht="30">
      <c r="A39" s="105" t="s">
        <v>266</v>
      </c>
      <c r="B39" s="100" t="s">
        <v>25</v>
      </c>
      <c r="C39" s="100" t="s">
        <v>22</v>
      </c>
      <c r="D39" s="100" t="s">
        <v>259</v>
      </c>
      <c r="E39" s="100" t="s">
        <v>260</v>
      </c>
      <c r="F39" s="100" t="s">
        <v>261</v>
      </c>
      <c r="G39" s="101" t="s">
        <v>262</v>
      </c>
      <c r="H39" s="101" t="s">
        <v>263</v>
      </c>
      <c r="I39" s="100" t="s">
        <v>264</v>
      </c>
      <c r="J39" s="101" t="s">
        <v>265</v>
      </c>
      <c r="K39" s="101" t="s">
        <v>267</v>
      </c>
      <c r="L39" s="101" t="s">
        <v>279</v>
      </c>
      <c r="M39" s="101" t="s">
        <v>295</v>
      </c>
      <c r="N39" s="101" t="s">
        <v>296</v>
      </c>
      <c r="O39" s="101" t="s">
        <v>297</v>
      </c>
      <c r="P39" s="101" t="s">
        <v>298</v>
      </c>
    </row>
    <row r="40" spans="1:16">
      <c r="A40" s="41" t="s">
        <v>266</v>
      </c>
      <c r="B40" s="41" t="s">
        <v>268</v>
      </c>
      <c r="C40" s="41" t="s">
        <v>268</v>
      </c>
      <c r="D40" s="41" t="s">
        <v>268</v>
      </c>
      <c r="E40" s="41" t="s">
        <v>271</v>
      </c>
      <c r="F40" s="41" t="s">
        <v>269</v>
      </c>
      <c r="G40" s="41" t="s">
        <v>270</v>
      </c>
      <c r="H40" s="41" t="s">
        <v>268</v>
      </c>
      <c r="I40" s="41" t="s">
        <v>275</v>
      </c>
      <c r="J40" s="41" t="s">
        <v>275</v>
      </c>
      <c r="K40" s="41" t="s">
        <v>277</v>
      </c>
      <c r="L40" s="41"/>
      <c r="M40" s="41"/>
      <c r="N40" s="41"/>
      <c r="O40" s="41"/>
      <c r="P40" s="41"/>
    </row>
    <row r="41" spans="1:16">
      <c r="A41" s="41"/>
      <c r="B41" s="41" t="s">
        <v>271</v>
      </c>
      <c r="C41" s="41" t="s">
        <v>271</v>
      </c>
      <c r="D41" s="104" t="s">
        <v>273</v>
      </c>
      <c r="E41" s="41" t="s">
        <v>272</v>
      </c>
      <c r="F41" s="41" t="s">
        <v>270</v>
      </c>
      <c r="G41" s="104" t="s">
        <v>274</v>
      </c>
      <c r="H41" s="41" t="s">
        <v>271</v>
      </c>
      <c r="I41" s="41" t="s">
        <v>276</v>
      </c>
      <c r="J41" s="41" t="s">
        <v>276</v>
      </c>
      <c r="K41" s="41" t="s">
        <v>278</v>
      </c>
      <c r="L41" s="41"/>
      <c r="M41" s="41"/>
      <c r="N41" s="41"/>
      <c r="O41" s="41"/>
      <c r="P41" s="41"/>
    </row>
    <row r="42" spans="1:16">
      <c r="A42" s="41"/>
      <c r="B42" s="41" t="s">
        <v>272</v>
      </c>
      <c r="C42" s="41" t="s">
        <v>272</v>
      </c>
      <c r="D42" s="104"/>
      <c r="E42" s="41" t="s">
        <v>269</v>
      </c>
      <c r="F42" s="104" t="s">
        <v>274</v>
      </c>
      <c r="G42" s="99" t="s">
        <v>291</v>
      </c>
      <c r="H42" s="41" t="s">
        <v>272</v>
      </c>
      <c r="I42" s="41" t="s">
        <v>290</v>
      </c>
      <c r="J42" s="41" t="s">
        <v>290</v>
      </c>
      <c r="K42" s="41" t="s">
        <v>293</v>
      </c>
      <c r="L42" s="41"/>
      <c r="M42" s="41"/>
      <c r="N42" s="41"/>
      <c r="O42" s="41"/>
      <c r="P42" s="41"/>
    </row>
    <row r="43" spans="1:16">
      <c r="A43" s="41"/>
      <c r="B43" s="41" t="s">
        <v>269</v>
      </c>
      <c r="C43" s="41" t="s">
        <v>269</v>
      </c>
      <c r="D43" s="41"/>
      <c r="E43" s="41" t="s">
        <v>270</v>
      </c>
      <c r="F43" s="41"/>
      <c r="G43" s="99"/>
      <c r="H43" s="99"/>
      <c r="I43" s="41"/>
      <c r="J43" s="41"/>
      <c r="K43" s="41" t="s">
        <v>294</v>
      </c>
      <c r="L43" s="41"/>
      <c r="M43" s="41"/>
      <c r="N43" s="41"/>
      <c r="O43" s="41"/>
      <c r="P43" s="41"/>
    </row>
    <row r="44" spans="1:16">
      <c r="A44" s="41"/>
      <c r="B44" s="41" t="s">
        <v>270</v>
      </c>
      <c r="C44" s="41" t="s">
        <v>270</v>
      </c>
      <c r="D44" s="41"/>
      <c r="E44" s="104" t="s">
        <v>274</v>
      </c>
      <c r="F44" s="41"/>
      <c r="G44" s="99"/>
      <c r="H44" s="99"/>
      <c r="I44" s="41"/>
      <c r="J44" s="41"/>
      <c r="K44" s="41"/>
      <c r="L44" s="41"/>
      <c r="M44" s="41"/>
      <c r="N44" s="41"/>
      <c r="O44" s="41"/>
      <c r="P44" s="41"/>
    </row>
    <row r="45" spans="1:16">
      <c r="A45" s="41"/>
      <c r="B45" s="104" t="s">
        <v>273</v>
      </c>
      <c r="C45" s="104" t="s">
        <v>273</v>
      </c>
      <c r="D45" s="41"/>
      <c r="E45" s="104" t="s">
        <v>285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</row>
    <row r="46" spans="1:16">
      <c r="A46" s="41"/>
      <c r="B46" s="104" t="s">
        <v>274</v>
      </c>
      <c r="C46" s="104" t="s">
        <v>274</v>
      </c>
      <c r="D46" s="41"/>
      <c r="E46" s="104" t="s">
        <v>290</v>
      </c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</row>
    <row r="47" spans="1:16">
      <c r="A47" s="41"/>
      <c r="B47" s="104" t="s">
        <v>285</v>
      </c>
      <c r="C47" s="104" t="s">
        <v>285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</row>
    <row r="48" spans="1:16">
      <c r="A48" s="41"/>
      <c r="B48" s="104" t="s">
        <v>290</v>
      </c>
      <c r="C48" s="104" t="s">
        <v>290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</row>
    <row r="49" spans="1:16">
      <c r="A49" s="41"/>
      <c r="B49" s="104" t="s">
        <v>292</v>
      </c>
      <c r="C49" s="104" t="s">
        <v>292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</row>
    <row r="50" spans="1:16">
      <c r="A50" s="102"/>
      <c r="B50" s="103"/>
      <c r="C50" s="103"/>
      <c r="D50" s="102"/>
      <c r="E50" s="102"/>
      <c r="F50" s="102"/>
      <c r="G50" s="102"/>
      <c r="H50" s="102"/>
      <c r="I50" s="102"/>
      <c r="J50" s="102"/>
      <c r="K50" s="102"/>
    </row>
    <row r="51" spans="1:16">
      <c r="A51" s="102"/>
      <c r="B51" s="103"/>
      <c r="C51" s="103"/>
      <c r="D51" s="102"/>
      <c r="E51" s="102"/>
      <c r="F51" s="102"/>
      <c r="G51" s="102"/>
      <c r="H51" s="102"/>
      <c r="I51" s="102"/>
      <c r="J51" s="102"/>
      <c r="K51" s="102"/>
    </row>
    <row r="52" spans="1:16">
      <c r="A52" s="102"/>
      <c r="B52" s="103"/>
      <c r="C52" s="103"/>
      <c r="D52" s="102"/>
      <c r="E52" s="102"/>
      <c r="F52" s="102"/>
      <c r="G52" s="102"/>
      <c r="H52" s="102"/>
      <c r="I52" s="102"/>
      <c r="J52" s="102"/>
      <c r="K52" s="102"/>
    </row>
    <row r="53" spans="1:16">
      <c r="A53" s="102"/>
      <c r="B53" s="103"/>
      <c r="C53" s="103"/>
      <c r="D53" s="102"/>
      <c r="E53" s="102"/>
      <c r="F53" s="102"/>
      <c r="G53" s="102"/>
      <c r="H53" s="102"/>
      <c r="I53" s="102"/>
      <c r="J53" s="102"/>
      <c r="K53" s="102"/>
    </row>
    <row r="54" spans="1:16">
      <c r="A54" s="102"/>
      <c r="B54" s="103"/>
      <c r="C54" s="103"/>
      <c r="D54" s="102"/>
      <c r="E54" s="102"/>
      <c r="F54" s="102"/>
      <c r="G54" s="102"/>
      <c r="H54" s="102"/>
      <c r="I54" s="102"/>
      <c r="J54" s="102"/>
      <c r="K54" s="102"/>
    </row>
    <row r="55" spans="1:16">
      <c r="A55" s="102"/>
      <c r="B55" s="103"/>
      <c r="C55" s="103"/>
      <c r="D55" s="102"/>
      <c r="E55" s="102"/>
      <c r="F55" s="102"/>
      <c r="G55" s="102"/>
      <c r="H55" s="102"/>
      <c r="I55" s="102"/>
      <c r="J55" s="102"/>
      <c r="K55" s="102"/>
    </row>
    <row r="56" spans="1:16">
      <c r="A56" s="102"/>
      <c r="B56" s="103"/>
      <c r="C56" s="102"/>
      <c r="D56" s="102"/>
      <c r="E56" s="102"/>
      <c r="F56" s="102"/>
      <c r="G56" s="102"/>
      <c r="H56" s="102"/>
      <c r="I56" s="102"/>
      <c r="J56" s="102"/>
      <c r="K56" s="102"/>
    </row>
    <row r="57" spans="1:16" ht="30">
      <c r="A57" s="105" t="s">
        <v>33</v>
      </c>
      <c r="B57" s="100" t="s">
        <v>25</v>
      </c>
      <c r="C57" s="100" t="s">
        <v>22</v>
      </c>
      <c r="D57" s="100" t="s">
        <v>259</v>
      </c>
      <c r="E57" s="100" t="s">
        <v>260</v>
      </c>
      <c r="F57" s="100" t="s">
        <v>261</v>
      </c>
      <c r="G57" s="101" t="s">
        <v>262</v>
      </c>
      <c r="H57" s="101" t="s">
        <v>410</v>
      </c>
      <c r="I57" s="100" t="s">
        <v>264</v>
      </c>
      <c r="J57" s="101" t="s">
        <v>265</v>
      </c>
      <c r="K57" s="101" t="s">
        <v>267</v>
      </c>
      <c r="L57" s="101" t="s">
        <v>279</v>
      </c>
    </row>
    <row r="58" spans="1:16">
      <c r="A58" s="41" t="s">
        <v>288</v>
      </c>
      <c r="B58" s="104">
        <v>70</v>
      </c>
      <c r="C58" s="41">
        <v>90</v>
      </c>
      <c r="D58" s="104">
        <v>70</v>
      </c>
      <c r="E58" s="41"/>
      <c r="F58" s="41" t="s">
        <v>289</v>
      </c>
      <c r="G58" s="41" t="s">
        <v>289</v>
      </c>
      <c r="H58" s="41">
        <v>60</v>
      </c>
      <c r="I58" s="41" t="s">
        <v>289</v>
      </c>
      <c r="J58" s="41"/>
      <c r="K58" s="41"/>
      <c r="L58" s="41"/>
    </row>
    <row r="59" spans="1:16">
      <c r="A59" s="41" t="s">
        <v>286</v>
      </c>
      <c r="B59" s="104">
        <v>70</v>
      </c>
      <c r="C59" s="41">
        <v>80</v>
      </c>
      <c r="D59" s="104">
        <v>70</v>
      </c>
      <c r="E59" s="41"/>
      <c r="F59" s="41" t="s">
        <v>289</v>
      </c>
      <c r="G59" s="41" t="s">
        <v>289</v>
      </c>
      <c r="H59" s="41">
        <v>60</v>
      </c>
      <c r="I59" s="41" t="s">
        <v>289</v>
      </c>
      <c r="J59" s="41"/>
      <c r="K59" s="41"/>
      <c r="L59" s="41"/>
    </row>
    <row r="60" spans="1:16">
      <c r="A60" s="41" t="s">
        <v>287</v>
      </c>
      <c r="B60" s="104">
        <v>70</v>
      </c>
      <c r="C60" s="41">
        <v>75</v>
      </c>
      <c r="D60" s="104">
        <v>70</v>
      </c>
      <c r="E60" s="41"/>
      <c r="F60" s="41" t="s">
        <v>289</v>
      </c>
      <c r="G60" s="41" t="s">
        <v>289</v>
      </c>
      <c r="H60" s="41">
        <v>60</v>
      </c>
      <c r="I60" s="41" t="s">
        <v>289</v>
      </c>
      <c r="J60" s="41"/>
      <c r="K60" s="41"/>
      <c r="L60" s="41"/>
    </row>
    <row r="61" spans="1:16">
      <c r="A61" s="41" t="s">
        <v>271</v>
      </c>
      <c r="B61" s="106">
        <v>65</v>
      </c>
      <c r="C61" s="106">
        <v>65</v>
      </c>
      <c r="D61" s="107"/>
      <c r="E61" s="106">
        <v>65</v>
      </c>
      <c r="F61" s="41"/>
      <c r="G61" s="41"/>
      <c r="H61" s="104">
        <v>55</v>
      </c>
      <c r="I61" s="41"/>
      <c r="J61" s="41"/>
      <c r="K61" s="41"/>
      <c r="L61" s="41"/>
    </row>
    <row r="62" spans="1:16">
      <c r="A62" s="41" t="s">
        <v>272</v>
      </c>
      <c r="B62" s="108">
        <v>55</v>
      </c>
      <c r="C62" s="108">
        <v>55</v>
      </c>
      <c r="D62" s="109"/>
      <c r="E62" s="108">
        <v>55</v>
      </c>
      <c r="F62" s="41"/>
      <c r="G62" s="41"/>
      <c r="H62" s="104">
        <v>55</v>
      </c>
      <c r="I62" s="41"/>
      <c r="J62" s="41"/>
      <c r="K62" s="41"/>
      <c r="L62" s="41"/>
    </row>
    <row r="63" spans="1:16">
      <c r="A63" s="41" t="s">
        <v>269</v>
      </c>
      <c r="B63" s="106">
        <v>60</v>
      </c>
      <c r="C63" s="106">
        <v>60</v>
      </c>
      <c r="D63" s="107"/>
      <c r="E63" s="106">
        <v>60</v>
      </c>
      <c r="F63" s="41"/>
      <c r="G63" s="110">
        <v>50</v>
      </c>
      <c r="H63" s="41">
        <v>40</v>
      </c>
      <c r="I63" s="41"/>
      <c r="J63" s="41"/>
      <c r="K63" s="41"/>
      <c r="L63" s="41"/>
    </row>
    <row r="64" spans="1:16">
      <c r="A64" s="41" t="s">
        <v>270</v>
      </c>
      <c r="B64" s="106">
        <v>50</v>
      </c>
      <c r="C64" s="106">
        <v>50</v>
      </c>
      <c r="D64" s="107"/>
      <c r="E64" s="106">
        <v>50</v>
      </c>
      <c r="F64" s="41"/>
      <c r="G64" s="41">
        <v>50</v>
      </c>
      <c r="H64" s="41">
        <v>35</v>
      </c>
      <c r="I64" s="41"/>
      <c r="J64" s="41"/>
      <c r="K64" s="41"/>
      <c r="L64" s="41"/>
    </row>
    <row r="65" spans="1:12">
      <c r="A65" s="41" t="s">
        <v>299</v>
      </c>
      <c r="B65" s="106"/>
      <c r="C65" s="106"/>
      <c r="D65" s="107"/>
      <c r="E65" s="106"/>
      <c r="F65" s="41"/>
      <c r="G65" s="41"/>
      <c r="H65" s="41"/>
      <c r="I65" s="41"/>
      <c r="J65" s="41"/>
      <c r="K65" s="41"/>
      <c r="L65" s="41"/>
    </row>
    <row r="66" spans="1:12">
      <c r="A66" s="104" t="s">
        <v>300</v>
      </c>
      <c r="B66" s="104"/>
      <c r="C66" s="41"/>
      <c r="D66" s="41"/>
      <c r="E66" s="41"/>
      <c r="F66" s="41"/>
      <c r="G66" s="41"/>
      <c r="H66" s="41"/>
      <c r="I66" s="41"/>
      <c r="J66" s="41"/>
      <c r="K66" s="41"/>
      <c r="L66" s="41"/>
    </row>
    <row r="67" spans="1:12">
      <c r="A67" s="104" t="s">
        <v>281</v>
      </c>
      <c r="B67" s="104"/>
      <c r="C67" s="41"/>
      <c r="D67" s="41"/>
      <c r="E67" s="41"/>
      <c r="F67" s="41"/>
      <c r="G67" s="41"/>
      <c r="H67" s="41"/>
      <c r="I67" s="41"/>
      <c r="J67" s="41"/>
      <c r="K67" s="41"/>
      <c r="L67" s="41"/>
    </row>
    <row r="68" spans="1:12">
      <c r="A68" s="104" t="s">
        <v>282</v>
      </c>
      <c r="B68" s="104"/>
      <c r="C68" s="41"/>
      <c r="D68" s="41"/>
      <c r="E68" s="41"/>
      <c r="F68" s="41"/>
      <c r="G68" s="41"/>
      <c r="H68" s="41"/>
      <c r="I68" s="41"/>
      <c r="J68" s="41"/>
      <c r="K68" s="41"/>
      <c r="L68" s="41"/>
    </row>
    <row r="69" spans="1:12">
      <c r="A69" s="104" t="s">
        <v>283</v>
      </c>
      <c r="B69" s="104"/>
      <c r="C69" s="41"/>
      <c r="D69" s="41"/>
      <c r="E69" s="41"/>
      <c r="F69" s="41"/>
      <c r="G69" s="41"/>
      <c r="H69" s="41"/>
      <c r="I69" s="41"/>
      <c r="J69" s="41"/>
      <c r="K69" s="41"/>
      <c r="L69" s="41"/>
    </row>
    <row r="70" spans="1:12">
      <c r="A70" s="104" t="s">
        <v>284</v>
      </c>
      <c r="B70" s="106">
        <v>65</v>
      </c>
      <c r="C70" s="41"/>
      <c r="D70" s="41"/>
      <c r="E70" s="41"/>
      <c r="F70" s="41"/>
      <c r="G70" s="41"/>
      <c r="H70" s="41">
        <v>35</v>
      </c>
      <c r="I70" s="41"/>
      <c r="J70" s="41"/>
      <c r="K70" s="41"/>
      <c r="L70" s="41"/>
    </row>
    <row r="71" spans="1:12">
      <c r="A71" s="41" t="s">
        <v>277</v>
      </c>
      <c r="B71" s="104"/>
      <c r="C71" s="41"/>
      <c r="D71" s="41"/>
      <c r="E71" s="41"/>
      <c r="F71" s="41"/>
      <c r="G71" s="41"/>
      <c r="H71" s="41"/>
      <c r="I71" s="41"/>
      <c r="J71" s="41"/>
      <c r="K71" s="110">
        <v>70</v>
      </c>
      <c r="L71" s="41"/>
    </row>
    <row r="72" spans="1:12">
      <c r="A72" s="41" t="s">
        <v>278</v>
      </c>
      <c r="B72" s="104"/>
      <c r="C72" s="41"/>
      <c r="D72" s="41"/>
      <c r="E72" s="41"/>
      <c r="F72" s="41"/>
      <c r="G72" s="41"/>
      <c r="H72" s="41"/>
      <c r="I72" s="41"/>
      <c r="J72" s="41"/>
      <c r="K72" s="110">
        <v>50</v>
      </c>
      <c r="L72" s="41"/>
    </row>
    <row r="73" spans="1:12">
      <c r="A73" s="104" t="s">
        <v>264</v>
      </c>
      <c r="B73" s="104"/>
      <c r="C73" s="41"/>
      <c r="D73" s="41"/>
      <c r="E73" s="41"/>
      <c r="F73" s="41"/>
      <c r="G73" s="41"/>
      <c r="H73" s="41"/>
      <c r="I73" s="108">
        <v>70</v>
      </c>
      <c r="J73" s="110">
        <v>50</v>
      </c>
      <c r="K73" s="41"/>
      <c r="L73" s="41"/>
    </row>
    <row r="74" spans="1:12">
      <c r="A74" s="104" t="s">
        <v>408</v>
      </c>
      <c r="B74" s="104"/>
      <c r="C74" s="41"/>
      <c r="D74" s="41"/>
      <c r="E74" s="41"/>
      <c r="F74" s="41"/>
      <c r="G74" s="41">
        <v>40</v>
      </c>
      <c r="H74" s="41"/>
      <c r="I74" s="41"/>
      <c r="J74" s="41"/>
      <c r="K74" s="41"/>
      <c r="L74" s="41"/>
    </row>
    <row r="75" spans="1:12">
      <c r="A75" s="104" t="s">
        <v>409</v>
      </c>
      <c r="B75" s="104"/>
      <c r="C75" s="41"/>
      <c r="D75" s="41"/>
      <c r="E75" s="41"/>
      <c r="F75" s="41"/>
      <c r="G75" s="41">
        <v>30</v>
      </c>
      <c r="H75" s="41"/>
      <c r="I75" s="41"/>
      <c r="J75" s="41"/>
      <c r="K75" s="41"/>
      <c r="L75" s="41"/>
    </row>
    <row r="76" spans="1:12">
      <c r="A76" s="103"/>
      <c r="B76" s="103"/>
      <c r="C76" s="102"/>
      <c r="D76" s="102"/>
      <c r="E76" s="102"/>
      <c r="F76" s="102"/>
      <c r="G76" s="102"/>
      <c r="H76" s="102"/>
      <c r="I76" s="102"/>
      <c r="J76" s="102"/>
      <c r="K76" s="102"/>
    </row>
    <row r="77" spans="1:12" ht="30">
      <c r="A77" s="105" t="s">
        <v>55</v>
      </c>
      <c r="B77" s="100" t="s">
        <v>25</v>
      </c>
      <c r="C77" s="100" t="s">
        <v>22</v>
      </c>
      <c r="D77" s="100" t="s">
        <v>259</v>
      </c>
      <c r="E77" s="100" t="s">
        <v>260</v>
      </c>
      <c r="F77" s="100" t="s">
        <v>261</v>
      </c>
      <c r="G77" s="101" t="s">
        <v>262</v>
      </c>
      <c r="H77" s="101" t="s">
        <v>410</v>
      </c>
      <c r="I77" s="100" t="s">
        <v>264</v>
      </c>
      <c r="J77" s="101" t="s">
        <v>265</v>
      </c>
      <c r="K77" s="101" t="s">
        <v>267</v>
      </c>
      <c r="L77" s="101" t="s">
        <v>279</v>
      </c>
    </row>
    <row r="78" spans="1:12">
      <c r="A78" s="41" t="s">
        <v>288</v>
      </c>
      <c r="B78" s="103">
        <v>20</v>
      </c>
      <c r="C78" s="103">
        <v>20</v>
      </c>
      <c r="D78" s="102">
        <v>20</v>
      </c>
      <c r="E78" s="102"/>
      <c r="F78" s="102"/>
      <c r="G78" s="102"/>
      <c r="H78" s="102">
        <v>20</v>
      </c>
      <c r="I78" s="102"/>
      <c r="J78" s="102"/>
      <c r="K78" s="102"/>
    </row>
    <row r="79" spans="1:12">
      <c r="A79" s="41" t="s">
        <v>286</v>
      </c>
      <c r="B79" s="103">
        <v>20</v>
      </c>
      <c r="C79" s="103">
        <v>20</v>
      </c>
      <c r="D79" s="102">
        <v>20</v>
      </c>
      <c r="E79" s="102"/>
      <c r="F79" s="102"/>
      <c r="G79" s="102"/>
      <c r="H79" s="102">
        <v>20</v>
      </c>
      <c r="I79" s="102"/>
      <c r="J79" s="102"/>
      <c r="K79" s="102"/>
    </row>
    <row r="80" spans="1:12">
      <c r="A80" s="41" t="s">
        <v>287</v>
      </c>
      <c r="B80" s="103">
        <v>20</v>
      </c>
      <c r="C80" s="103">
        <v>20</v>
      </c>
      <c r="D80" s="102">
        <v>20</v>
      </c>
      <c r="E80" s="102"/>
      <c r="F80" s="102"/>
      <c r="G80" s="102"/>
      <c r="H80" s="102">
        <v>20</v>
      </c>
      <c r="I80" s="102"/>
      <c r="J80" s="102"/>
      <c r="K80" s="102"/>
    </row>
    <row r="81" spans="1:11">
      <c r="A81" s="41" t="s">
        <v>271</v>
      </c>
      <c r="B81" s="103">
        <v>15</v>
      </c>
      <c r="C81" s="103">
        <v>15</v>
      </c>
      <c r="D81" s="102"/>
      <c r="E81" s="102">
        <v>15</v>
      </c>
      <c r="F81" s="102"/>
      <c r="G81" s="102"/>
      <c r="H81" s="103">
        <v>15</v>
      </c>
      <c r="I81" s="102"/>
      <c r="J81" s="102"/>
      <c r="K81" s="102"/>
    </row>
    <row r="82" spans="1:11">
      <c r="A82" s="41" t="s">
        <v>272</v>
      </c>
      <c r="B82" s="103">
        <v>15</v>
      </c>
      <c r="C82" s="103">
        <v>15</v>
      </c>
      <c r="D82" s="102"/>
      <c r="E82" s="102">
        <v>15</v>
      </c>
      <c r="F82" s="102"/>
      <c r="G82" s="102"/>
      <c r="H82" s="103">
        <v>15</v>
      </c>
      <c r="I82" s="102"/>
      <c r="J82" s="102"/>
      <c r="K82" s="102"/>
    </row>
    <row r="83" spans="1:11">
      <c r="A83" s="41" t="s">
        <v>269</v>
      </c>
      <c r="B83" s="103">
        <v>15</v>
      </c>
      <c r="C83" s="103">
        <v>15</v>
      </c>
      <c r="D83" s="102"/>
      <c r="E83" s="102">
        <v>15</v>
      </c>
      <c r="F83" s="102"/>
      <c r="G83" s="102"/>
      <c r="H83" s="103">
        <v>10</v>
      </c>
      <c r="I83" s="102"/>
      <c r="J83" s="102"/>
      <c r="K83" s="102"/>
    </row>
    <row r="84" spans="1:11">
      <c r="A84" s="41" t="s">
        <v>270</v>
      </c>
      <c r="B84" s="103">
        <v>15</v>
      </c>
      <c r="C84" s="103">
        <v>15</v>
      </c>
      <c r="D84" s="102"/>
      <c r="E84" s="103">
        <v>15</v>
      </c>
      <c r="F84" s="102"/>
      <c r="G84" s="102"/>
      <c r="H84" s="103">
        <v>10</v>
      </c>
      <c r="I84" s="102"/>
      <c r="J84" s="102"/>
      <c r="K84" s="102"/>
    </row>
    <row r="85" spans="1:11">
      <c r="A85" s="104" t="s">
        <v>280</v>
      </c>
      <c r="B85" s="103"/>
      <c r="C85" s="102"/>
      <c r="D85" s="102"/>
      <c r="E85" s="102"/>
      <c r="F85" s="102"/>
      <c r="G85" s="102"/>
      <c r="H85" s="102"/>
      <c r="I85" s="102"/>
      <c r="J85" s="102"/>
      <c r="K85" s="102"/>
    </row>
    <row r="86" spans="1:11">
      <c r="A86" s="104" t="s">
        <v>281</v>
      </c>
      <c r="B86" s="103"/>
      <c r="C86" s="102"/>
      <c r="D86" s="102"/>
      <c r="E86" s="102"/>
      <c r="F86" s="102"/>
      <c r="G86" s="102"/>
      <c r="H86" s="102"/>
      <c r="I86" s="102"/>
      <c r="J86" s="102"/>
      <c r="K86" s="102"/>
    </row>
    <row r="87" spans="1:11">
      <c r="A87" s="104" t="s">
        <v>282</v>
      </c>
      <c r="B87" s="103"/>
      <c r="C87" s="102"/>
      <c r="D87" s="102"/>
      <c r="E87" s="102"/>
      <c r="F87" s="102"/>
      <c r="G87" s="102"/>
      <c r="H87" s="102"/>
      <c r="I87" s="102"/>
      <c r="J87" s="102"/>
      <c r="K87" s="102"/>
    </row>
    <row r="88" spans="1:11">
      <c r="A88" s="104" t="s">
        <v>283</v>
      </c>
      <c r="B88" s="103"/>
      <c r="C88" s="102"/>
      <c r="D88" s="102"/>
      <c r="E88" s="102"/>
      <c r="F88" s="102"/>
      <c r="G88" s="102"/>
      <c r="H88" s="102"/>
      <c r="I88" s="102"/>
      <c r="J88" s="102"/>
      <c r="K88" s="102"/>
    </row>
    <row r="89" spans="1:11">
      <c r="A89" s="104" t="s">
        <v>284</v>
      </c>
      <c r="B89" s="103"/>
      <c r="C89" s="102"/>
      <c r="D89" s="102"/>
      <c r="E89" s="102"/>
      <c r="F89" s="102"/>
      <c r="G89" s="102"/>
      <c r="H89" s="102"/>
      <c r="I89" s="102"/>
      <c r="J89" s="102"/>
      <c r="K89" s="102"/>
    </row>
    <row r="90" spans="1:11">
      <c r="A90" s="41" t="s">
        <v>277</v>
      </c>
      <c r="K90">
        <v>15</v>
      </c>
    </row>
    <row r="91" spans="1:11">
      <c r="A91" s="41" t="s">
        <v>278</v>
      </c>
      <c r="K91">
        <v>10</v>
      </c>
    </row>
    <row r="92" spans="1:11">
      <c r="A92" s="104" t="s">
        <v>264</v>
      </c>
      <c r="I92">
        <v>10</v>
      </c>
      <c r="J92">
        <v>10</v>
      </c>
    </row>
    <row r="93" spans="1:11">
      <c r="A93" t="s">
        <v>255</v>
      </c>
    </row>
    <row r="94" spans="1:11">
      <c r="A94" t="s">
        <v>411</v>
      </c>
      <c r="G94">
        <v>10</v>
      </c>
    </row>
    <row r="96" spans="1:11">
      <c r="A96" t="s">
        <v>256</v>
      </c>
      <c r="B96" t="s">
        <v>257</v>
      </c>
    </row>
    <row r="97" spans="1:2">
      <c r="B97" t="s">
        <v>258</v>
      </c>
    </row>
    <row r="99" spans="1:2">
      <c r="A99" s="40" t="s">
        <v>216</v>
      </c>
      <c r="B99" t="s">
        <v>571</v>
      </c>
    </row>
    <row r="100" spans="1:2">
      <c r="B100" t="s">
        <v>572</v>
      </c>
    </row>
    <row r="101" spans="1:2">
      <c r="B101" t="s">
        <v>573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 filterMode="1"/>
  <dimension ref="A1:K211"/>
  <sheetViews>
    <sheetView workbookViewId="0">
      <pane ySplit="2" topLeftCell="A3" activePane="bottomLeft" state="frozen"/>
      <selection pane="bottomLeft" activeCell="I2" sqref="I2"/>
    </sheetView>
  </sheetViews>
  <sheetFormatPr defaultRowHeight="15"/>
  <cols>
    <col min="1" max="1" width="16.85546875" customWidth="1"/>
    <col min="2" max="2" width="78.85546875" customWidth="1"/>
    <col min="3" max="3" width="7.7109375" style="189" customWidth="1"/>
    <col min="4" max="4" width="9.5703125" style="189" bestFit="1" customWidth="1"/>
    <col min="5" max="10" width="10.42578125" style="189" customWidth="1"/>
    <col min="11" max="11" width="9.140625" style="189"/>
  </cols>
  <sheetData>
    <row r="1" spans="1:11" ht="7.5" customHeight="1"/>
    <row r="2" spans="1:11">
      <c r="A2" s="105" t="s">
        <v>37</v>
      </c>
      <c r="B2" s="105" t="s">
        <v>413</v>
      </c>
      <c r="C2" s="193" t="s">
        <v>423</v>
      </c>
      <c r="D2" s="193" t="s">
        <v>424</v>
      </c>
      <c r="E2" s="190" t="s">
        <v>414</v>
      </c>
      <c r="F2" s="190" t="s">
        <v>415</v>
      </c>
      <c r="G2" s="190" t="s">
        <v>417</v>
      </c>
      <c r="H2" s="190" t="s">
        <v>416</v>
      </c>
      <c r="I2" s="191" t="s">
        <v>418</v>
      </c>
      <c r="J2" s="191" t="s">
        <v>466</v>
      </c>
      <c r="K2" s="196" t="s">
        <v>522</v>
      </c>
    </row>
    <row r="3" spans="1:11" hidden="1">
      <c r="A3" s="207" t="s">
        <v>575</v>
      </c>
      <c r="B3" s="207" t="s">
        <v>662</v>
      </c>
      <c r="C3" s="211">
        <v>0.9</v>
      </c>
      <c r="D3" s="211">
        <v>0</v>
      </c>
      <c r="E3" s="208"/>
      <c r="F3" s="208"/>
      <c r="G3" s="208"/>
      <c r="H3" s="208"/>
      <c r="I3" s="209"/>
      <c r="J3" s="209"/>
      <c r="K3" s="208"/>
    </row>
    <row r="4" spans="1:11" hidden="1">
      <c r="A4" s="207" t="s">
        <v>575</v>
      </c>
      <c r="B4" s="207" t="s">
        <v>663</v>
      </c>
      <c r="C4" s="211">
        <v>0.8</v>
      </c>
      <c r="D4" s="211">
        <v>0</v>
      </c>
      <c r="E4" s="208"/>
      <c r="F4" s="208"/>
      <c r="G4" s="208"/>
      <c r="H4" s="208"/>
      <c r="I4" s="209"/>
      <c r="J4" s="209"/>
      <c r="K4" s="208"/>
    </row>
    <row r="5" spans="1:11" hidden="1">
      <c r="A5" s="207" t="s">
        <v>575</v>
      </c>
      <c r="B5" s="207" t="s">
        <v>664</v>
      </c>
      <c r="C5" s="211">
        <v>0.75</v>
      </c>
      <c r="D5" s="211">
        <v>0</v>
      </c>
      <c r="E5" s="208"/>
      <c r="F5" s="208"/>
      <c r="G5" s="208"/>
      <c r="H5" s="208"/>
      <c r="I5" s="209"/>
      <c r="J5" s="209"/>
      <c r="K5" s="208"/>
    </row>
    <row r="6" spans="1:11" hidden="1">
      <c r="A6" s="207" t="s">
        <v>575</v>
      </c>
      <c r="B6" s="207" t="s">
        <v>665</v>
      </c>
      <c r="C6" s="211">
        <v>1</v>
      </c>
      <c r="D6" s="211">
        <v>0</v>
      </c>
      <c r="E6" s="208"/>
      <c r="F6" s="208"/>
      <c r="G6" s="208"/>
      <c r="H6" s="208"/>
      <c r="I6" s="209"/>
      <c r="J6" s="209"/>
      <c r="K6" s="208"/>
    </row>
    <row r="7" spans="1:11" hidden="1">
      <c r="A7" s="207" t="s">
        <v>575</v>
      </c>
      <c r="B7" s="207" t="s">
        <v>602</v>
      </c>
      <c r="C7" s="211">
        <v>1.3</v>
      </c>
      <c r="D7" s="211">
        <v>0.1</v>
      </c>
      <c r="E7" s="208"/>
      <c r="F7" s="208" t="s">
        <v>38</v>
      </c>
      <c r="G7" s="208"/>
      <c r="H7" s="208"/>
      <c r="I7" s="209"/>
      <c r="J7" s="209"/>
      <c r="K7" s="208"/>
    </row>
    <row r="8" spans="1:11" hidden="1">
      <c r="A8" s="207" t="s">
        <v>575</v>
      </c>
      <c r="B8" s="207" t="s">
        <v>602</v>
      </c>
      <c r="C8" s="211">
        <v>1.3</v>
      </c>
      <c r="D8" s="211">
        <v>0.2</v>
      </c>
      <c r="E8" s="208"/>
      <c r="F8" s="208"/>
      <c r="G8" s="208" t="s">
        <v>38</v>
      </c>
      <c r="H8" s="208"/>
      <c r="I8" s="209"/>
      <c r="J8" s="209"/>
      <c r="K8" s="208"/>
    </row>
    <row r="9" spans="1:11" hidden="1">
      <c r="A9" s="207" t="s">
        <v>575</v>
      </c>
      <c r="B9" s="207" t="s">
        <v>602</v>
      </c>
      <c r="C9" s="211">
        <v>1.3</v>
      </c>
      <c r="D9" s="211" t="s">
        <v>603</v>
      </c>
      <c r="E9" s="208"/>
      <c r="F9" s="208"/>
      <c r="G9" s="208"/>
      <c r="H9" s="208" t="s">
        <v>38</v>
      </c>
      <c r="I9" s="209"/>
      <c r="J9" s="209"/>
      <c r="K9" s="208"/>
    </row>
    <row r="10" spans="1:11" hidden="1">
      <c r="A10" s="207" t="s">
        <v>578</v>
      </c>
      <c r="B10" s="207" t="s">
        <v>666</v>
      </c>
      <c r="C10" s="211">
        <v>0.8</v>
      </c>
      <c r="D10" s="211">
        <v>0</v>
      </c>
      <c r="E10" s="208"/>
      <c r="F10" s="208"/>
      <c r="G10" s="208"/>
      <c r="H10" s="208"/>
      <c r="I10" s="209"/>
      <c r="J10" s="209"/>
      <c r="K10" s="208"/>
    </row>
    <row r="11" spans="1:11" hidden="1">
      <c r="A11" s="207" t="s">
        <v>578</v>
      </c>
      <c r="B11" s="207" t="s">
        <v>667</v>
      </c>
      <c r="C11" s="211">
        <v>0.75</v>
      </c>
      <c r="D11" s="211">
        <v>0</v>
      </c>
      <c r="E11" s="208"/>
      <c r="F11" s="208"/>
      <c r="G11" s="208"/>
      <c r="H11" s="208"/>
      <c r="I11" s="209"/>
      <c r="J11" s="209"/>
      <c r="K11" s="208"/>
    </row>
    <row r="12" spans="1:11" hidden="1">
      <c r="A12" s="207" t="s">
        <v>578</v>
      </c>
      <c r="B12" s="207" t="s">
        <v>668</v>
      </c>
      <c r="C12" s="211">
        <v>0.75</v>
      </c>
      <c r="D12" s="211">
        <v>0</v>
      </c>
      <c r="E12" s="208"/>
      <c r="F12" s="208"/>
      <c r="G12" s="208"/>
      <c r="H12" s="208"/>
      <c r="I12" s="209"/>
      <c r="J12" s="209"/>
      <c r="K12" s="208"/>
    </row>
    <row r="13" spans="1:11" hidden="1">
      <c r="A13" s="207" t="s">
        <v>578</v>
      </c>
      <c r="B13" s="207" t="s">
        <v>669</v>
      </c>
      <c r="C13" s="211">
        <v>0.75</v>
      </c>
      <c r="D13" s="211">
        <v>0</v>
      </c>
      <c r="E13" s="208"/>
      <c r="F13" s="208"/>
      <c r="G13" s="208"/>
      <c r="H13" s="208"/>
      <c r="I13" s="209"/>
      <c r="J13" s="209"/>
      <c r="K13" s="208"/>
    </row>
    <row r="14" spans="1:11" hidden="1">
      <c r="A14" s="207" t="s">
        <v>578</v>
      </c>
      <c r="B14" s="207" t="s">
        <v>665</v>
      </c>
      <c r="C14" s="211">
        <v>1</v>
      </c>
      <c r="D14" s="211">
        <v>0</v>
      </c>
      <c r="E14" s="208"/>
      <c r="F14" s="208"/>
      <c r="G14" s="208"/>
      <c r="H14" s="208"/>
      <c r="I14" s="209"/>
      <c r="J14" s="209"/>
      <c r="K14" s="208"/>
    </row>
    <row r="15" spans="1:11" hidden="1">
      <c r="A15" s="207" t="s">
        <v>578</v>
      </c>
      <c r="B15" s="207" t="s">
        <v>602</v>
      </c>
      <c r="C15" s="211">
        <v>1.3</v>
      </c>
      <c r="D15" s="211">
        <v>0.1</v>
      </c>
      <c r="E15" s="208"/>
      <c r="F15" s="208" t="s">
        <v>38</v>
      </c>
      <c r="G15" s="208"/>
      <c r="H15" s="208"/>
      <c r="I15" s="209"/>
      <c r="J15" s="209"/>
      <c r="K15" s="208"/>
    </row>
    <row r="16" spans="1:11" hidden="1">
      <c r="A16" s="207" t="s">
        <v>578</v>
      </c>
      <c r="B16" s="207" t="s">
        <v>602</v>
      </c>
      <c r="C16" s="211">
        <v>1.3</v>
      </c>
      <c r="D16" s="211">
        <v>0.2</v>
      </c>
      <c r="E16" s="208"/>
      <c r="F16" s="208"/>
      <c r="G16" s="208" t="s">
        <v>38</v>
      </c>
      <c r="H16" s="208"/>
      <c r="I16" s="209"/>
      <c r="J16" s="209"/>
      <c r="K16" s="208"/>
    </row>
    <row r="17" spans="1:11" hidden="1">
      <c r="A17" s="207" t="s">
        <v>578</v>
      </c>
      <c r="B17" s="207" t="s">
        <v>602</v>
      </c>
      <c r="C17" s="211">
        <v>1.3</v>
      </c>
      <c r="D17" s="211" t="s">
        <v>603</v>
      </c>
      <c r="E17" s="208"/>
      <c r="F17" s="208"/>
      <c r="G17" s="208"/>
      <c r="H17" s="208" t="s">
        <v>38</v>
      </c>
      <c r="I17" s="209"/>
      <c r="J17" s="209"/>
      <c r="K17" s="208"/>
    </row>
    <row r="18" spans="1:11" s="210" customFormat="1" hidden="1">
      <c r="A18" s="207" t="s">
        <v>576</v>
      </c>
      <c r="B18" s="207" t="s">
        <v>608</v>
      </c>
      <c r="C18" s="211">
        <v>0.7</v>
      </c>
      <c r="D18" s="211">
        <v>0.05</v>
      </c>
      <c r="E18" s="208"/>
      <c r="F18" s="208"/>
      <c r="G18" s="208" t="s">
        <v>38</v>
      </c>
      <c r="H18" s="208"/>
      <c r="I18" s="209"/>
      <c r="J18" s="209"/>
      <c r="K18" s="208"/>
    </row>
    <row r="19" spans="1:11" s="210" customFormat="1" hidden="1">
      <c r="A19" s="207" t="s">
        <v>576</v>
      </c>
      <c r="B19" s="207" t="s">
        <v>608</v>
      </c>
      <c r="C19" s="211">
        <v>0.7</v>
      </c>
      <c r="D19" s="211">
        <v>0.1</v>
      </c>
      <c r="E19" s="208"/>
      <c r="F19" s="208"/>
      <c r="G19" s="208"/>
      <c r="H19" s="208" t="s">
        <v>38</v>
      </c>
      <c r="I19" s="209"/>
      <c r="J19" s="209"/>
      <c r="K19" s="208"/>
    </row>
    <row r="20" spans="1:11" s="210" customFormat="1" hidden="1">
      <c r="A20" s="207" t="s">
        <v>576</v>
      </c>
      <c r="B20" s="207" t="s">
        <v>609</v>
      </c>
      <c r="C20" s="211">
        <v>0.6</v>
      </c>
      <c r="D20" s="211">
        <v>0.05</v>
      </c>
      <c r="E20" s="208"/>
      <c r="F20" s="208"/>
      <c r="G20" s="208" t="s">
        <v>38</v>
      </c>
      <c r="H20" s="208"/>
      <c r="I20" s="209"/>
      <c r="J20" s="209"/>
      <c r="K20" s="208"/>
    </row>
    <row r="21" spans="1:11" s="210" customFormat="1" hidden="1">
      <c r="A21" s="207" t="s">
        <v>576</v>
      </c>
      <c r="B21" s="207" t="s">
        <v>609</v>
      </c>
      <c r="C21" s="211">
        <v>0.6</v>
      </c>
      <c r="D21" s="211">
        <v>0.1</v>
      </c>
      <c r="E21" s="208"/>
      <c r="F21" s="208"/>
      <c r="G21" s="208"/>
      <c r="H21" s="208" t="s">
        <v>38</v>
      </c>
      <c r="I21" s="209"/>
      <c r="J21" s="209"/>
      <c r="K21" s="208"/>
    </row>
    <row r="22" spans="1:11" s="210" customFormat="1" hidden="1">
      <c r="A22" s="207" t="s">
        <v>576</v>
      </c>
      <c r="B22" s="207" t="s">
        <v>600</v>
      </c>
      <c r="C22" s="211">
        <v>0.85</v>
      </c>
      <c r="D22" s="211">
        <v>0.05</v>
      </c>
      <c r="E22" s="208"/>
      <c r="F22" s="208" t="s">
        <v>38</v>
      </c>
      <c r="G22" s="208"/>
      <c r="H22" s="208"/>
      <c r="I22" s="209"/>
      <c r="J22" s="209"/>
      <c r="K22" s="208"/>
    </row>
    <row r="23" spans="1:11" s="210" customFormat="1" hidden="1">
      <c r="A23" s="207" t="s">
        <v>576</v>
      </c>
      <c r="B23" s="207" t="s">
        <v>601</v>
      </c>
      <c r="C23" s="211">
        <v>0.85</v>
      </c>
      <c r="D23" s="211">
        <v>0.1</v>
      </c>
      <c r="E23" s="208"/>
      <c r="F23" s="208" t="s">
        <v>38</v>
      </c>
      <c r="G23" s="208"/>
      <c r="H23" s="208"/>
      <c r="I23" s="209"/>
      <c r="J23" s="209"/>
      <c r="K23" s="208"/>
    </row>
    <row r="24" spans="1:11" s="210" customFormat="1" hidden="1">
      <c r="A24" s="207" t="s">
        <v>576</v>
      </c>
      <c r="B24" s="207" t="s">
        <v>599</v>
      </c>
      <c r="C24" s="211">
        <v>0.85</v>
      </c>
      <c r="D24" s="211">
        <v>0.1</v>
      </c>
      <c r="E24" s="208"/>
      <c r="F24" s="208"/>
      <c r="G24" s="208" t="s">
        <v>38</v>
      </c>
      <c r="H24" s="208"/>
      <c r="I24" s="209"/>
      <c r="J24" s="209"/>
      <c r="K24" s="208"/>
    </row>
    <row r="25" spans="1:11" s="210" customFormat="1" hidden="1">
      <c r="A25" s="207" t="s">
        <v>576</v>
      </c>
      <c r="B25" s="207" t="s">
        <v>602</v>
      </c>
      <c r="C25" s="211">
        <v>1.2</v>
      </c>
      <c r="D25" s="211">
        <v>0.1</v>
      </c>
      <c r="E25" s="208"/>
      <c r="F25" s="208" t="s">
        <v>38</v>
      </c>
      <c r="G25" s="208"/>
      <c r="H25" s="208"/>
      <c r="I25" s="209"/>
      <c r="J25" s="209"/>
      <c r="K25" s="208"/>
    </row>
    <row r="26" spans="1:11" s="210" customFormat="1" hidden="1">
      <c r="A26" s="207" t="s">
        <v>576</v>
      </c>
      <c r="B26" s="207" t="s">
        <v>602</v>
      </c>
      <c r="C26" s="211">
        <v>1.2</v>
      </c>
      <c r="D26" s="211">
        <v>0.2</v>
      </c>
      <c r="E26" s="208"/>
      <c r="F26" s="208"/>
      <c r="G26" s="208" t="s">
        <v>38</v>
      </c>
      <c r="H26" s="208"/>
      <c r="I26" s="209"/>
      <c r="J26" s="209"/>
      <c r="K26" s="208"/>
    </row>
    <row r="27" spans="1:11" s="210" customFormat="1" hidden="1">
      <c r="A27" s="207" t="s">
        <v>576</v>
      </c>
      <c r="B27" s="207" t="s">
        <v>602</v>
      </c>
      <c r="C27" s="211">
        <v>1.2</v>
      </c>
      <c r="D27" s="211" t="s">
        <v>603</v>
      </c>
      <c r="E27" s="208"/>
      <c r="F27" s="208"/>
      <c r="G27" s="208"/>
      <c r="H27" s="208" t="s">
        <v>38</v>
      </c>
      <c r="I27" s="209"/>
      <c r="J27" s="209"/>
      <c r="K27" s="208"/>
    </row>
    <row r="28" spans="1:11" s="210" customFormat="1" hidden="1">
      <c r="A28" s="207" t="s">
        <v>577</v>
      </c>
      <c r="B28" s="207" t="s">
        <v>598</v>
      </c>
      <c r="C28" s="211">
        <v>0.55000000000000004</v>
      </c>
      <c r="D28" s="211">
        <v>0.05</v>
      </c>
      <c r="E28" s="208"/>
      <c r="F28" s="208"/>
      <c r="G28" s="208" t="s">
        <v>38</v>
      </c>
      <c r="H28" s="208"/>
      <c r="I28" s="209"/>
      <c r="J28" s="209"/>
      <c r="K28" s="208"/>
    </row>
    <row r="29" spans="1:11" s="210" customFormat="1" hidden="1">
      <c r="A29" s="207" t="s">
        <v>577</v>
      </c>
      <c r="B29" s="207" t="s">
        <v>598</v>
      </c>
      <c r="C29" s="211">
        <v>0.55000000000000004</v>
      </c>
      <c r="D29" s="211">
        <v>0.1</v>
      </c>
      <c r="E29" s="208"/>
      <c r="F29" s="208"/>
      <c r="G29" s="208"/>
      <c r="H29" s="208" t="s">
        <v>38</v>
      </c>
      <c r="I29" s="209"/>
      <c r="J29" s="209"/>
      <c r="K29" s="208"/>
    </row>
    <row r="30" spans="1:11" s="210" customFormat="1" hidden="1">
      <c r="A30" s="207" t="s">
        <v>577</v>
      </c>
      <c r="B30" s="207" t="s">
        <v>600</v>
      </c>
      <c r="C30" s="211">
        <v>0.85</v>
      </c>
      <c r="D30" s="211">
        <v>0.05</v>
      </c>
      <c r="E30" s="208"/>
      <c r="F30" s="208" t="s">
        <v>38</v>
      </c>
      <c r="G30" s="208"/>
      <c r="H30" s="208"/>
      <c r="I30" s="209"/>
      <c r="J30" s="209"/>
      <c r="K30" s="208"/>
    </row>
    <row r="31" spans="1:11" s="210" customFormat="1" hidden="1">
      <c r="A31" s="207" t="s">
        <v>577</v>
      </c>
      <c r="B31" s="207" t="s">
        <v>601</v>
      </c>
      <c r="C31" s="211">
        <v>0.85</v>
      </c>
      <c r="D31" s="211">
        <v>0.1</v>
      </c>
      <c r="E31" s="208"/>
      <c r="F31" s="208" t="s">
        <v>38</v>
      </c>
      <c r="G31" s="208"/>
      <c r="H31" s="208"/>
      <c r="I31" s="209"/>
      <c r="J31" s="209"/>
      <c r="K31" s="208"/>
    </row>
    <row r="32" spans="1:11" s="210" customFormat="1" hidden="1">
      <c r="A32" s="207" t="s">
        <v>577</v>
      </c>
      <c r="B32" s="207" t="s">
        <v>599</v>
      </c>
      <c r="C32" s="211">
        <v>0.85</v>
      </c>
      <c r="D32" s="211">
        <v>0.1</v>
      </c>
      <c r="E32" s="208"/>
      <c r="F32" s="208"/>
      <c r="G32" s="208" t="s">
        <v>38</v>
      </c>
      <c r="H32" s="208"/>
      <c r="I32" s="209"/>
      <c r="J32" s="209"/>
      <c r="K32" s="208"/>
    </row>
    <row r="33" spans="1:11" s="210" customFormat="1" hidden="1">
      <c r="A33" s="207" t="s">
        <v>577</v>
      </c>
      <c r="B33" s="207" t="s">
        <v>602</v>
      </c>
      <c r="C33" s="211">
        <v>1.1000000000000001</v>
      </c>
      <c r="D33" s="211">
        <v>0.1</v>
      </c>
      <c r="E33" s="208"/>
      <c r="F33" s="208" t="s">
        <v>38</v>
      </c>
      <c r="G33" s="208"/>
      <c r="H33" s="208"/>
      <c r="I33" s="209"/>
      <c r="J33" s="209"/>
      <c r="K33" s="208"/>
    </row>
    <row r="34" spans="1:11" s="210" customFormat="1" hidden="1">
      <c r="A34" s="207" t="s">
        <v>577</v>
      </c>
      <c r="B34" s="207" t="s">
        <v>602</v>
      </c>
      <c r="C34" s="211">
        <v>1.1000000000000001</v>
      </c>
      <c r="D34" s="211">
        <v>0.2</v>
      </c>
      <c r="E34" s="208"/>
      <c r="F34" s="208"/>
      <c r="G34" s="208" t="s">
        <v>38</v>
      </c>
      <c r="H34" s="208"/>
      <c r="I34" s="209"/>
      <c r="J34" s="209"/>
      <c r="K34" s="208"/>
    </row>
    <row r="35" spans="1:11" s="210" customFormat="1" hidden="1">
      <c r="A35" s="207" t="s">
        <v>577</v>
      </c>
      <c r="B35" s="207" t="s">
        <v>602</v>
      </c>
      <c r="C35" s="211">
        <v>1.1000000000000001</v>
      </c>
      <c r="D35" s="211" t="s">
        <v>603</v>
      </c>
      <c r="E35" s="208"/>
      <c r="F35" s="208"/>
      <c r="G35" s="208"/>
      <c r="H35" s="208" t="s">
        <v>38</v>
      </c>
      <c r="I35" s="209"/>
      <c r="J35" s="209"/>
      <c r="K35" s="208"/>
    </row>
    <row r="36" spans="1:11" s="210" customFormat="1" hidden="1">
      <c r="A36" s="207" t="s">
        <v>557</v>
      </c>
      <c r="B36" s="207" t="s">
        <v>611</v>
      </c>
      <c r="C36" s="211">
        <v>0.9</v>
      </c>
      <c r="D36" s="211">
        <v>0.05</v>
      </c>
      <c r="E36" s="208"/>
      <c r="F36" s="208"/>
      <c r="G36" s="208" t="s">
        <v>38</v>
      </c>
      <c r="H36" s="208"/>
      <c r="I36" s="209"/>
      <c r="J36" s="209"/>
      <c r="K36" s="208"/>
    </row>
    <row r="37" spans="1:11" s="210" customFormat="1" hidden="1">
      <c r="A37" s="207" t="s">
        <v>557</v>
      </c>
      <c r="B37" s="207" t="s">
        <v>612</v>
      </c>
      <c r="C37" s="211">
        <v>0.8</v>
      </c>
      <c r="D37" s="211">
        <v>0.05</v>
      </c>
      <c r="E37" s="208"/>
      <c r="F37" s="208"/>
      <c r="G37" s="208" t="s">
        <v>38</v>
      </c>
      <c r="H37" s="208"/>
      <c r="I37" s="209"/>
      <c r="J37" s="209"/>
      <c r="K37" s="208"/>
    </row>
    <row r="38" spans="1:11" s="210" customFormat="1" hidden="1">
      <c r="A38" s="207" t="s">
        <v>557</v>
      </c>
      <c r="B38" s="207" t="s">
        <v>613</v>
      </c>
      <c r="C38" s="211">
        <v>0.75</v>
      </c>
      <c r="D38" s="211">
        <v>0.05</v>
      </c>
      <c r="E38" s="208"/>
      <c r="F38" s="208"/>
      <c r="G38" s="208" t="s">
        <v>38</v>
      </c>
      <c r="H38" s="208"/>
      <c r="I38" s="209"/>
      <c r="J38" s="209"/>
      <c r="K38" s="208"/>
    </row>
    <row r="39" spans="1:11" s="210" customFormat="1" hidden="1">
      <c r="A39" s="207" t="s">
        <v>557</v>
      </c>
      <c r="B39" s="207" t="s">
        <v>611</v>
      </c>
      <c r="C39" s="211">
        <v>0.9</v>
      </c>
      <c r="D39" s="211">
        <v>0.1</v>
      </c>
      <c r="E39" s="208"/>
      <c r="F39" s="208"/>
      <c r="G39" s="208" t="s">
        <v>38</v>
      </c>
      <c r="H39" s="208" t="s">
        <v>38</v>
      </c>
      <c r="I39" s="209"/>
      <c r="J39" s="209"/>
      <c r="K39" s="208"/>
    </row>
    <row r="40" spans="1:11" s="210" customFormat="1" hidden="1">
      <c r="A40" s="207" t="s">
        <v>557</v>
      </c>
      <c r="B40" s="207" t="s">
        <v>612</v>
      </c>
      <c r="C40" s="211">
        <v>0.8</v>
      </c>
      <c r="D40" s="211">
        <v>0.1</v>
      </c>
      <c r="E40" s="208"/>
      <c r="F40" s="208"/>
      <c r="G40" s="208" t="s">
        <v>38</v>
      </c>
      <c r="H40" s="208" t="s">
        <v>38</v>
      </c>
      <c r="I40" s="209"/>
      <c r="J40" s="209"/>
      <c r="K40" s="208"/>
    </row>
    <row r="41" spans="1:11" s="210" customFormat="1" hidden="1">
      <c r="A41" s="207" t="s">
        <v>557</v>
      </c>
      <c r="B41" s="207" t="s">
        <v>613</v>
      </c>
      <c r="C41" s="211">
        <v>0.75</v>
      </c>
      <c r="D41" s="211">
        <v>0.1</v>
      </c>
      <c r="E41" s="208"/>
      <c r="F41" s="208"/>
      <c r="G41" s="208" t="s">
        <v>38</v>
      </c>
      <c r="H41" s="208" t="s">
        <v>38</v>
      </c>
      <c r="I41" s="209"/>
      <c r="J41" s="209"/>
      <c r="K41" s="208"/>
    </row>
    <row r="42" spans="1:11" s="210" customFormat="1" hidden="1">
      <c r="A42" s="207" t="s">
        <v>557</v>
      </c>
      <c r="B42" s="207" t="s">
        <v>615</v>
      </c>
      <c r="C42" s="211">
        <v>0.75</v>
      </c>
      <c r="D42" s="211">
        <v>0.05</v>
      </c>
      <c r="E42" s="208"/>
      <c r="F42" s="208"/>
      <c r="G42" s="208" t="s">
        <v>38</v>
      </c>
      <c r="H42" s="208"/>
      <c r="I42" s="209"/>
      <c r="J42" s="209"/>
      <c r="K42" s="208"/>
    </row>
    <row r="43" spans="1:11" s="210" customFormat="1" hidden="1">
      <c r="A43" s="207" t="s">
        <v>557</v>
      </c>
      <c r="B43" s="207" t="s">
        <v>615</v>
      </c>
      <c r="C43" s="211">
        <v>0.75</v>
      </c>
      <c r="D43" s="211">
        <v>0.1</v>
      </c>
      <c r="E43" s="208"/>
      <c r="F43" s="208"/>
      <c r="G43" s="208"/>
      <c r="H43" s="208" t="s">
        <v>38</v>
      </c>
      <c r="I43" s="209"/>
      <c r="J43" s="209"/>
      <c r="K43" s="208"/>
    </row>
    <row r="44" spans="1:11" s="210" customFormat="1" hidden="1">
      <c r="A44" s="207" t="s">
        <v>557</v>
      </c>
      <c r="B44" s="207" t="s">
        <v>614</v>
      </c>
      <c r="C44" s="211">
        <v>0.7</v>
      </c>
      <c r="D44" s="211">
        <v>0.05</v>
      </c>
      <c r="E44" s="208"/>
      <c r="F44" s="208"/>
      <c r="G44" s="208" t="s">
        <v>38</v>
      </c>
      <c r="H44" s="208"/>
      <c r="I44" s="209"/>
      <c r="J44" s="209"/>
      <c r="K44" s="208"/>
    </row>
    <row r="45" spans="1:11" s="210" customFormat="1" hidden="1">
      <c r="A45" s="207" t="s">
        <v>557</v>
      </c>
      <c r="B45" s="207" t="s">
        <v>614</v>
      </c>
      <c r="C45" s="211">
        <v>0.7</v>
      </c>
      <c r="D45" s="211">
        <v>0.1</v>
      </c>
      <c r="E45" s="208"/>
      <c r="F45" s="208"/>
      <c r="G45" s="208"/>
      <c r="H45" s="208" t="s">
        <v>38</v>
      </c>
      <c r="I45" s="209"/>
      <c r="J45" s="209"/>
      <c r="K45" s="208"/>
    </row>
    <row r="46" spans="1:11" s="210" customFormat="1" hidden="1">
      <c r="A46" s="207" t="s">
        <v>557</v>
      </c>
      <c r="B46" s="207" t="s">
        <v>610</v>
      </c>
      <c r="C46" s="211">
        <v>0.6</v>
      </c>
      <c r="D46" s="211">
        <v>0.05</v>
      </c>
      <c r="E46" s="208"/>
      <c r="F46" s="208"/>
      <c r="G46" s="208" t="s">
        <v>38</v>
      </c>
      <c r="H46" s="208"/>
      <c r="I46" s="209"/>
      <c r="J46" s="209"/>
      <c r="K46" s="208"/>
    </row>
    <row r="47" spans="1:11" s="210" customFormat="1" hidden="1">
      <c r="A47" s="207" t="s">
        <v>557</v>
      </c>
      <c r="B47" s="207" t="s">
        <v>610</v>
      </c>
      <c r="C47" s="211">
        <v>0.6</v>
      </c>
      <c r="D47" s="211">
        <v>0.1</v>
      </c>
      <c r="E47" s="208"/>
      <c r="F47" s="208"/>
      <c r="G47" s="208"/>
      <c r="H47" s="208" t="s">
        <v>38</v>
      </c>
      <c r="I47" s="209"/>
      <c r="J47" s="209"/>
      <c r="K47" s="208"/>
    </row>
    <row r="48" spans="1:11" s="210" customFormat="1" hidden="1">
      <c r="A48" s="207" t="s">
        <v>557</v>
      </c>
      <c r="B48" s="207" t="s">
        <v>599</v>
      </c>
      <c r="C48" s="211">
        <v>1</v>
      </c>
      <c r="D48" s="211"/>
      <c r="E48" s="208"/>
      <c r="F48" s="208"/>
      <c r="G48" s="208"/>
      <c r="H48" s="208"/>
      <c r="I48" s="209"/>
      <c r="J48" s="209"/>
      <c r="K48" s="208"/>
    </row>
    <row r="49" spans="1:11" s="210" customFormat="1" hidden="1">
      <c r="A49" s="207" t="s">
        <v>557</v>
      </c>
      <c r="B49" s="207" t="s">
        <v>602</v>
      </c>
      <c r="C49" s="211">
        <v>1.3</v>
      </c>
      <c r="D49" s="211">
        <v>0.1</v>
      </c>
      <c r="E49" s="208"/>
      <c r="F49" s="208" t="s">
        <v>38</v>
      </c>
      <c r="G49" s="208"/>
      <c r="H49" s="208"/>
      <c r="I49" s="209"/>
      <c r="J49" s="209"/>
      <c r="K49" s="208"/>
    </row>
    <row r="50" spans="1:11" s="210" customFormat="1" hidden="1">
      <c r="A50" s="207" t="s">
        <v>557</v>
      </c>
      <c r="B50" s="207" t="s">
        <v>602</v>
      </c>
      <c r="C50" s="211">
        <v>1.3</v>
      </c>
      <c r="D50" s="211">
        <v>0.2</v>
      </c>
      <c r="E50" s="208"/>
      <c r="F50" s="208"/>
      <c r="G50" s="208" t="s">
        <v>38</v>
      </c>
      <c r="H50" s="208"/>
      <c r="I50" s="209"/>
      <c r="J50" s="209"/>
      <c r="K50" s="208"/>
    </row>
    <row r="51" spans="1:11" s="210" customFormat="1" hidden="1">
      <c r="A51" s="207" t="s">
        <v>557</v>
      </c>
      <c r="B51" s="207" t="s">
        <v>602</v>
      </c>
      <c r="C51" s="211">
        <v>1.3</v>
      </c>
      <c r="D51" s="211" t="s">
        <v>603</v>
      </c>
      <c r="E51" s="208"/>
      <c r="F51" s="208"/>
      <c r="G51" s="208"/>
      <c r="H51" s="208" t="s">
        <v>38</v>
      </c>
      <c r="I51" s="209"/>
      <c r="J51" s="209"/>
      <c r="K51" s="208"/>
    </row>
    <row r="52" spans="1:11" s="210" customFormat="1" hidden="1">
      <c r="A52" s="207" t="s">
        <v>616</v>
      </c>
      <c r="B52" s="207" t="s">
        <v>628</v>
      </c>
      <c r="C52" s="211">
        <v>0.5</v>
      </c>
      <c r="D52" s="211">
        <v>0.1</v>
      </c>
      <c r="E52" s="208"/>
      <c r="F52" s="208"/>
      <c r="G52" s="208"/>
      <c r="H52" s="208" t="s">
        <v>38</v>
      </c>
      <c r="I52" s="209"/>
      <c r="J52" s="209"/>
      <c r="K52" s="208"/>
    </row>
    <row r="53" spans="1:11" s="210" customFormat="1" hidden="1">
      <c r="A53" s="207" t="s">
        <v>616</v>
      </c>
      <c r="B53" s="207" t="s">
        <v>629</v>
      </c>
      <c r="C53" s="211">
        <v>0.5</v>
      </c>
      <c r="D53" s="211">
        <v>0.1</v>
      </c>
      <c r="E53" s="208"/>
      <c r="F53" s="208"/>
      <c r="G53" s="208"/>
      <c r="H53" s="208" t="s">
        <v>38</v>
      </c>
      <c r="I53" s="209"/>
      <c r="J53" s="209"/>
      <c r="K53" s="208"/>
    </row>
    <row r="54" spans="1:11" s="210" customFormat="1" hidden="1">
      <c r="A54" s="207" t="s">
        <v>616</v>
      </c>
      <c r="B54" s="207" t="s">
        <v>630</v>
      </c>
      <c r="C54" s="211">
        <v>0.5</v>
      </c>
      <c r="D54" s="211">
        <v>0.1</v>
      </c>
      <c r="E54" s="208"/>
      <c r="F54" s="208"/>
      <c r="G54" s="208"/>
      <c r="H54" s="208" t="s">
        <v>38</v>
      </c>
      <c r="I54" s="209"/>
      <c r="J54" s="209"/>
      <c r="K54" s="208"/>
    </row>
    <row r="55" spans="1:11" s="210" customFormat="1" hidden="1">
      <c r="A55" s="207" t="s">
        <v>616</v>
      </c>
      <c r="B55" s="207" t="s">
        <v>631</v>
      </c>
      <c r="C55" s="211">
        <v>0.4</v>
      </c>
      <c r="D55" s="211">
        <v>0.1</v>
      </c>
      <c r="E55" s="208"/>
      <c r="F55" s="208"/>
      <c r="G55" s="208"/>
      <c r="H55" s="208" t="s">
        <v>38</v>
      </c>
      <c r="I55" s="209"/>
      <c r="J55" s="209"/>
      <c r="K55" s="208"/>
    </row>
    <row r="56" spans="1:11" s="210" customFormat="1" hidden="1">
      <c r="A56" s="207" t="s">
        <v>616</v>
      </c>
      <c r="B56" s="207" t="s">
        <v>632</v>
      </c>
      <c r="C56" s="211">
        <v>0.5</v>
      </c>
      <c r="D56" s="211">
        <v>0.1</v>
      </c>
      <c r="E56" s="208"/>
      <c r="F56" s="208"/>
      <c r="G56" s="208"/>
      <c r="H56" s="208" t="s">
        <v>38</v>
      </c>
      <c r="I56" s="209"/>
      <c r="J56" s="209"/>
      <c r="K56" s="208"/>
    </row>
    <row r="57" spans="1:11" s="210" customFormat="1" hidden="1">
      <c r="A57" s="207" t="s">
        <v>616</v>
      </c>
      <c r="B57" s="207" t="s">
        <v>633</v>
      </c>
      <c r="C57" s="211">
        <v>0.5</v>
      </c>
      <c r="D57" s="211">
        <v>0.1</v>
      </c>
      <c r="E57" s="208"/>
      <c r="F57" s="208"/>
      <c r="G57" s="208"/>
      <c r="H57" s="208" t="s">
        <v>38</v>
      </c>
      <c r="I57" s="209"/>
      <c r="J57" s="209"/>
      <c r="K57" s="208"/>
    </row>
    <row r="58" spans="1:11" s="210" customFormat="1" hidden="1">
      <c r="A58" s="207" t="s">
        <v>616</v>
      </c>
      <c r="B58" s="207" t="s">
        <v>634</v>
      </c>
      <c r="C58" s="211">
        <v>0.3</v>
      </c>
      <c r="D58" s="211">
        <v>0.1</v>
      </c>
      <c r="E58" s="208"/>
      <c r="F58" s="208"/>
      <c r="G58" s="208"/>
      <c r="H58" s="208" t="s">
        <v>38</v>
      </c>
      <c r="I58" s="209"/>
      <c r="J58" s="209"/>
      <c r="K58" s="208"/>
    </row>
    <row r="59" spans="1:11" s="210" customFormat="1" hidden="1">
      <c r="A59" s="207" t="s">
        <v>616</v>
      </c>
      <c r="B59" s="207" t="s">
        <v>599</v>
      </c>
      <c r="C59" s="211">
        <v>0.85</v>
      </c>
      <c r="D59" s="211">
        <v>0.1</v>
      </c>
      <c r="E59" s="208"/>
      <c r="F59" s="208"/>
      <c r="G59" s="208" t="s">
        <v>38</v>
      </c>
      <c r="H59" s="208"/>
      <c r="I59" s="209"/>
      <c r="J59" s="209"/>
      <c r="K59" s="208"/>
    </row>
    <row r="60" spans="1:11" s="210" customFormat="1" hidden="1">
      <c r="A60" s="207" t="s">
        <v>616</v>
      </c>
      <c r="B60" s="207" t="s">
        <v>602</v>
      </c>
      <c r="C60" s="211">
        <v>1.1000000000000001</v>
      </c>
      <c r="D60" s="211">
        <v>0.1</v>
      </c>
      <c r="E60" s="208"/>
      <c r="F60" s="208" t="s">
        <v>38</v>
      </c>
      <c r="G60" s="208"/>
      <c r="H60" s="208"/>
      <c r="I60" s="209"/>
      <c r="J60" s="209"/>
      <c r="K60" s="208"/>
    </row>
    <row r="61" spans="1:11" s="210" customFormat="1" hidden="1">
      <c r="A61" s="207" t="s">
        <v>616</v>
      </c>
      <c r="B61" s="207" t="s">
        <v>602</v>
      </c>
      <c r="C61" s="211">
        <v>1.1000000000000001</v>
      </c>
      <c r="D61" s="211">
        <v>0.2</v>
      </c>
      <c r="E61" s="208"/>
      <c r="F61" s="208"/>
      <c r="G61" s="208" t="s">
        <v>38</v>
      </c>
      <c r="H61" s="208"/>
      <c r="I61" s="209"/>
      <c r="J61" s="209"/>
      <c r="K61" s="208"/>
    </row>
    <row r="62" spans="1:11" s="210" customFormat="1" hidden="1">
      <c r="A62" s="207" t="s">
        <v>616</v>
      </c>
      <c r="B62" s="207" t="s">
        <v>602</v>
      </c>
      <c r="C62" s="211">
        <v>1.1000000000000001</v>
      </c>
      <c r="D62" s="211" t="s">
        <v>603</v>
      </c>
      <c r="E62" s="208"/>
      <c r="F62" s="208"/>
      <c r="G62" s="208"/>
      <c r="H62" s="208" t="s">
        <v>38</v>
      </c>
      <c r="I62" s="209"/>
      <c r="J62" s="209"/>
      <c r="K62" s="208"/>
    </row>
    <row r="63" spans="1:11" hidden="1">
      <c r="A63" t="s">
        <v>412</v>
      </c>
      <c r="B63" t="s">
        <v>419</v>
      </c>
      <c r="C63" s="192">
        <v>0.65</v>
      </c>
      <c r="D63" s="192">
        <v>0.1</v>
      </c>
      <c r="H63" s="189" t="s">
        <v>38</v>
      </c>
    </row>
    <row r="64" spans="1:11" hidden="1">
      <c r="A64" t="s">
        <v>412</v>
      </c>
      <c r="B64" t="s">
        <v>431</v>
      </c>
      <c r="C64" s="194">
        <v>30</v>
      </c>
      <c r="D64" s="189">
        <v>10</v>
      </c>
      <c r="H64" s="189" t="s">
        <v>38</v>
      </c>
    </row>
    <row r="65" spans="1:10" hidden="1">
      <c r="A65" t="s">
        <v>412</v>
      </c>
      <c r="B65" t="s">
        <v>432</v>
      </c>
      <c r="C65" s="194">
        <v>40</v>
      </c>
      <c r="D65" s="189">
        <v>10</v>
      </c>
      <c r="I65" s="189" t="s">
        <v>38</v>
      </c>
    </row>
    <row r="66" spans="1:10" hidden="1">
      <c r="A66" t="s">
        <v>412</v>
      </c>
      <c r="B66" t="s">
        <v>421</v>
      </c>
      <c r="C66" s="195">
        <v>0.6</v>
      </c>
      <c r="D66" s="192">
        <v>0.05</v>
      </c>
      <c r="H66" s="189" t="s">
        <v>38</v>
      </c>
    </row>
    <row r="67" spans="1:10" hidden="1">
      <c r="A67" t="s">
        <v>412</v>
      </c>
      <c r="B67" t="s">
        <v>422</v>
      </c>
      <c r="C67" s="195">
        <v>0.55000000000000004</v>
      </c>
      <c r="D67" s="192">
        <v>0.05</v>
      </c>
      <c r="H67" s="189" t="s">
        <v>38</v>
      </c>
    </row>
    <row r="68" spans="1:10" hidden="1">
      <c r="A68" t="s">
        <v>412</v>
      </c>
      <c r="B68" t="s">
        <v>425</v>
      </c>
      <c r="C68" s="192">
        <v>0.65</v>
      </c>
      <c r="D68" s="192">
        <v>0.05</v>
      </c>
      <c r="H68" s="189" t="s">
        <v>38</v>
      </c>
    </row>
    <row r="69" spans="1:10" hidden="1">
      <c r="A69" t="s">
        <v>412</v>
      </c>
      <c r="B69" t="s">
        <v>426</v>
      </c>
      <c r="C69" s="192">
        <v>0.55000000000000004</v>
      </c>
      <c r="D69" s="192">
        <v>0.05</v>
      </c>
      <c r="H69" s="189" t="s">
        <v>38</v>
      </c>
    </row>
    <row r="70" spans="1:10" hidden="1">
      <c r="A70" t="s">
        <v>412</v>
      </c>
      <c r="B70" t="s">
        <v>427</v>
      </c>
      <c r="C70" s="192">
        <v>0.65</v>
      </c>
      <c r="D70" s="192"/>
      <c r="I70" s="189" t="s">
        <v>38</v>
      </c>
    </row>
    <row r="71" spans="1:10" hidden="1">
      <c r="A71" t="s">
        <v>412</v>
      </c>
      <c r="B71" t="s">
        <v>428</v>
      </c>
      <c r="C71" s="192">
        <v>0.6</v>
      </c>
      <c r="D71" s="192"/>
      <c r="I71" s="189" t="s">
        <v>38</v>
      </c>
    </row>
    <row r="72" spans="1:10" hidden="1">
      <c r="A72" t="s">
        <v>412</v>
      </c>
      <c r="B72" t="s">
        <v>429</v>
      </c>
      <c r="C72" s="192">
        <v>0.7</v>
      </c>
      <c r="D72" s="192"/>
      <c r="I72" s="189" t="s">
        <v>38</v>
      </c>
    </row>
    <row r="73" spans="1:10" hidden="1">
      <c r="A73" t="s">
        <v>412</v>
      </c>
      <c r="B73" t="s">
        <v>430</v>
      </c>
      <c r="C73" s="192">
        <v>0.6</v>
      </c>
      <c r="D73" s="192"/>
      <c r="I73" s="189" t="s">
        <v>38</v>
      </c>
    </row>
    <row r="74" spans="1:10" hidden="1">
      <c r="A74" t="s">
        <v>412</v>
      </c>
      <c r="B74" t="s">
        <v>434</v>
      </c>
      <c r="C74" s="189">
        <v>2.5</v>
      </c>
      <c r="D74" s="189">
        <v>0.5</v>
      </c>
      <c r="H74" s="189" t="s">
        <v>38</v>
      </c>
    </row>
    <row r="75" spans="1:10" hidden="1">
      <c r="A75" t="s">
        <v>412</v>
      </c>
      <c r="B75" t="s">
        <v>435</v>
      </c>
      <c r="C75" s="189">
        <v>1.5</v>
      </c>
      <c r="H75" s="189" t="s">
        <v>38</v>
      </c>
    </row>
    <row r="76" spans="1:10" hidden="1">
      <c r="A76" t="s">
        <v>412</v>
      </c>
      <c r="B76" t="s">
        <v>420</v>
      </c>
      <c r="C76" s="189">
        <v>3</v>
      </c>
      <c r="I76" s="189" t="s">
        <v>38</v>
      </c>
    </row>
    <row r="77" spans="1:10" hidden="1">
      <c r="A77" t="s">
        <v>412</v>
      </c>
      <c r="B77" t="s">
        <v>480</v>
      </c>
      <c r="C77" s="189">
        <v>20</v>
      </c>
      <c r="J77" s="189" t="s">
        <v>38</v>
      </c>
    </row>
    <row r="78" spans="1:10" hidden="1">
      <c r="A78" t="s">
        <v>412</v>
      </c>
      <c r="B78" t="s">
        <v>433</v>
      </c>
      <c r="C78" s="189">
        <v>15</v>
      </c>
      <c r="J78" s="189" t="s">
        <v>38</v>
      </c>
    </row>
    <row r="79" spans="1:10" hidden="1">
      <c r="A79" t="s">
        <v>412</v>
      </c>
      <c r="B79" t="s">
        <v>437</v>
      </c>
      <c r="C79" s="192">
        <v>0.1</v>
      </c>
      <c r="J79" s="189" t="s">
        <v>38</v>
      </c>
    </row>
    <row r="80" spans="1:10" hidden="1">
      <c r="A80" t="s">
        <v>412</v>
      </c>
      <c r="B80" t="s">
        <v>436</v>
      </c>
      <c r="C80" s="192">
        <v>7.0000000000000007E-2</v>
      </c>
      <c r="J80" s="189" t="s">
        <v>38</v>
      </c>
    </row>
    <row r="81" spans="1:10" hidden="1">
      <c r="A81" t="s">
        <v>412</v>
      </c>
      <c r="B81" t="s">
        <v>438</v>
      </c>
      <c r="C81" s="192">
        <v>0.1</v>
      </c>
      <c r="H81" s="189" t="s">
        <v>38</v>
      </c>
    </row>
    <row r="82" spans="1:10" hidden="1">
      <c r="A82" t="s">
        <v>412</v>
      </c>
      <c r="B82" t="s">
        <v>439</v>
      </c>
      <c r="C82" s="189">
        <v>6</v>
      </c>
      <c r="J82" s="189" t="s">
        <v>38</v>
      </c>
    </row>
    <row r="83" spans="1:10" hidden="1">
      <c r="A83" t="s">
        <v>457</v>
      </c>
      <c r="B83" t="s">
        <v>440</v>
      </c>
      <c r="C83" s="192">
        <v>1.3</v>
      </c>
      <c r="D83" s="192">
        <v>0.2</v>
      </c>
      <c r="H83" s="189" t="s">
        <v>38</v>
      </c>
    </row>
    <row r="84" spans="1:10" hidden="1">
      <c r="A84" t="s">
        <v>457</v>
      </c>
      <c r="B84" t="s">
        <v>431</v>
      </c>
      <c r="C84" s="194">
        <v>30</v>
      </c>
      <c r="D84" s="189">
        <v>10</v>
      </c>
      <c r="H84" s="189" t="s">
        <v>38</v>
      </c>
    </row>
    <row r="85" spans="1:10" hidden="1">
      <c r="A85" t="s">
        <v>457</v>
      </c>
      <c r="B85" t="s">
        <v>432</v>
      </c>
      <c r="C85" s="194">
        <v>40</v>
      </c>
      <c r="D85" s="189">
        <v>10</v>
      </c>
      <c r="I85" s="189" t="s">
        <v>38</v>
      </c>
    </row>
    <row r="86" spans="1:10" hidden="1">
      <c r="A86" t="s">
        <v>457</v>
      </c>
      <c r="B86" t="s">
        <v>441</v>
      </c>
      <c r="C86" s="195">
        <v>0.6</v>
      </c>
      <c r="D86" s="192">
        <v>0.05</v>
      </c>
      <c r="H86" s="189" t="s">
        <v>38</v>
      </c>
    </row>
    <row r="87" spans="1:10" hidden="1">
      <c r="A87" t="s">
        <v>457</v>
      </c>
      <c r="B87" t="s">
        <v>458</v>
      </c>
      <c r="C87" s="195">
        <v>0.5</v>
      </c>
      <c r="D87" s="192">
        <v>0.05</v>
      </c>
      <c r="H87" s="189" t="s">
        <v>38</v>
      </c>
    </row>
    <row r="88" spans="1:10" hidden="1">
      <c r="A88" t="s">
        <v>457</v>
      </c>
      <c r="B88" t="s">
        <v>446</v>
      </c>
      <c r="C88" s="192">
        <v>0.65</v>
      </c>
      <c r="D88" s="192">
        <v>0.05</v>
      </c>
      <c r="H88" s="189" t="s">
        <v>38</v>
      </c>
    </row>
    <row r="89" spans="1:10" hidden="1">
      <c r="A89" t="s">
        <v>457</v>
      </c>
      <c r="B89" t="s">
        <v>447</v>
      </c>
      <c r="C89" s="192">
        <v>0.55000000000000004</v>
      </c>
      <c r="D89" s="192">
        <v>0.05</v>
      </c>
      <c r="H89" s="189" t="s">
        <v>38</v>
      </c>
    </row>
    <row r="90" spans="1:10" hidden="1">
      <c r="A90" t="s">
        <v>457</v>
      </c>
      <c r="B90" t="s">
        <v>443</v>
      </c>
      <c r="C90" s="192">
        <v>0.65</v>
      </c>
      <c r="D90" s="192"/>
      <c r="I90" s="189" t="s">
        <v>38</v>
      </c>
    </row>
    <row r="91" spans="1:10" hidden="1">
      <c r="A91" t="s">
        <v>457</v>
      </c>
      <c r="B91" t="s">
        <v>459</v>
      </c>
      <c r="C91" s="192">
        <v>0.55000000000000004</v>
      </c>
      <c r="D91" s="192"/>
      <c r="I91" s="189" t="s">
        <v>38</v>
      </c>
    </row>
    <row r="92" spans="1:10" hidden="1">
      <c r="A92" t="s">
        <v>457</v>
      </c>
      <c r="B92" t="s">
        <v>444</v>
      </c>
      <c r="C92" s="192">
        <v>0.7</v>
      </c>
      <c r="D92" s="192"/>
      <c r="I92" s="189" t="s">
        <v>38</v>
      </c>
    </row>
    <row r="93" spans="1:10" hidden="1">
      <c r="A93" t="s">
        <v>457</v>
      </c>
      <c r="B93" t="s">
        <v>445</v>
      </c>
      <c r="C93" s="192">
        <v>0.6</v>
      </c>
      <c r="D93" s="192"/>
      <c r="I93" s="189" t="s">
        <v>38</v>
      </c>
    </row>
    <row r="94" spans="1:10" hidden="1">
      <c r="A94" t="s">
        <v>457</v>
      </c>
      <c r="B94" t="s">
        <v>442</v>
      </c>
      <c r="C94" s="195">
        <v>0.6</v>
      </c>
      <c r="D94" s="192">
        <v>0.05</v>
      </c>
      <c r="G94" s="189" t="s">
        <v>38</v>
      </c>
    </row>
    <row r="95" spans="1:10" hidden="1">
      <c r="A95" t="s">
        <v>457</v>
      </c>
      <c r="B95" t="s">
        <v>460</v>
      </c>
      <c r="C95" s="195">
        <v>0.5</v>
      </c>
      <c r="D95" s="192">
        <v>0.05</v>
      </c>
      <c r="G95" s="189" t="s">
        <v>38</v>
      </c>
    </row>
    <row r="96" spans="1:10" hidden="1">
      <c r="A96" t="s">
        <v>457</v>
      </c>
      <c r="B96" t="s">
        <v>448</v>
      </c>
      <c r="C96" s="192">
        <v>0.65</v>
      </c>
      <c r="D96" s="192">
        <v>0.05</v>
      </c>
      <c r="G96" s="189" t="s">
        <v>38</v>
      </c>
    </row>
    <row r="97" spans="1:10" hidden="1">
      <c r="A97" t="s">
        <v>457</v>
      </c>
      <c r="B97" t="s">
        <v>449</v>
      </c>
      <c r="C97" s="192">
        <v>0.55000000000000004</v>
      </c>
      <c r="D97" s="192">
        <v>0.05</v>
      </c>
      <c r="G97" s="189" t="s">
        <v>38</v>
      </c>
    </row>
    <row r="98" spans="1:10" hidden="1">
      <c r="A98" t="s">
        <v>457</v>
      </c>
      <c r="B98" t="s">
        <v>452</v>
      </c>
      <c r="C98" s="195">
        <v>0.65</v>
      </c>
      <c r="D98" s="192">
        <v>0.05</v>
      </c>
      <c r="H98" s="189" t="s">
        <v>38</v>
      </c>
    </row>
    <row r="99" spans="1:10" hidden="1">
      <c r="A99" t="s">
        <v>457</v>
      </c>
      <c r="B99" t="s">
        <v>461</v>
      </c>
      <c r="C99" s="195">
        <v>0.55000000000000004</v>
      </c>
      <c r="D99" s="192">
        <v>0.05</v>
      </c>
      <c r="H99" s="189" t="s">
        <v>38</v>
      </c>
    </row>
    <row r="100" spans="1:10" hidden="1">
      <c r="A100" t="s">
        <v>457</v>
      </c>
      <c r="B100" t="s">
        <v>450</v>
      </c>
      <c r="C100" s="192">
        <v>0.7</v>
      </c>
      <c r="D100" s="192">
        <v>0.05</v>
      </c>
      <c r="H100" s="189" t="s">
        <v>38</v>
      </c>
    </row>
    <row r="101" spans="1:10" hidden="1">
      <c r="A101" t="s">
        <v>457</v>
      </c>
      <c r="B101" t="s">
        <v>451</v>
      </c>
      <c r="C101" s="192">
        <v>0.6</v>
      </c>
      <c r="D101" s="192">
        <v>0.05</v>
      </c>
      <c r="H101" s="189" t="s">
        <v>38</v>
      </c>
    </row>
    <row r="102" spans="1:10" hidden="1">
      <c r="A102" t="s">
        <v>457</v>
      </c>
      <c r="B102" t="s">
        <v>454</v>
      </c>
      <c r="C102" s="195">
        <v>0.7</v>
      </c>
      <c r="D102" s="192">
        <v>0.05</v>
      </c>
      <c r="I102" s="189" t="s">
        <v>38</v>
      </c>
    </row>
    <row r="103" spans="1:10" hidden="1">
      <c r="A103" t="s">
        <v>457</v>
      </c>
      <c r="B103" t="s">
        <v>453</v>
      </c>
      <c r="C103" s="195">
        <v>0.6</v>
      </c>
      <c r="D103" s="192">
        <v>0.05</v>
      </c>
      <c r="I103" s="189" t="s">
        <v>38</v>
      </c>
    </row>
    <row r="104" spans="1:10" hidden="1">
      <c r="A104" t="s">
        <v>457</v>
      </c>
      <c r="B104" t="s">
        <v>455</v>
      </c>
      <c r="C104" s="192">
        <v>0.75</v>
      </c>
      <c r="D104" s="192">
        <v>0.05</v>
      </c>
      <c r="I104" s="189" t="s">
        <v>38</v>
      </c>
    </row>
    <row r="105" spans="1:10" hidden="1">
      <c r="A105" t="s">
        <v>457</v>
      </c>
      <c r="B105" t="s">
        <v>456</v>
      </c>
      <c r="C105" s="192">
        <v>0.65</v>
      </c>
      <c r="D105" s="192">
        <v>0.05</v>
      </c>
      <c r="I105" s="189" t="s">
        <v>38</v>
      </c>
    </row>
    <row r="106" spans="1:10" hidden="1">
      <c r="A106" t="s">
        <v>457</v>
      </c>
      <c r="B106" t="s">
        <v>462</v>
      </c>
      <c r="C106" s="189">
        <v>4</v>
      </c>
      <c r="H106" s="189" t="s">
        <v>38</v>
      </c>
    </row>
    <row r="107" spans="1:10" hidden="1">
      <c r="A107" t="s">
        <v>481</v>
      </c>
      <c r="B107" t="s">
        <v>482</v>
      </c>
      <c r="C107" s="192">
        <v>1.3</v>
      </c>
      <c r="J107" s="189" t="s">
        <v>38</v>
      </c>
    </row>
    <row r="108" spans="1:10" hidden="1">
      <c r="A108" t="s">
        <v>481</v>
      </c>
      <c r="B108" t="s">
        <v>484</v>
      </c>
      <c r="C108" s="192">
        <v>1.1000000000000001</v>
      </c>
      <c r="J108" s="189" t="s">
        <v>38</v>
      </c>
    </row>
    <row r="109" spans="1:10" hidden="1">
      <c r="A109" t="s">
        <v>481</v>
      </c>
      <c r="B109" t="s">
        <v>483</v>
      </c>
      <c r="C109" s="192">
        <v>1</v>
      </c>
      <c r="J109" s="189" t="s">
        <v>38</v>
      </c>
    </row>
    <row r="110" spans="1:10" hidden="1">
      <c r="A110" t="s">
        <v>481</v>
      </c>
      <c r="B110" t="s">
        <v>485</v>
      </c>
      <c r="C110" s="192">
        <v>1</v>
      </c>
      <c r="J110" s="189" t="s">
        <v>38</v>
      </c>
    </row>
    <row r="111" spans="1:10" hidden="1">
      <c r="A111" t="s">
        <v>481</v>
      </c>
      <c r="B111" t="s">
        <v>486</v>
      </c>
      <c r="C111" s="192">
        <v>1.2</v>
      </c>
      <c r="J111" s="189" t="s">
        <v>38</v>
      </c>
    </row>
    <row r="112" spans="1:10" hidden="1">
      <c r="A112" t="s">
        <v>481</v>
      </c>
      <c r="B112" t="s">
        <v>487</v>
      </c>
      <c r="C112" s="192">
        <v>1.3</v>
      </c>
      <c r="J112" s="189" t="s">
        <v>38</v>
      </c>
    </row>
    <row r="113" spans="1:10" hidden="1">
      <c r="A113" t="s">
        <v>481</v>
      </c>
      <c r="B113" t="s">
        <v>488</v>
      </c>
      <c r="C113" s="192">
        <v>1.1499999999999999</v>
      </c>
      <c r="J113" s="189" t="s">
        <v>38</v>
      </c>
    </row>
    <row r="114" spans="1:10" hidden="1">
      <c r="A114" t="s">
        <v>481</v>
      </c>
      <c r="B114" t="s">
        <v>489</v>
      </c>
      <c r="C114" s="192">
        <v>1.25</v>
      </c>
      <c r="J114" s="189" t="s">
        <v>38</v>
      </c>
    </row>
    <row r="115" spans="1:10" hidden="1">
      <c r="A115" t="s">
        <v>481</v>
      </c>
      <c r="B115" t="s">
        <v>433</v>
      </c>
      <c r="C115" s="189">
        <v>20</v>
      </c>
      <c r="J115" s="189" t="s">
        <v>38</v>
      </c>
    </row>
    <row r="116" spans="1:10" hidden="1">
      <c r="A116" t="s">
        <v>481</v>
      </c>
      <c r="B116" t="s">
        <v>480</v>
      </c>
      <c r="C116" s="189">
        <v>15</v>
      </c>
      <c r="J116" s="189" t="s">
        <v>38</v>
      </c>
    </row>
    <row r="117" spans="1:10" hidden="1">
      <c r="A117" t="s">
        <v>481</v>
      </c>
      <c r="B117" t="s">
        <v>490</v>
      </c>
      <c r="C117" s="189">
        <v>12</v>
      </c>
      <c r="J117" s="189" t="s">
        <v>38</v>
      </c>
    </row>
    <row r="118" spans="1:10" hidden="1">
      <c r="A118" t="s">
        <v>481</v>
      </c>
      <c r="B118" t="s">
        <v>431</v>
      </c>
      <c r="C118" s="194">
        <v>30</v>
      </c>
      <c r="D118" s="189">
        <v>10</v>
      </c>
      <c r="H118" s="189" t="s">
        <v>38</v>
      </c>
    </row>
    <row r="119" spans="1:10" hidden="1">
      <c r="A119" t="s">
        <v>481</v>
      </c>
      <c r="B119" t="s">
        <v>432</v>
      </c>
      <c r="C119" s="194">
        <v>40</v>
      </c>
      <c r="D119" s="189">
        <v>10</v>
      </c>
      <c r="I119" s="189" t="s">
        <v>38</v>
      </c>
    </row>
    <row r="120" spans="1:10" hidden="1">
      <c r="A120" t="s">
        <v>481</v>
      </c>
      <c r="B120" t="s">
        <v>491</v>
      </c>
      <c r="C120" s="195">
        <v>0.9</v>
      </c>
      <c r="D120" s="192">
        <v>0.05</v>
      </c>
      <c r="H120" s="189" t="s">
        <v>38</v>
      </c>
    </row>
    <row r="121" spans="1:10" hidden="1">
      <c r="A121" t="s">
        <v>481</v>
      </c>
      <c r="B121" t="s">
        <v>492</v>
      </c>
      <c r="C121" s="195">
        <v>0.8</v>
      </c>
      <c r="D121" s="192">
        <v>0.05</v>
      </c>
      <c r="H121" s="189" t="s">
        <v>38</v>
      </c>
    </row>
    <row r="122" spans="1:10" hidden="1">
      <c r="A122" t="s">
        <v>481</v>
      </c>
      <c r="B122" t="s">
        <v>493</v>
      </c>
      <c r="C122" s="192">
        <v>0.75</v>
      </c>
      <c r="D122" s="192">
        <v>0.05</v>
      </c>
      <c r="H122" s="189" t="s">
        <v>38</v>
      </c>
    </row>
    <row r="123" spans="1:10" hidden="1">
      <c r="A123" t="s">
        <v>481</v>
      </c>
      <c r="B123" t="s">
        <v>494</v>
      </c>
      <c r="C123" s="192">
        <v>0.8</v>
      </c>
      <c r="D123" s="192">
        <v>0.05</v>
      </c>
      <c r="H123" s="189" t="s">
        <v>38</v>
      </c>
    </row>
    <row r="124" spans="1:10" hidden="1">
      <c r="A124" t="s">
        <v>481</v>
      </c>
      <c r="B124" t="s">
        <v>495</v>
      </c>
      <c r="C124" s="192">
        <v>0.75</v>
      </c>
      <c r="D124" s="192">
        <v>0.05</v>
      </c>
      <c r="H124" s="189" t="s">
        <v>38</v>
      </c>
    </row>
    <row r="125" spans="1:10" hidden="1">
      <c r="A125" t="s">
        <v>481</v>
      </c>
      <c r="B125" t="s">
        <v>496</v>
      </c>
      <c r="C125" s="192">
        <v>0.75</v>
      </c>
      <c r="D125" s="192">
        <v>0.05</v>
      </c>
      <c r="H125" s="189" t="s">
        <v>38</v>
      </c>
    </row>
    <row r="126" spans="1:10" hidden="1">
      <c r="A126" t="s">
        <v>481</v>
      </c>
      <c r="B126" t="s">
        <v>497</v>
      </c>
      <c r="C126" s="192">
        <v>0.7</v>
      </c>
      <c r="D126" s="192">
        <v>0.05</v>
      </c>
      <c r="H126" s="189" t="s">
        <v>38</v>
      </c>
    </row>
    <row r="127" spans="1:10" hidden="1">
      <c r="A127" t="s">
        <v>481</v>
      </c>
      <c r="B127" t="s">
        <v>498</v>
      </c>
      <c r="C127" s="195">
        <v>0.95</v>
      </c>
      <c r="D127" s="192"/>
      <c r="I127" s="189" t="s">
        <v>38</v>
      </c>
    </row>
    <row r="128" spans="1:10" hidden="1">
      <c r="A128" t="s">
        <v>481</v>
      </c>
      <c r="B128" t="s">
        <v>499</v>
      </c>
      <c r="C128" s="195">
        <v>0.85</v>
      </c>
      <c r="D128" s="192"/>
      <c r="I128" s="189" t="s">
        <v>38</v>
      </c>
    </row>
    <row r="129" spans="1:10" hidden="1">
      <c r="A129" t="s">
        <v>481</v>
      </c>
      <c r="B129" t="s">
        <v>500</v>
      </c>
      <c r="C129" s="192">
        <v>0.8</v>
      </c>
      <c r="D129" s="192"/>
      <c r="I129" s="189" t="s">
        <v>38</v>
      </c>
    </row>
    <row r="130" spans="1:10" hidden="1">
      <c r="A130" t="s">
        <v>481</v>
      </c>
      <c r="B130" t="s">
        <v>501</v>
      </c>
      <c r="C130" s="192">
        <v>0.85</v>
      </c>
      <c r="D130" s="192"/>
      <c r="I130" s="189" t="s">
        <v>38</v>
      </c>
    </row>
    <row r="131" spans="1:10" hidden="1">
      <c r="A131" t="s">
        <v>481</v>
      </c>
      <c r="B131" t="s">
        <v>502</v>
      </c>
      <c r="C131" s="192">
        <v>0.8</v>
      </c>
      <c r="D131" s="192"/>
    </row>
    <row r="132" spans="1:10" hidden="1">
      <c r="A132" t="s">
        <v>481</v>
      </c>
      <c r="B132" t="s">
        <v>503</v>
      </c>
      <c r="C132" s="192">
        <v>0.8</v>
      </c>
      <c r="D132" s="192"/>
    </row>
    <row r="133" spans="1:10" hidden="1">
      <c r="A133" t="s">
        <v>481</v>
      </c>
      <c r="B133" t="s">
        <v>504</v>
      </c>
      <c r="C133" s="192">
        <v>0.75</v>
      </c>
      <c r="D133" s="192"/>
    </row>
    <row r="134" spans="1:10" hidden="1">
      <c r="A134" t="s">
        <v>463</v>
      </c>
      <c r="B134" t="s">
        <v>639</v>
      </c>
      <c r="C134" s="189">
        <v>3</v>
      </c>
    </row>
    <row r="135" spans="1:10" hidden="1">
      <c r="A135" t="s">
        <v>463</v>
      </c>
      <c r="B135" t="s">
        <v>639</v>
      </c>
      <c r="C135" s="189">
        <v>1.5</v>
      </c>
    </row>
    <row r="136" spans="1:10" hidden="1">
      <c r="A136" t="s">
        <v>463</v>
      </c>
      <c r="B136" t="s">
        <v>639</v>
      </c>
      <c r="C136" s="189">
        <v>3</v>
      </c>
      <c r="D136" s="189" t="s">
        <v>640</v>
      </c>
      <c r="J136" s="189" t="s">
        <v>38</v>
      </c>
    </row>
    <row r="137" spans="1:10" hidden="1">
      <c r="A137" t="s">
        <v>463</v>
      </c>
      <c r="B137" t="s">
        <v>464</v>
      </c>
      <c r="C137" s="189">
        <v>2</v>
      </c>
      <c r="H137" s="189" t="s">
        <v>38</v>
      </c>
    </row>
    <row r="138" spans="1:10" hidden="1">
      <c r="A138" t="s">
        <v>463</v>
      </c>
      <c r="B138" t="s">
        <v>465</v>
      </c>
      <c r="C138" s="189">
        <v>1</v>
      </c>
      <c r="H138" s="189" t="s">
        <v>38</v>
      </c>
    </row>
    <row r="139" spans="1:10" hidden="1">
      <c r="A139" t="s">
        <v>463</v>
      </c>
      <c r="B139" t="s">
        <v>641</v>
      </c>
      <c r="C139" s="192">
        <v>0.7</v>
      </c>
    </row>
    <row r="140" spans="1:10" hidden="1">
      <c r="A140" t="s">
        <v>463</v>
      </c>
      <c r="B140" t="s">
        <v>470</v>
      </c>
      <c r="C140" s="192">
        <v>0.7</v>
      </c>
      <c r="D140" s="192">
        <v>0.05</v>
      </c>
      <c r="H140" s="189" t="s">
        <v>38</v>
      </c>
    </row>
    <row r="141" spans="1:10" hidden="1">
      <c r="A141" t="s">
        <v>463</v>
      </c>
      <c r="B141" t="s">
        <v>642</v>
      </c>
      <c r="C141" s="192">
        <v>0.7</v>
      </c>
      <c r="D141" s="192">
        <v>0.1</v>
      </c>
      <c r="I141" s="189" t="s">
        <v>38</v>
      </c>
    </row>
    <row r="142" spans="1:10" hidden="1">
      <c r="A142" t="s">
        <v>463</v>
      </c>
      <c r="B142" t="s">
        <v>643</v>
      </c>
      <c r="C142" s="192">
        <v>0.6</v>
      </c>
    </row>
    <row r="143" spans="1:10" hidden="1">
      <c r="A143" t="s">
        <v>463</v>
      </c>
      <c r="B143" t="s">
        <v>471</v>
      </c>
      <c r="C143" s="192">
        <v>0.6</v>
      </c>
      <c r="D143" s="192">
        <v>0.05</v>
      </c>
      <c r="H143" s="189" t="s">
        <v>38</v>
      </c>
    </row>
    <row r="144" spans="1:10" hidden="1">
      <c r="A144" t="s">
        <v>463</v>
      </c>
      <c r="B144" t="s">
        <v>644</v>
      </c>
      <c r="C144" s="192">
        <v>0.6</v>
      </c>
      <c r="D144" s="192">
        <v>0.1</v>
      </c>
      <c r="I144" s="189" t="s">
        <v>38</v>
      </c>
    </row>
    <row r="145" spans="1:9" hidden="1">
      <c r="A145" t="s">
        <v>463</v>
      </c>
      <c r="B145" t="s">
        <v>646</v>
      </c>
      <c r="C145" s="192">
        <v>0.55000000000000004</v>
      </c>
    </row>
    <row r="146" spans="1:9" hidden="1">
      <c r="A146" t="s">
        <v>463</v>
      </c>
      <c r="B146" t="s">
        <v>472</v>
      </c>
      <c r="C146" s="192">
        <v>0.5</v>
      </c>
      <c r="D146" s="192">
        <v>0.05</v>
      </c>
      <c r="H146" s="189" t="s">
        <v>38</v>
      </c>
    </row>
    <row r="147" spans="1:9" hidden="1">
      <c r="A147" t="s">
        <v>463</v>
      </c>
      <c r="B147" t="s">
        <v>645</v>
      </c>
      <c r="C147" s="192">
        <v>0.5</v>
      </c>
      <c r="D147" s="192">
        <v>0.1</v>
      </c>
      <c r="I147" s="189" t="s">
        <v>38</v>
      </c>
    </row>
    <row r="148" spans="1:9" hidden="1">
      <c r="A148" t="s">
        <v>463</v>
      </c>
      <c r="B148" t="s">
        <v>647</v>
      </c>
      <c r="C148" s="192">
        <v>0.65</v>
      </c>
    </row>
    <row r="149" spans="1:9" hidden="1">
      <c r="A149" t="s">
        <v>463</v>
      </c>
      <c r="B149" t="s">
        <v>648</v>
      </c>
      <c r="C149" s="192">
        <v>0.65</v>
      </c>
      <c r="D149" s="192">
        <v>0.05</v>
      </c>
      <c r="H149" s="189" t="s">
        <v>38</v>
      </c>
    </row>
    <row r="150" spans="1:9" hidden="1">
      <c r="A150" t="s">
        <v>463</v>
      </c>
      <c r="B150" t="s">
        <v>649</v>
      </c>
      <c r="C150" s="192">
        <v>0.65</v>
      </c>
      <c r="D150" s="192">
        <v>0.1</v>
      </c>
      <c r="I150" s="189" t="s">
        <v>38</v>
      </c>
    </row>
    <row r="151" spans="1:9" hidden="1">
      <c r="A151" t="s">
        <v>463</v>
      </c>
      <c r="B151" t="s">
        <v>468</v>
      </c>
      <c r="C151" s="192">
        <v>0.7</v>
      </c>
      <c r="I151" s="189" t="s">
        <v>38</v>
      </c>
    </row>
    <row r="152" spans="1:9" hidden="1">
      <c r="A152" t="s">
        <v>463</v>
      </c>
      <c r="B152" t="s">
        <v>431</v>
      </c>
      <c r="C152" s="194">
        <v>30</v>
      </c>
      <c r="D152" s="189">
        <v>10</v>
      </c>
      <c r="H152" s="189" t="s">
        <v>38</v>
      </c>
    </row>
    <row r="153" spans="1:9" hidden="1">
      <c r="A153" t="s">
        <v>463</v>
      </c>
      <c r="B153" t="s">
        <v>432</v>
      </c>
      <c r="C153" s="194">
        <v>40</v>
      </c>
      <c r="D153" s="189">
        <v>10</v>
      </c>
      <c r="I153" s="189" t="s">
        <v>38</v>
      </c>
    </row>
    <row r="154" spans="1:9" hidden="1">
      <c r="A154" t="s">
        <v>463</v>
      </c>
      <c r="B154" t="s">
        <v>469</v>
      </c>
      <c r="C154" s="189">
        <v>36</v>
      </c>
      <c r="I154" s="189" t="s">
        <v>38</v>
      </c>
    </row>
    <row r="155" spans="1:9" hidden="1">
      <c r="A155" t="s">
        <v>463</v>
      </c>
      <c r="B155" t="s">
        <v>474</v>
      </c>
      <c r="C155" s="189">
        <v>3</v>
      </c>
      <c r="D155" s="189">
        <v>2</v>
      </c>
      <c r="H155" s="189" t="s">
        <v>38</v>
      </c>
    </row>
    <row r="156" spans="1:9" hidden="1">
      <c r="A156" t="s">
        <v>463</v>
      </c>
      <c r="B156" t="s">
        <v>475</v>
      </c>
      <c r="C156" s="189">
        <v>1</v>
      </c>
      <c r="H156" s="189" t="s">
        <v>38</v>
      </c>
    </row>
    <row r="157" spans="1:9" hidden="1">
      <c r="A157" t="s">
        <v>463</v>
      </c>
      <c r="B157" t="s">
        <v>476</v>
      </c>
      <c r="C157" s="189">
        <v>3</v>
      </c>
      <c r="H157" s="189" t="s">
        <v>38</v>
      </c>
    </row>
    <row r="158" spans="1:9" hidden="1">
      <c r="A158" t="s">
        <v>463</v>
      </c>
      <c r="B158" t="s">
        <v>477</v>
      </c>
      <c r="C158" s="189">
        <v>2</v>
      </c>
      <c r="G158" s="189" t="s">
        <v>38</v>
      </c>
    </row>
    <row r="159" spans="1:9" hidden="1">
      <c r="A159" t="s">
        <v>463</v>
      </c>
      <c r="B159" t="s">
        <v>478</v>
      </c>
      <c r="C159" s="189">
        <v>1</v>
      </c>
      <c r="F159" s="189" t="s">
        <v>38</v>
      </c>
    </row>
    <row r="160" spans="1:9" hidden="1">
      <c r="A160" t="s">
        <v>463</v>
      </c>
      <c r="B160" t="s">
        <v>479</v>
      </c>
      <c r="C160" s="189">
        <v>0</v>
      </c>
    </row>
    <row r="161" spans="1:10" hidden="1">
      <c r="A161" t="s">
        <v>463</v>
      </c>
      <c r="B161" t="s">
        <v>433</v>
      </c>
      <c r="C161" s="189">
        <v>15</v>
      </c>
      <c r="J161" s="189" t="s">
        <v>38</v>
      </c>
    </row>
    <row r="162" spans="1:10" hidden="1">
      <c r="A162" t="s">
        <v>463</v>
      </c>
      <c r="B162" t="s">
        <v>480</v>
      </c>
      <c r="C162" s="189">
        <v>20</v>
      </c>
      <c r="J162" s="189" t="s">
        <v>38</v>
      </c>
    </row>
    <row r="163" spans="1:10" hidden="1">
      <c r="A163" t="s">
        <v>463</v>
      </c>
      <c r="B163" t="s">
        <v>462</v>
      </c>
      <c r="C163" s="189">
        <v>4</v>
      </c>
      <c r="J163" s="189" t="s">
        <v>38</v>
      </c>
    </row>
    <row r="164" spans="1:10">
      <c r="A164" t="s">
        <v>542</v>
      </c>
      <c r="B164" t="s">
        <v>543</v>
      </c>
      <c r="C164" s="189">
        <v>3</v>
      </c>
      <c r="I164" s="189" t="s">
        <v>38</v>
      </c>
    </row>
    <row r="165" spans="1:10">
      <c r="A165" t="s">
        <v>542</v>
      </c>
      <c r="B165" t="s">
        <v>544</v>
      </c>
      <c r="C165" s="192">
        <v>0.5</v>
      </c>
      <c r="I165" s="189" t="s">
        <v>38</v>
      </c>
    </row>
    <row r="166" spans="1:10">
      <c r="A166" t="s">
        <v>542</v>
      </c>
      <c r="B166" t="s">
        <v>545</v>
      </c>
      <c r="C166" s="189">
        <v>5</v>
      </c>
      <c r="I166" s="189" t="s">
        <v>38</v>
      </c>
    </row>
    <row r="167" spans="1:10" hidden="1">
      <c r="A167" t="s">
        <v>410</v>
      </c>
      <c r="B167" t="s">
        <v>505</v>
      </c>
      <c r="C167" s="189">
        <v>15</v>
      </c>
      <c r="J167" s="189" t="s">
        <v>38</v>
      </c>
    </row>
    <row r="168" spans="1:10" hidden="1">
      <c r="A168" t="s">
        <v>410</v>
      </c>
      <c r="B168" t="s">
        <v>480</v>
      </c>
      <c r="C168" s="189">
        <v>20</v>
      </c>
      <c r="J168" s="189" t="s">
        <v>38</v>
      </c>
    </row>
    <row r="169" spans="1:10" hidden="1">
      <c r="A169" t="s">
        <v>410</v>
      </c>
      <c r="B169" t="s">
        <v>506</v>
      </c>
      <c r="C169" s="189">
        <v>10</v>
      </c>
      <c r="J169" s="189" t="s">
        <v>38</v>
      </c>
    </row>
    <row r="170" spans="1:10" hidden="1">
      <c r="A170" t="s">
        <v>410</v>
      </c>
      <c r="B170" t="s">
        <v>507</v>
      </c>
      <c r="C170" s="189">
        <v>1.5</v>
      </c>
      <c r="J170" s="189" t="s">
        <v>38</v>
      </c>
    </row>
    <row r="171" spans="1:10" hidden="1">
      <c r="A171" t="s">
        <v>410</v>
      </c>
      <c r="B171" t="s">
        <v>508</v>
      </c>
      <c r="C171" s="189">
        <v>1.5</v>
      </c>
      <c r="J171" s="189" t="s">
        <v>38</v>
      </c>
    </row>
    <row r="172" spans="1:10" hidden="1">
      <c r="A172" t="s">
        <v>410</v>
      </c>
      <c r="B172" t="s">
        <v>509</v>
      </c>
      <c r="C172" s="189">
        <v>1.5</v>
      </c>
      <c r="J172" s="189" t="s">
        <v>38</v>
      </c>
    </row>
    <row r="173" spans="1:10" hidden="1">
      <c r="A173" t="s">
        <v>410</v>
      </c>
      <c r="B173" t="s">
        <v>510</v>
      </c>
      <c r="C173" s="189">
        <v>2</v>
      </c>
      <c r="J173" s="189" t="s">
        <v>38</v>
      </c>
    </row>
    <row r="174" spans="1:10" hidden="1">
      <c r="A174" t="s">
        <v>410</v>
      </c>
      <c r="B174" t="s">
        <v>511</v>
      </c>
      <c r="C174" s="189">
        <v>12</v>
      </c>
      <c r="J174" s="189" t="s">
        <v>38</v>
      </c>
    </row>
    <row r="175" spans="1:10" hidden="1">
      <c r="A175" t="s">
        <v>410</v>
      </c>
      <c r="B175" t="s">
        <v>512</v>
      </c>
      <c r="C175" s="189">
        <v>6</v>
      </c>
      <c r="J175" s="189" t="s">
        <v>38</v>
      </c>
    </row>
    <row r="176" spans="1:10" hidden="1">
      <c r="A176" t="s">
        <v>410</v>
      </c>
      <c r="B176" t="s">
        <v>470</v>
      </c>
      <c r="C176" s="192">
        <v>0.7</v>
      </c>
      <c r="D176" s="192">
        <v>0.05</v>
      </c>
      <c r="H176" s="189" t="s">
        <v>38</v>
      </c>
    </row>
    <row r="177" spans="1:11" hidden="1">
      <c r="A177" t="s">
        <v>410</v>
      </c>
      <c r="B177" t="s">
        <v>473</v>
      </c>
      <c r="C177" s="192">
        <v>0.65</v>
      </c>
      <c r="D177" s="192">
        <v>0.05</v>
      </c>
      <c r="H177" s="189" t="s">
        <v>38</v>
      </c>
    </row>
    <row r="178" spans="1:11" hidden="1">
      <c r="A178" t="s">
        <v>410</v>
      </c>
      <c r="B178" t="s">
        <v>467</v>
      </c>
      <c r="C178" s="192">
        <v>0.75</v>
      </c>
      <c r="I178" s="189" t="s">
        <v>38</v>
      </c>
    </row>
    <row r="179" spans="1:11" hidden="1">
      <c r="A179" t="s">
        <v>410</v>
      </c>
      <c r="B179" t="s">
        <v>468</v>
      </c>
      <c r="C179" s="192">
        <v>0.7</v>
      </c>
      <c r="I179" s="189" t="s">
        <v>38</v>
      </c>
    </row>
    <row r="180" spans="1:11" hidden="1">
      <c r="A180" t="s">
        <v>410</v>
      </c>
      <c r="B180" t="s">
        <v>513</v>
      </c>
      <c r="C180" s="194">
        <v>30</v>
      </c>
      <c r="D180" s="189">
        <v>10</v>
      </c>
      <c r="H180" s="189" t="s">
        <v>38</v>
      </c>
    </row>
    <row r="181" spans="1:11" hidden="1">
      <c r="A181" t="s">
        <v>410</v>
      </c>
      <c r="B181" t="s">
        <v>514</v>
      </c>
      <c r="C181" s="194">
        <v>40</v>
      </c>
      <c r="D181" s="189">
        <v>10</v>
      </c>
      <c r="I181" s="189" t="s">
        <v>38</v>
      </c>
    </row>
    <row r="182" spans="1:11" hidden="1">
      <c r="A182" t="s">
        <v>410</v>
      </c>
      <c r="B182" t="s">
        <v>515</v>
      </c>
      <c r="C182" s="189">
        <v>3</v>
      </c>
      <c r="D182" s="189">
        <v>2</v>
      </c>
      <c r="H182" s="189" t="s">
        <v>38</v>
      </c>
    </row>
    <row r="183" spans="1:11" hidden="1">
      <c r="A183" t="s">
        <v>410</v>
      </c>
      <c r="B183" t="s">
        <v>516</v>
      </c>
      <c r="C183" s="189">
        <v>1</v>
      </c>
      <c r="H183" s="189" t="s">
        <v>38</v>
      </c>
    </row>
    <row r="184" spans="1:11" hidden="1">
      <c r="A184" t="s">
        <v>410</v>
      </c>
      <c r="B184" t="s">
        <v>517</v>
      </c>
      <c r="C184" s="189">
        <v>3</v>
      </c>
      <c r="H184" s="189" t="s">
        <v>38</v>
      </c>
    </row>
    <row r="185" spans="1:11" hidden="1">
      <c r="A185" t="s">
        <v>410</v>
      </c>
      <c r="B185" t="s">
        <v>518</v>
      </c>
      <c r="C185" s="189">
        <v>2</v>
      </c>
      <c r="G185" s="189" t="s">
        <v>38</v>
      </c>
    </row>
    <row r="186" spans="1:11" hidden="1">
      <c r="A186" t="s">
        <v>410</v>
      </c>
      <c r="B186" t="s">
        <v>519</v>
      </c>
      <c r="C186" s="189">
        <v>1</v>
      </c>
      <c r="F186" s="189" t="s">
        <v>38</v>
      </c>
    </row>
    <row r="187" spans="1:11" hidden="1">
      <c r="A187" t="s">
        <v>520</v>
      </c>
      <c r="B187" t="s">
        <v>521</v>
      </c>
      <c r="C187" s="194">
        <v>10</v>
      </c>
      <c r="D187" s="189">
        <v>20</v>
      </c>
      <c r="H187" s="189" t="s">
        <v>38</v>
      </c>
    </row>
    <row r="188" spans="1:11" hidden="1">
      <c r="A188" t="s">
        <v>520</v>
      </c>
      <c r="B188" t="s">
        <v>523</v>
      </c>
      <c r="C188" s="194">
        <v>10</v>
      </c>
      <c r="H188" s="189" t="s">
        <v>38</v>
      </c>
      <c r="K188" s="189" t="s">
        <v>38</v>
      </c>
    </row>
    <row r="189" spans="1:11" hidden="1">
      <c r="A189" t="s">
        <v>524</v>
      </c>
      <c r="B189" t="s">
        <v>525</v>
      </c>
      <c r="C189" s="189">
        <v>0.5</v>
      </c>
      <c r="F189" s="189" t="s">
        <v>38</v>
      </c>
    </row>
    <row r="190" spans="1:11" hidden="1">
      <c r="A190" t="s">
        <v>524</v>
      </c>
      <c r="B190" t="s">
        <v>526</v>
      </c>
      <c r="C190" s="189">
        <v>5</v>
      </c>
      <c r="D190" s="189">
        <v>0.5</v>
      </c>
      <c r="F190" s="189" t="s">
        <v>38</v>
      </c>
    </row>
    <row r="191" spans="1:11" hidden="1">
      <c r="A191" t="s">
        <v>524</v>
      </c>
      <c r="B191" t="s">
        <v>527</v>
      </c>
      <c r="C191" s="192">
        <v>0.45</v>
      </c>
      <c r="D191" s="192">
        <v>0.05</v>
      </c>
      <c r="F191" s="189" t="s">
        <v>38</v>
      </c>
    </row>
    <row r="192" spans="1:11" hidden="1">
      <c r="A192" t="s">
        <v>524</v>
      </c>
      <c r="B192" t="s">
        <v>528</v>
      </c>
      <c r="C192" s="192">
        <v>0.5</v>
      </c>
      <c r="D192" s="192">
        <v>0.05</v>
      </c>
      <c r="F192" s="189" t="s">
        <v>38</v>
      </c>
    </row>
    <row r="193" spans="1:11" hidden="1">
      <c r="A193" t="s">
        <v>524</v>
      </c>
      <c r="B193" t="s">
        <v>529</v>
      </c>
      <c r="C193" s="192">
        <v>0.55000000000000004</v>
      </c>
      <c r="D193" s="192">
        <v>0.05</v>
      </c>
      <c r="F193" s="189" t="s">
        <v>38</v>
      </c>
    </row>
    <row r="194" spans="1:11" hidden="1">
      <c r="A194" t="s">
        <v>524</v>
      </c>
      <c r="B194" t="s">
        <v>530</v>
      </c>
      <c r="C194" s="192">
        <v>0.5</v>
      </c>
      <c r="D194" s="192">
        <v>0.05</v>
      </c>
      <c r="F194" s="189" t="s">
        <v>38</v>
      </c>
    </row>
    <row r="195" spans="1:11" hidden="1">
      <c r="A195" t="s">
        <v>524</v>
      </c>
      <c r="B195" t="s">
        <v>531</v>
      </c>
      <c r="C195" s="192">
        <v>0.55000000000000004</v>
      </c>
      <c r="D195" s="192">
        <v>0.05</v>
      </c>
      <c r="F195" s="189" t="s">
        <v>38</v>
      </c>
    </row>
    <row r="196" spans="1:11" hidden="1">
      <c r="A196" t="s">
        <v>524</v>
      </c>
      <c r="B196" t="s">
        <v>532</v>
      </c>
      <c r="C196" s="192">
        <v>0.6</v>
      </c>
      <c r="D196" s="192">
        <v>0.05</v>
      </c>
      <c r="F196" s="189" t="s">
        <v>38</v>
      </c>
    </row>
    <row r="197" spans="1:11" hidden="1">
      <c r="A197" t="s">
        <v>524</v>
      </c>
      <c r="B197" t="s">
        <v>533</v>
      </c>
      <c r="C197" s="192">
        <v>0.65</v>
      </c>
      <c r="D197" s="192">
        <v>0.05</v>
      </c>
      <c r="F197" s="189" t="s">
        <v>38</v>
      </c>
    </row>
    <row r="198" spans="1:11" hidden="1">
      <c r="A198" t="s">
        <v>524</v>
      </c>
      <c r="B198" t="s">
        <v>534</v>
      </c>
      <c r="C198" s="192">
        <v>1</v>
      </c>
      <c r="D198" s="192">
        <v>0.05</v>
      </c>
      <c r="F198" s="189" t="s">
        <v>38</v>
      </c>
    </row>
    <row r="199" spans="1:11" hidden="1">
      <c r="A199" t="s">
        <v>524</v>
      </c>
      <c r="B199" t="s">
        <v>535</v>
      </c>
      <c r="C199" s="189">
        <v>12</v>
      </c>
      <c r="D199" s="189">
        <v>6</v>
      </c>
      <c r="F199" s="189" t="s">
        <v>38</v>
      </c>
    </row>
    <row r="200" spans="1:11" hidden="1">
      <c r="A200" t="s">
        <v>536</v>
      </c>
      <c r="B200" t="s">
        <v>537</v>
      </c>
      <c r="C200" s="189">
        <v>30</v>
      </c>
      <c r="D200" s="189">
        <v>20</v>
      </c>
      <c r="K200" s="189" t="s">
        <v>38</v>
      </c>
    </row>
    <row r="201" spans="1:11" hidden="1">
      <c r="A201" t="s">
        <v>536</v>
      </c>
      <c r="B201" t="s">
        <v>556</v>
      </c>
      <c r="C201" s="189">
        <v>5</v>
      </c>
      <c r="I201" s="189" t="s">
        <v>38</v>
      </c>
    </row>
    <row r="202" spans="1:11" hidden="1">
      <c r="A202" t="s">
        <v>538</v>
      </c>
      <c r="B202" t="s">
        <v>539</v>
      </c>
      <c r="C202" s="189">
        <v>20</v>
      </c>
      <c r="H202" s="189" t="s">
        <v>38</v>
      </c>
    </row>
    <row r="203" spans="1:11" hidden="1">
      <c r="A203" t="s">
        <v>538</v>
      </c>
      <c r="B203" t="s">
        <v>540</v>
      </c>
      <c r="C203" s="189">
        <v>10</v>
      </c>
      <c r="H203" s="189" t="s">
        <v>38</v>
      </c>
    </row>
    <row r="204" spans="1:11" hidden="1">
      <c r="A204" t="s">
        <v>538</v>
      </c>
      <c r="B204" t="s">
        <v>541</v>
      </c>
      <c r="C204" s="189">
        <v>30</v>
      </c>
      <c r="H204" s="189" t="s">
        <v>38</v>
      </c>
    </row>
    <row r="205" spans="1:11" hidden="1">
      <c r="A205" t="s">
        <v>546</v>
      </c>
      <c r="B205" t="s">
        <v>547</v>
      </c>
      <c r="C205" s="189">
        <v>7.5</v>
      </c>
      <c r="D205" s="189">
        <v>2.5</v>
      </c>
      <c r="I205" s="189" t="s">
        <v>38</v>
      </c>
    </row>
    <row r="206" spans="1:11" hidden="1">
      <c r="A206" t="s">
        <v>548</v>
      </c>
      <c r="B206" t="s">
        <v>549</v>
      </c>
      <c r="C206" s="189">
        <v>15</v>
      </c>
      <c r="H206" s="189" t="s">
        <v>38</v>
      </c>
    </row>
    <row r="207" spans="1:11" hidden="1">
      <c r="A207" t="s">
        <v>550</v>
      </c>
      <c r="B207" t="s">
        <v>551</v>
      </c>
      <c r="C207" s="192">
        <v>0.5</v>
      </c>
      <c r="D207" s="192">
        <v>0.05</v>
      </c>
      <c r="H207" s="189" t="s">
        <v>38</v>
      </c>
    </row>
    <row r="208" spans="1:11" hidden="1">
      <c r="A208" t="s">
        <v>550</v>
      </c>
      <c r="B208" t="s">
        <v>552</v>
      </c>
      <c r="C208" s="192">
        <v>0.55000000000000004</v>
      </c>
      <c r="I208" s="189" t="s">
        <v>38</v>
      </c>
    </row>
    <row r="209" spans="1:10" hidden="1">
      <c r="A209" t="s">
        <v>550</v>
      </c>
      <c r="B209" t="s">
        <v>554</v>
      </c>
      <c r="C209" s="197">
        <v>100</v>
      </c>
      <c r="J209" s="189" t="s">
        <v>38</v>
      </c>
    </row>
    <row r="210" spans="1:10" hidden="1">
      <c r="A210" t="s">
        <v>550</v>
      </c>
      <c r="B210" t="s">
        <v>555</v>
      </c>
      <c r="C210" s="197">
        <v>50</v>
      </c>
      <c r="D210" s="189">
        <v>50</v>
      </c>
      <c r="I210" s="189" t="s">
        <v>38</v>
      </c>
    </row>
    <row r="211" spans="1:10" hidden="1">
      <c r="A211" t="s">
        <v>550</v>
      </c>
      <c r="B211" t="s">
        <v>553</v>
      </c>
      <c r="C211" s="189">
        <v>10</v>
      </c>
      <c r="H211" s="189" t="s">
        <v>38</v>
      </c>
    </row>
  </sheetData>
  <autoFilter ref="A2:J211" xr:uid="{00000000-0009-0000-0000-000007000000}">
    <filterColumn colId="0">
      <filters>
        <filter val="GST"/>
      </filters>
    </filterColumn>
  </autoFilter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"/>
  <dimension ref="A1:N139"/>
  <sheetViews>
    <sheetView showGridLines="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N7" sqref="N7"/>
    </sheetView>
  </sheetViews>
  <sheetFormatPr defaultRowHeight="15"/>
  <cols>
    <col min="1" max="1" width="9.140625" style="248"/>
    <col min="2" max="2" width="42.28515625" style="281" customWidth="1"/>
    <col min="3" max="3" width="21" style="282" hidden="1" customWidth="1"/>
    <col min="4" max="4" width="19.5703125" style="282" hidden="1" customWidth="1"/>
    <col min="5" max="5" width="1.140625" style="282" hidden="1" customWidth="1"/>
    <col min="6" max="6" width="9.140625" style="282"/>
    <col min="7" max="7" width="10.42578125" style="282" customWidth="1"/>
    <col min="8" max="8" width="20.140625" style="282" bestFit="1" customWidth="1"/>
    <col min="9" max="9" width="16.85546875" style="282" customWidth="1"/>
    <col min="10" max="10" width="0.85546875" customWidth="1"/>
    <col min="12" max="12" width="10.5703125" customWidth="1"/>
    <col min="13" max="13" width="12" bestFit="1" customWidth="1"/>
  </cols>
  <sheetData>
    <row r="1" spans="1:14">
      <c r="A1" s="769" t="s">
        <v>676</v>
      </c>
      <c r="B1" s="769" t="s">
        <v>677</v>
      </c>
      <c r="C1" s="770" t="s">
        <v>678</v>
      </c>
      <c r="D1" s="770" t="s">
        <v>679</v>
      </c>
      <c r="E1" s="771"/>
      <c r="F1" s="772" t="s">
        <v>680</v>
      </c>
      <c r="G1" s="773"/>
      <c r="H1" s="773"/>
      <c r="I1" s="773"/>
      <c r="K1" s="772" t="s">
        <v>681</v>
      </c>
      <c r="L1" s="773"/>
      <c r="M1" s="773"/>
      <c r="N1" s="773"/>
    </row>
    <row r="2" spans="1:14">
      <c r="A2" s="769" t="s">
        <v>676</v>
      </c>
      <c r="B2" s="769"/>
      <c r="C2" s="770"/>
      <c r="D2" s="770"/>
      <c r="E2" s="771"/>
      <c r="F2" s="215" t="s">
        <v>682</v>
      </c>
      <c r="G2" s="215" t="s">
        <v>673</v>
      </c>
      <c r="H2" s="215" t="s">
        <v>683</v>
      </c>
      <c r="I2" s="215" t="s">
        <v>684</v>
      </c>
      <c r="K2" s="215" t="s">
        <v>682</v>
      </c>
      <c r="L2" s="215" t="s">
        <v>673</v>
      </c>
      <c r="M2" s="215" t="s">
        <v>675</v>
      </c>
      <c r="N2" s="215" t="s">
        <v>684</v>
      </c>
    </row>
    <row r="3" spans="1:14">
      <c r="A3" s="216">
        <v>1</v>
      </c>
      <c r="B3" s="217" t="s">
        <v>685</v>
      </c>
      <c r="C3" s="218"/>
      <c r="D3" s="218"/>
      <c r="E3" s="219"/>
      <c r="F3" s="218"/>
      <c r="G3" s="218"/>
      <c r="H3" s="220"/>
      <c r="I3" s="220"/>
      <c r="K3" s="221">
        <v>0.02</v>
      </c>
      <c r="L3" s="221">
        <v>0</v>
      </c>
      <c r="M3" s="221">
        <v>0.03</v>
      </c>
      <c r="N3" s="221">
        <v>0.06</v>
      </c>
    </row>
    <row r="4" spans="1:14">
      <c r="A4" s="216">
        <v>2</v>
      </c>
      <c r="B4" s="217" t="s">
        <v>686</v>
      </c>
      <c r="C4" s="222"/>
      <c r="D4" s="222"/>
      <c r="E4" s="219"/>
      <c r="F4" s="222"/>
      <c r="G4" s="222"/>
      <c r="H4" s="220"/>
      <c r="I4" s="220"/>
      <c r="K4" s="221">
        <v>0</v>
      </c>
      <c r="L4" s="221">
        <v>0</v>
      </c>
      <c r="M4" s="221">
        <v>0.03</v>
      </c>
      <c r="N4" s="221">
        <v>0.06</v>
      </c>
    </row>
    <row r="5" spans="1:14">
      <c r="A5" s="216">
        <v>3</v>
      </c>
      <c r="B5" s="217" t="s">
        <v>687</v>
      </c>
      <c r="C5" s="222"/>
      <c r="D5" s="222"/>
      <c r="E5" s="219"/>
      <c r="F5" s="222"/>
      <c r="G5" s="222"/>
      <c r="H5" s="220"/>
      <c r="I5" s="220"/>
      <c r="K5" s="221">
        <v>0</v>
      </c>
      <c r="L5" s="221">
        <v>0</v>
      </c>
      <c r="M5" s="221">
        <v>0.03</v>
      </c>
      <c r="N5" s="221">
        <v>0.06</v>
      </c>
    </row>
    <row r="6" spans="1:14">
      <c r="A6" s="216">
        <v>4</v>
      </c>
      <c r="B6" s="217" t="s">
        <v>688</v>
      </c>
      <c r="C6" s="222"/>
      <c r="D6" s="218"/>
      <c r="E6" s="219"/>
      <c r="F6" s="218"/>
      <c r="G6" s="218"/>
      <c r="H6" s="220"/>
      <c r="I6" s="220"/>
      <c r="K6" s="221">
        <v>0.02</v>
      </c>
      <c r="L6" s="221">
        <v>0</v>
      </c>
      <c r="M6" s="221">
        <v>0.03</v>
      </c>
      <c r="N6" s="221">
        <v>0.06</v>
      </c>
    </row>
    <row r="7" spans="1:14" ht="27">
      <c r="A7" s="216">
        <v>5</v>
      </c>
      <c r="B7" s="217" t="s">
        <v>689</v>
      </c>
      <c r="C7" s="218"/>
      <c r="D7" s="218"/>
      <c r="E7" s="219"/>
      <c r="F7" s="218"/>
      <c r="G7" s="218"/>
      <c r="H7" s="220"/>
      <c r="I7" s="223"/>
      <c r="K7" s="221">
        <v>0.02</v>
      </c>
      <c r="L7" s="221">
        <v>0</v>
      </c>
      <c r="M7" s="221">
        <v>0.03</v>
      </c>
      <c r="N7" s="221">
        <v>0.06</v>
      </c>
    </row>
    <row r="8" spans="1:14">
      <c r="A8" s="216">
        <v>6</v>
      </c>
      <c r="B8" s="217" t="s">
        <v>690</v>
      </c>
      <c r="C8" s="218"/>
      <c r="D8" s="218"/>
      <c r="E8" s="219"/>
      <c r="F8" s="218"/>
      <c r="G8" s="218"/>
      <c r="H8" s="220"/>
      <c r="I8" s="220"/>
      <c r="K8" s="221">
        <v>0.02</v>
      </c>
      <c r="L8" s="221">
        <v>0</v>
      </c>
      <c r="M8" s="221">
        <v>0.03</v>
      </c>
      <c r="N8" s="221">
        <v>0.06</v>
      </c>
    </row>
    <row r="9" spans="1:14">
      <c r="A9" s="216">
        <v>7</v>
      </c>
      <c r="B9" s="217" t="s">
        <v>691</v>
      </c>
      <c r="C9" s="222"/>
      <c r="D9" s="220"/>
      <c r="E9" s="219"/>
      <c r="F9" s="220"/>
      <c r="G9" s="220"/>
      <c r="H9" s="220"/>
      <c r="I9" s="220"/>
      <c r="K9" s="221">
        <v>0.05</v>
      </c>
      <c r="L9" s="221">
        <v>0</v>
      </c>
      <c r="M9" s="221">
        <v>0.03</v>
      </c>
      <c r="N9" s="221">
        <v>0.06</v>
      </c>
    </row>
    <row r="10" spans="1:14">
      <c r="A10" s="216">
        <v>8</v>
      </c>
      <c r="B10" s="217" t="s">
        <v>692</v>
      </c>
      <c r="C10" s="224"/>
      <c r="D10" s="225"/>
      <c r="E10" s="219"/>
      <c r="F10" s="220"/>
      <c r="G10" s="220"/>
      <c r="H10" s="219" t="s">
        <v>289</v>
      </c>
      <c r="I10" s="219" t="s">
        <v>289</v>
      </c>
      <c r="K10" s="221">
        <v>0.05</v>
      </c>
      <c r="L10" s="221">
        <v>0.06</v>
      </c>
      <c r="M10" s="221">
        <v>0</v>
      </c>
      <c r="N10" s="221">
        <v>0</v>
      </c>
    </row>
    <row r="11" spans="1:14">
      <c r="A11" s="216">
        <v>9</v>
      </c>
      <c r="B11" s="217" t="s">
        <v>693</v>
      </c>
      <c r="C11" s="222"/>
      <c r="D11" s="220"/>
      <c r="E11" s="219"/>
      <c r="F11" s="220"/>
      <c r="G11" s="220"/>
      <c r="H11" s="220"/>
      <c r="I11" s="220"/>
      <c r="K11" s="221">
        <v>0.05</v>
      </c>
      <c r="L11" s="221">
        <v>0.06</v>
      </c>
      <c r="M11" s="221">
        <v>0.03</v>
      </c>
      <c r="N11" s="221">
        <v>0.06</v>
      </c>
    </row>
    <row r="12" spans="1:14">
      <c r="A12" s="216">
        <v>10</v>
      </c>
      <c r="B12" s="217" t="s">
        <v>694</v>
      </c>
      <c r="C12" s="218"/>
      <c r="D12" s="218"/>
      <c r="E12" s="219"/>
      <c r="F12" s="218"/>
      <c r="G12" s="218"/>
      <c r="H12" s="219" t="s">
        <v>289</v>
      </c>
      <c r="I12" s="220"/>
      <c r="K12" s="221">
        <v>0.02</v>
      </c>
      <c r="L12" s="221">
        <v>0.01</v>
      </c>
      <c r="M12" s="221">
        <v>0</v>
      </c>
      <c r="N12" s="221">
        <v>0.06</v>
      </c>
    </row>
    <row r="13" spans="1:14" ht="27">
      <c r="A13" s="216">
        <v>11</v>
      </c>
      <c r="B13" s="217" t="s">
        <v>695</v>
      </c>
      <c r="C13" s="222"/>
      <c r="D13" s="220"/>
      <c r="E13" s="219"/>
      <c r="F13" s="220"/>
      <c r="G13" s="220"/>
      <c r="H13" s="219" t="s">
        <v>289</v>
      </c>
      <c r="I13" s="220"/>
      <c r="K13" s="221">
        <v>0.05</v>
      </c>
      <c r="L13" s="221">
        <v>0.06</v>
      </c>
      <c r="M13" s="221">
        <v>0</v>
      </c>
      <c r="N13" s="221">
        <v>0.06</v>
      </c>
    </row>
    <row r="14" spans="1:14">
      <c r="A14" s="216">
        <v>12</v>
      </c>
      <c r="B14" s="217" t="s">
        <v>696</v>
      </c>
      <c r="C14" s="222"/>
      <c r="D14" s="222"/>
      <c r="E14" s="219"/>
      <c r="F14" s="218"/>
      <c r="G14" s="218"/>
      <c r="H14" s="218"/>
      <c r="I14" s="222" t="s">
        <v>697</v>
      </c>
      <c r="K14" s="221">
        <v>0.02</v>
      </c>
      <c r="L14" s="221">
        <v>0.01</v>
      </c>
      <c r="M14" s="221">
        <v>0.02</v>
      </c>
      <c r="N14" s="221">
        <v>0.02</v>
      </c>
    </row>
    <row r="15" spans="1:14">
      <c r="A15" s="216">
        <v>13</v>
      </c>
      <c r="B15" s="217" t="s">
        <v>698</v>
      </c>
      <c r="C15" s="226" t="s">
        <v>699</v>
      </c>
      <c r="D15" s="226"/>
      <c r="E15" s="226"/>
      <c r="F15" s="226"/>
      <c r="G15" s="226"/>
      <c r="H15" s="226"/>
      <c r="I15" s="226"/>
      <c r="K15" s="221"/>
      <c r="L15" s="221"/>
      <c r="M15" s="221"/>
      <c r="N15" s="221"/>
    </row>
    <row r="16" spans="1:14">
      <c r="A16" s="227" t="s">
        <v>700</v>
      </c>
      <c r="B16" s="228" t="s">
        <v>701</v>
      </c>
      <c r="C16" s="222"/>
      <c r="D16" s="218"/>
      <c r="E16" s="219"/>
      <c r="F16" s="218"/>
      <c r="G16" s="218"/>
      <c r="H16" s="218"/>
      <c r="I16" s="218"/>
      <c r="K16" s="221">
        <v>0.02</v>
      </c>
      <c r="L16" s="221">
        <v>0.01</v>
      </c>
      <c r="M16" s="221">
        <v>0.02</v>
      </c>
      <c r="N16" s="221">
        <v>0.02</v>
      </c>
    </row>
    <row r="17" spans="1:14">
      <c r="A17" s="227" t="s">
        <v>702</v>
      </c>
      <c r="B17" s="228" t="s">
        <v>703</v>
      </c>
      <c r="C17" s="222"/>
      <c r="D17" s="218"/>
      <c r="E17" s="219"/>
      <c r="F17" s="218"/>
      <c r="G17" s="218"/>
      <c r="H17" s="218"/>
      <c r="I17" s="218"/>
      <c r="K17" s="221">
        <v>0.02</v>
      </c>
      <c r="L17" s="221">
        <v>0.01</v>
      </c>
      <c r="M17" s="221">
        <v>0.02</v>
      </c>
      <c r="N17" s="221">
        <v>0.02</v>
      </c>
    </row>
    <row r="18" spans="1:14">
      <c r="A18" s="227" t="s">
        <v>704</v>
      </c>
      <c r="B18" s="228" t="s">
        <v>705</v>
      </c>
      <c r="C18" s="222"/>
      <c r="D18" s="220"/>
      <c r="E18" s="219"/>
      <c r="F18" s="218"/>
      <c r="G18" s="218"/>
      <c r="H18" s="218"/>
      <c r="I18" s="218"/>
      <c r="K18" s="221">
        <v>0.02</v>
      </c>
      <c r="L18" s="221">
        <v>0.01</v>
      </c>
      <c r="M18" s="221">
        <v>0.02</v>
      </c>
      <c r="N18" s="221">
        <v>0.02</v>
      </c>
    </row>
    <row r="19" spans="1:14">
      <c r="A19" s="216">
        <v>14</v>
      </c>
      <c r="B19" s="217" t="s">
        <v>706</v>
      </c>
      <c r="C19" s="218"/>
      <c r="D19" s="220"/>
      <c r="E19" s="229"/>
      <c r="F19" s="220"/>
      <c r="G19" s="220"/>
      <c r="H19" s="220"/>
      <c r="I19" s="220"/>
      <c r="K19" s="221">
        <v>0.05</v>
      </c>
      <c r="L19" s="221">
        <v>0.06</v>
      </c>
      <c r="M19" s="221">
        <v>0.03</v>
      </c>
      <c r="N19" s="221">
        <v>0.06</v>
      </c>
    </row>
    <row r="20" spans="1:14">
      <c r="A20" s="216">
        <v>15</v>
      </c>
      <c r="B20" s="217" t="s">
        <v>707</v>
      </c>
      <c r="C20" s="218"/>
      <c r="D20" s="220"/>
      <c r="E20" s="229"/>
      <c r="F20" s="220"/>
      <c r="G20" s="220"/>
      <c r="H20" s="220"/>
      <c r="I20" s="220"/>
      <c r="K20" s="221">
        <v>0.05</v>
      </c>
      <c r="L20" s="221">
        <v>0.06</v>
      </c>
      <c r="M20" s="221">
        <v>0.03</v>
      </c>
      <c r="N20" s="221">
        <v>0.06</v>
      </c>
    </row>
    <row r="21" spans="1:14" ht="27">
      <c r="A21" s="216">
        <v>16</v>
      </c>
      <c r="B21" s="217" t="s">
        <v>708</v>
      </c>
      <c r="C21" s="218"/>
      <c r="D21" s="220"/>
      <c r="E21" s="219"/>
      <c r="F21" s="229" t="s">
        <v>289</v>
      </c>
      <c r="G21" s="229"/>
      <c r="H21" s="229" t="s">
        <v>289</v>
      </c>
      <c r="I21" s="220"/>
      <c r="K21" s="221">
        <v>0</v>
      </c>
      <c r="L21" s="221">
        <v>0</v>
      </c>
      <c r="M21" s="221">
        <v>0</v>
      </c>
      <c r="N21" s="221">
        <v>0.06</v>
      </c>
    </row>
    <row r="22" spans="1:14">
      <c r="A22" s="216">
        <v>17</v>
      </c>
      <c r="B22" s="217" t="s">
        <v>709</v>
      </c>
      <c r="C22" s="218"/>
      <c r="D22" s="218"/>
      <c r="E22" s="219"/>
      <c r="F22" s="218"/>
      <c r="G22" s="218"/>
      <c r="H22" s="218"/>
      <c r="I22" s="218"/>
      <c r="K22" s="221">
        <v>0.02</v>
      </c>
      <c r="L22" s="221">
        <v>0.01</v>
      </c>
      <c r="M22" s="221">
        <v>0.02</v>
      </c>
      <c r="N22" s="221">
        <v>0.02</v>
      </c>
    </row>
    <row r="23" spans="1:14">
      <c r="A23" s="216">
        <v>18</v>
      </c>
      <c r="B23" s="217" t="s">
        <v>710</v>
      </c>
      <c r="C23" s="218"/>
      <c r="D23" s="218"/>
      <c r="E23" s="219"/>
      <c r="F23" s="220"/>
      <c r="G23" s="220"/>
      <c r="H23" s="220"/>
      <c r="I23" s="223"/>
      <c r="K23" s="221">
        <v>0.05</v>
      </c>
      <c r="L23" s="221">
        <v>0.06</v>
      </c>
      <c r="M23" s="221">
        <v>0.03</v>
      </c>
      <c r="N23" s="221">
        <v>0.06</v>
      </c>
    </row>
    <row r="24" spans="1:14">
      <c r="A24" s="216">
        <v>19</v>
      </c>
      <c r="B24" s="217" t="s">
        <v>711</v>
      </c>
      <c r="C24" s="223"/>
      <c r="D24" s="223"/>
      <c r="E24" s="219"/>
      <c r="F24" s="219" t="s">
        <v>289</v>
      </c>
      <c r="G24" s="219"/>
      <c r="H24" s="219" t="s">
        <v>289</v>
      </c>
      <c r="I24" s="230" t="s">
        <v>712</v>
      </c>
      <c r="K24" s="221">
        <v>0</v>
      </c>
      <c r="L24" s="221">
        <v>0.06</v>
      </c>
      <c r="M24" s="221">
        <v>0</v>
      </c>
      <c r="N24" s="221">
        <v>0.06</v>
      </c>
    </row>
    <row r="25" spans="1:14" ht="27">
      <c r="A25" s="216">
        <v>20</v>
      </c>
      <c r="B25" s="217" t="s">
        <v>713</v>
      </c>
      <c r="C25" s="218"/>
      <c r="D25" s="220"/>
      <c r="E25" s="219"/>
      <c r="F25" s="219" t="s">
        <v>289</v>
      </c>
      <c r="G25" s="219"/>
      <c r="H25" s="220"/>
      <c r="I25" s="220"/>
      <c r="K25" s="221">
        <v>0</v>
      </c>
      <c r="L25" s="221">
        <v>0.06</v>
      </c>
      <c r="M25" s="221">
        <v>0.03</v>
      </c>
      <c r="N25" s="221">
        <v>0.06</v>
      </c>
    </row>
    <row r="26" spans="1:14">
      <c r="A26" s="216">
        <v>21</v>
      </c>
      <c r="B26" s="217" t="s">
        <v>714</v>
      </c>
      <c r="C26" s="218"/>
      <c r="D26" s="220"/>
      <c r="E26" s="219"/>
      <c r="F26" s="219" t="s">
        <v>289</v>
      </c>
      <c r="G26" s="219"/>
      <c r="H26" s="220"/>
      <c r="I26" s="219" t="s">
        <v>289</v>
      </c>
      <c r="K26" s="221">
        <v>0</v>
      </c>
      <c r="L26" s="221">
        <v>0.06</v>
      </c>
      <c r="M26" s="221">
        <v>0.03</v>
      </c>
      <c r="N26" s="221">
        <v>0</v>
      </c>
    </row>
    <row r="27" spans="1:14">
      <c r="A27" s="216">
        <v>22</v>
      </c>
      <c r="B27" s="217" t="s">
        <v>715</v>
      </c>
      <c r="C27" s="218"/>
      <c r="D27" s="218"/>
      <c r="E27" s="219"/>
      <c r="F27" s="219" t="s">
        <v>289</v>
      </c>
      <c r="G27" s="219"/>
      <c r="H27" s="219" t="s">
        <v>289</v>
      </c>
      <c r="I27" s="219" t="s">
        <v>289</v>
      </c>
      <c r="K27" s="221">
        <v>0</v>
      </c>
      <c r="L27" s="221">
        <v>0</v>
      </c>
      <c r="M27" s="221">
        <v>0</v>
      </c>
      <c r="N27" s="221">
        <v>0</v>
      </c>
    </row>
    <row r="28" spans="1:14">
      <c r="A28" s="216">
        <v>23</v>
      </c>
      <c r="B28" s="217" t="s">
        <v>716</v>
      </c>
      <c r="C28" s="218"/>
      <c r="D28" s="218"/>
      <c r="E28" s="219"/>
      <c r="F28" s="218"/>
      <c r="G28" s="218"/>
      <c r="H28" s="220"/>
      <c r="I28" s="220"/>
      <c r="K28" s="221">
        <v>0.02</v>
      </c>
      <c r="L28" s="221">
        <v>0</v>
      </c>
      <c r="M28" s="221">
        <v>0.03</v>
      </c>
      <c r="N28" s="221">
        <v>0.06</v>
      </c>
    </row>
    <row r="29" spans="1:14">
      <c r="A29" s="216">
        <v>24</v>
      </c>
      <c r="B29" s="217" t="s">
        <v>717</v>
      </c>
      <c r="C29" s="218"/>
      <c r="D29" s="218"/>
      <c r="E29" s="219"/>
      <c r="F29" s="218"/>
      <c r="G29" s="218"/>
      <c r="H29" s="220"/>
      <c r="I29" s="220"/>
      <c r="K29" s="221">
        <v>0.02</v>
      </c>
      <c r="L29" s="221">
        <v>0</v>
      </c>
      <c r="M29" s="221">
        <v>0.03</v>
      </c>
      <c r="N29" s="221">
        <v>0.06</v>
      </c>
    </row>
    <row r="30" spans="1:14">
      <c r="A30" s="216">
        <v>25</v>
      </c>
      <c r="B30" s="217" t="s">
        <v>718</v>
      </c>
      <c r="C30" s="218"/>
      <c r="D30" s="218"/>
      <c r="E30" s="219"/>
      <c r="F30" s="218"/>
      <c r="G30" s="218"/>
      <c r="H30" s="220"/>
      <c r="I30" s="220"/>
      <c r="K30" s="221">
        <v>0.02</v>
      </c>
      <c r="L30" s="221">
        <v>0</v>
      </c>
      <c r="M30" s="221">
        <v>0.03</v>
      </c>
      <c r="N30" s="221">
        <v>0.06</v>
      </c>
    </row>
    <row r="31" spans="1:14" ht="27">
      <c r="A31" s="216">
        <v>26</v>
      </c>
      <c r="B31" s="217" t="s">
        <v>719</v>
      </c>
      <c r="C31" s="218"/>
      <c r="D31" s="218"/>
      <c r="E31" s="219"/>
      <c r="F31" s="218"/>
      <c r="G31" s="218"/>
      <c r="H31" s="219" t="s">
        <v>289</v>
      </c>
      <c r="I31" s="219" t="s">
        <v>289</v>
      </c>
      <c r="K31" s="221">
        <v>0.02</v>
      </c>
      <c r="L31" s="221">
        <v>0</v>
      </c>
      <c r="M31" s="221">
        <v>0</v>
      </c>
      <c r="N31" s="221">
        <v>0</v>
      </c>
    </row>
    <row r="32" spans="1:14" ht="27">
      <c r="A32" s="216">
        <v>27</v>
      </c>
      <c r="B32" s="217" t="s">
        <v>720</v>
      </c>
      <c r="C32" s="218"/>
      <c r="D32" s="218"/>
      <c r="E32" s="219"/>
      <c r="F32" s="219" t="s">
        <v>289</v>
      </c>
      <c r="G32" s="219"/>
      <c r="H32" s="220"/>
      <c r="I32" s="220"/>
      <c r="K32" s="221">
        <v>0</v>
      </c>
      <c r="L32" s="221">
        <v>0</v>
      </c>
      <c r="M32" s="221">
        <v>0.03</v>
      </c>
      <c r="N32" s="221">
        <v>0.06</v>
      </c>
    </row>
    <row r="33" spans="1:14">
      <c r="A33" s="216">
        <v>28</v>
      </c>
      <c r="B33" s="217" t="s">
        <v>721</v>
      </c>
      <c r="C33" s="223"/>
      <c r="D33" s="230"/>
      <c r="E33" s="229"/>
      <c r="F33" s="230"/>
      <c r="G33" s="230"/>
      <c r="H33" s="230"/>
      <c r="I33" s="230"/>
      <c r="K33" s="221">
        <v>0.05</v>
      </c>
      <c r="L33" s="221">
        <v>0</v>
      </c>
      <c r="M33" s="221">
        <v>0.03</v>
      </c>
      <c r="N33" s="221">
        <v>0.06</v>
      </c>
    </row>
    <row r="34" spans="1:14">
      <c r="A34" s="216">
        <v>29</v>
      </c>
      <c r="B34" s="217" t="s">
        <v>722</v>
      </c>
      <c r="C34" s="223"/>
      <c r="D34" s="230"/>
      <c r="E34" s="229"/>
      <c r="F34" s="230"/>
      <c r="G34" s="230"/>
      <c r="H34" s="230"/>
      <c r="I34" s="230"/>
      <c r="K34" s="221">
        <v>0.05</v>
      </c>
      <c r="L34" s="221">
        <v>0</v>
      </c>
      <c r="M34" s="221">
        <v>0.03</v>
      </c>
      <c r="N34" s="221">
        <v>0.06</v>
      </c>
    </row>
    <row r="35" spans="1:14">
      <c r="A35" s="216">
        <v>30</v>
      </c>
      <c r="B35" s="217" t="s">
        <v>723</v>
      </c>
      <c r="C35" s="225"/>
      <c r="D35" s="230"/>
      <c r="E35" s="229"/>
      <c r="F35" s="230"/>
      <c r="G35" s="230"/>
      <c r="H35" s="230"/>
      <c r="I35" s="230"/>
      <c r="K35" s="221">
        <v>0.05</v>
      </c>
      <c r="L35" s="221">
        <v>0</v>
      </c>
      <c r="M35" s="221">
        <v>0.03</v>
      </c>
      <c r="N35" s="221">
        <v>0.06</v>
      </c>
    </row>
    <row r="36" spans="1:14">
      <c r="A36" s="216">
        <v>31</v>
      </c>
      <c r="B36" s="217" t="s">
        <v>724</v>
      </c>
      <c r="C36" s="231"/>
      <c r="D36" s="230"/>
      <c r="E36" s="229"/>
      <c r="F36" s="225"/>
      <c r="G36" s="225"/>
      <c r="H36" s="225"/>
      <c r="I36" s="225"/>
      <c r="K36" s="221">
        <v>0.05</v>
      </c>
      <c r="L36" s="221">
        <v>0</v>
      </c>
      <c r="M36" s="221">
        <v>0.03</v>
      </c>
      <c r="N36" s="221">
        <v>0.06</v>
      </c>
    </row>
    <row r="37" spans="1:14" ht="27">
      <c r="A37" s="216">
        <v>32</v>
      </c>
      <c r="B37" s="217" t="s">
        <v>725</v>
      </c>
      <c r="C37" s="225" t="s">
        <v>726</v>
      </c>
      <c r="D37" s="230"/>
      <c r="E37" s="229"/>
      <c r="F37" s="230"/>
      <c r="G37" s="230"/>
      <c r="H37" s="230"/>
      <c r="I37" s="230"/>
      <c r="K37" s="221">
        <v>0.05</v>
      </c>
      <c r="L37" s="221">
        <v>0</v>
      </c>
      <c r="M37" s="221">
        <v>0.03</v>
      </c>
      <c r="N37" s="221">
        <v>0.06</v>
      </c>
    </row>
    <row r="38" spans="1:14">
      <c r="A38" s="216">
        <v>33</v>
      </c>
      <c r="B38" s="217" t="s">
        <v>727</v>
      </c>
      <c r="C38" s="225"/>
      <c r="D38" s="230"/>
      <c r="E38" s="229"/>
      <c r="F38" s="230"/>
      <c r="G38" s="230"/>
      <c r="H38" s="225"/>
      <c r="I38" s="230"/>
      <c r="K38" s="221">
        <v>0.05</v>
      </c>
      <c r="L38" s="221">
        <v>0</v>
      </c>
      <c r="M38" s="221">
        <v>0.03</v>
      </c>
      <c r="N38" s="221">
        <v>0.06</v>
      </c>
    </row>
    <row r="39" spans="1:14">
      <c r="A39" s="216">
        <v>34</v>
      </c>
      <c r="B39" s="217" t="s">
        <v>728</v>
      </c>
      <c r="C39" s="232"/>
      <c r="D39" s="230"/>
      <c r="E39" s="219"/>
      <c r="F39" s="225"/>
      <c r="G39" s="225"/>
      <c r="H39" s="225"/>
      <c r="I39" s="225"/>
      <c r="K39" s="221">
        <v>0.05</v>
      </c>
      <c r="L39" s="221">
        <v>0</v>
      </c>
      <c r="M39" s="221">
        <v>0.03</v>
      </c>
      <c r="N39" s="221">
        <v>0.06</v>
      </c>
    </row>
    <row r="40" spans="1:14">
      <c r="A40" s="216">
        <v>35</v>
      </c>
      <c r="B40" s="217" t="s">
        <v>729</v>
      </c>
      <c r="C40" s="223"/>
      <c r="D40" s="230"/>
      <c r="E40" s="219"/>
      <c r="F40" s="225"/>
      <c r="G40" s="225"/>
      <c r="H40" s="230"/>
      <c r="I40" s="230"/>
      <c r="K40" s="221">
        <v>0.05</v>
      </c>
      <c r="L40" s="221">
        <v>0</v>
      </c>
      <c r="M40" s="221">
        <v>0.03</v>
      </c>
      <c r="N40" s="221">
        <v>0.06</v>
      </c>
    </row>
    <row r="41" spans="1:14">
      <c r="A41" s="216">
        <v>36</v>
      </c>
      <c r="B41" s="217" t="s">
        <v>730</v>
      </c>
      <c r="C41" s="231"/>
      <c r="D41" s="232"/>
      <c r="E41" s="229"/>
      <c r="F41" s="230"/>
      <c r="G41" s="230"/>
      <c r="H41" s="232"/>
      <c r="I41" s="232"/>
      <c r="K41" s="221">
        <v>0.05</v>
      </c>
      <c r="L41" s="221">
        <v>0</v>
      </c>
      <c r="M41" s="221">
        <v>0.03</v>
      </c>
      <c r="N41" s="221">
        <v>0.06</v>
      </c>
    </row>
    <row r="42" spans="1:14">
      <c r="A42" s="216">
        <v>37</v>
      </c>
      <c r="B42" s="217" t="s">
        <v>731</v>
      </c>
      <c r="C42" s="231"/>
      <c r="D42" s="230"/>
      <c r="E42" s="219"/>
      <c r="F42" s="232"/>
      <c r="G42" s="232"/>
      <c r="H42" s="232"/>
      <c r="I42" s="232"/>
      <c r="K42" s="221">
        <v>0.05</v>
      </c>
      <c r="L42" s="221">
        <v>0</v>
      </c>
      <c r="M42" s="221">
        <v>0.03</v>
      </c>
      <c r="N42" s="221">
        <v>0.06</v>
      </c>
    </row>
    <row r="43" spans="1:14">
      <c r="A43" s="216">
        <v>38</v>
      </c>
      <c r="B43" s="217" t="s">
        <v>732</v>
      </c>
      <c r="C43" s="233"/>
      <c r="D43" s="232"/>
      <c r="E43" s="219"/>
      <c r="F43" s="224"/>
      <c r="G43" s="224"/>
      <c r="H43" s="224"/>
      <c r="I43" s="224"/>
      <c r="K43" s="221">
        <v>0.02</v>
      </c>
      <c r="L43" s="221">
        <v>0</v>
      </c>
      <c r="M43" s="221">
        <v>0.02</v>
      </c>
      <c r="N43" s="221">
        <v>0.02</v>
      </c>
    </row>
    <row r="44" spans="1:14">
      <c r="A44" s="216">
        <v>39</v>
      </c>
      <c r="B44" s="217" t="s">
        <v>733</v>
      </c>
      <c r="C44" s="232"/>
      <c r="D44" s="232"/>
      <c r="E44" s="219"/>
      <c r="F44" s="225"/>
      <c r="G44" s="225"/>
      <c r="H44" s="225"/>
      <c r="I44" s="225"/>
      <c r="K44" s="221">
        <v>0.05</v>
      </c>
      <c r="L44" s="221">
        <v>0</v>
      </c>
      <c r="M44" s="221">
        <v>0.03</v>
      </c>
      <c r="N44" s="221">
        <v>0.06</v>
      </c>
    </row>
    <row r="45" spans="1:14">
      <c r="A45" s="216">
        <v>40</v>
      </c>
      <c r="B45" s="217" t="s">
        <v>734</v>
      </c>
      <c r="C45" s="233"/>
      <c r="D45" s="232"/>
      <c r="E45" s="219"/>
      <c r="F45" s="232"/>
      <c r="G45" s="232"/>
      <c r="H45" s="233"/>
      <c r="I45" s="233"/>
      <c r="K45" s="221">
        <v>0.05</v>
      </c>
      <c r="L45" s="221">
        <v>0</v>
      </c>
      <c r="M45" s="221">
        <v>0.02</v>
      </c>
      <c r="N45" s="221">
        <v>0.02</v>
      </c>
    </row>
    <row r="46" spans="1:14">
      <c r="A46" s="216">
        <v>41</v>
      </c>
      <c r="B46" s="217" t="s">
        <v>735</v>
      </c>
      <c r="C46" s="232"/>
      <c r="D46" s="230"/>
      <c r="E46" s="219"/>
      <c r="F46" s="234" t="s">
        <v>289</v>
      </c>
      <c r="G46" s="234"/>
      <c r="H46" s="234" t="s">
        <v>289</v>
      </c>
      <c r="I46" s="234" t="s">
        <v>289</v>
      </c>
      <c r="K46" s="221">
        <v>0</v>
      </c>
      <c r="L46" s="221">
        <v>0</v>
      </c>
      <c r="M46" s="221">
        <v>0</v>
      </c>
      <c r="N46" s="221">
        <v>0</v>
      </c>
    </row>
    <row r="47" spans="1:14" ht="27">
      <c r="A47" s="216">
        <v>42</v>
      </c>
      <c r="B47" s="217" t="s">
        <v>736</v>
      </c>
      <c r="C47" s="232"/>
      <c r="D47" s="235"/>
      <c r="E47" s="219"/>
      <c r="F47" s="225"/>
      <c r="G47" s="225"/>
      <c r="H47" s="225"/>
      <c r="I47" s="225"/>
      <c r="K47" s="221">
        <v>0.05</v>
      </c>
      <c r="L47" s="221">
        <v>0</v>
      </c>
      <c r="M47" s="221">
        <v>0.03</v>
      </c>
      <c r="N47" s="221">
        <v>0.06</v>
      </c>
    </row>
    <row r="48" spans="1:14" ht="27">
      <c r="A48" s="216">
        <v>43</v>
      </c>
      <c r="B48" s="217" t="s">
        <v>737</v>
      </c>
      <c r="C48" s="223"/>
      <c r="D48" s="223"/>
      <c r="E48" s="219"/>
      <c r="F48" s="223"/>
      <c r="G48" s="223"/>
      <c r="H48" s="223"/>
      <c r="I48" s="223"/>
      <c r="K48" s="221">
        <v>0.05</v>
      </c>
      <c r="L48" s="221">
        <v>0</v>
      </c>
      <c r="M48" s="221">
        <v>0.03</v>
      </c>
      <c r="N48" s="221">
        <v>0.06</v>
      </c>
    </row>
    <row r="49" spans="1:14" ht="54">
      <c r="A49" s="216">
        <v>44</v>
      </c>
      <c r="B49" s="217" t="s">
        <v>738</v>
      </c>
      <c r="C49" s="236"/>
      <c r="D49" s="236"/>
      <c r="E49" s="219"/>
      <c r="F49" s="236"/>
      <c r="G49" s="236"/>
      <c r="H49" s="236"/>
      <c r="I49" s="236"/>
      <c r="K49" s="221">
        <v>0.02</v>
      </c>
      <c r="L49" s="221">
        <v>0</v>
      </c>
      <c r="M49" s="221">
        <v>0.02</v>
      </c>
      <c r="N49" s="221">
        <v>0.02</v>
      </c>
    </row>
    <row r="50" spans="1:14">
      <c r="A50" s="227" t="s">
        <v>739</v>
      </c>
      <c r="B50" s="217" t="s">
        <v>740</v>
      </c>
      <c r="C50" s="236"/>
      <c r="D50" s="236"/>
      <c r="E50" s="219"/>
      <c r="F50" s="237"/>
      <c r="G50" s="237"/>
      <c r="H50" s="237"/>
      <c r="I50" s="237"/>
      <c r="K50" s="221">
        <v>0.05</v>
      </c>
      <c r="L50" s="221">
        <v>0</v>
      </c>
      <c r="M50" s="221">
        <v>0.03</v>
      </c>
      <c r="N50" s="221">
        <v>0.06</v>
      </c>
    </row>
    <row r="51" spans="1:14">
      <c r="A51" s="227" t="s">
        <v>741</v>
      </c>
      <c r="B51" s="217" t="s">
        <v>742</v>
      </c>
      <c r="C51" s="236"/>
      <c r="D51" s="236"/>
      <c r="E51" s="219"/>
      <c r="F51" s="237"/>
      <c r="G51" s="237"/>
      <c r="H51" s="237"/>
      <c r="I51" s="237"/>
      <c r="K51" s="221">
        <v>0.05</v>
      </c>
      <c r="L51" s="221">
        <v>0</v>
      </c>
      <c r="M51" s="221">
        <v>0.03</v>
      </c>
      <c r="N51" s="221">
        <v>0.06</v>
      </c>
    </row>
    <row r="52" spans="1:14">
      <c r="A52" s="216">
        <v>45</v>
      </c>
      <c r="B52" s="217" t="s">
        <v>743</v>
      </c>
      <c r="C52" s="236"/>
      <c r="D52" s="238"/>
      <c r="E52" s="239"/>
      <c r="F52" s="238"/>
      <c r="G52" s="238"/>
      <c r="H52" s="240"/>
      <c r="I52" s="240"/>
      <c r="K52" s="221">
        <v>0.05</v>
      </c>
      <c r="L52" s="221">
        <v>0</v>
      </c>
      <c r="M52" s="221">
        <v>0.03</v>
      </c>
      <c r="N52" s="221">
        <v>0.06</v>
      </c>
    </row>
    <row r="53" spans="1:14">
      <c r="A53" s="216">
        <v>46</v>
      </c>
      <c r="B53" s="217" t="s">
        <v>744</v>
      </c>
      <c r="C53" s="220"/>
      <c r="D53" s="220"/>
      <c r="E53" s="219"/>
      <c r="F53" s="220"/>
      <c r="G53" s="220"/>
      <c r="H53" s="220"/>
      <c r="I53" s="220"/>
      <c r="K53" s="221">
        <v>0.05</v>
      </c>
      <c r="L53" s="221">
        <v>0.06</v>
      </c>
      <c r="M53" s="221">
        <v>0.03</v>
      </c>
      <c r="N53" s="221">
        <v>0.06</v>
      </c>
    </row>
    <row r="54" spans="1:14">
      <c r="A54" s="216">
        <v>47</v>
      </c>
      <c r="B54" s="217" t="s">
        <v>745</v>
      </c>
      <c r="C54" s="220"/>
      <c r="D54" s="220"/>
      <c r="E54" s="219"/>
      <c r="F54" s="220"/>
      <c r="G54" s="220"/>
      <c r="H54" s="220"/>
      <c r="I54" s="220"/>
      <c r="K54" s="221">
        <v>0.05</v>
      </c>
      <c r="L54" s="221">
        <v>0.06</v>
      </c>
      <c r="M54" s="221">
        <v>0.03</v>
      </c>
      <c r="N54" s="221">
        <v>0.06</v>
      </c>
    </row>
    <row r="55" spans="1:14">
      <c r="A55" s="227" t="s">
        <v>746</v>
      </c>
      <c r="B55" s="228" t="s">
        <v>747</v>
      </c>
      <c r="C55" s="220"/>
      <c r="D55" s="220"/>
      <c r="E55" s="219"/>
      <c r="F55" s="218"/>
      <c r="G55" s="218"/>
      <c r="H55" s="218"/>
      <c r="I55" s="218"/>
      <c r="K55" s="221">
        <v>0.02</v>
      </c>
      <c r="L55" s="221">
        <v>0.01</v>
      </c>
      <c r="M55" s="221">
        <v>0.02</v>
      </c>
      <c r="N55" s="221">
        <v>0.02</v>
      </c>
    </row>
    <row r="56" spans="1:14">
      <c r="A56" s="216">
        <v>48</v>
      </c>
      <c r="B56" s="217" t="s">
        <v>748</v>
      </c>
      <c r="C56" s="219" t="s">
        <v>699</v>
      </c>
      <c r="D56" s="219"/>
      <c r="E56" s="219"/>
      <c r="F56" s="219"/>
      <c r="G56" s="219"/>
      <c r="H56" s="219"/>
      <c r="I56" s="219"/>
      <c r="K56" s="221"/>
      <c r="L56" s="221"/>
      <c r="M56" s="221"/>
      <c r="N56" s="221"/>
    </row>
    <row r="57" spans="1:14">
      <c r="A57" s="227" t="s">
        <v>749</v>
      </c>
      <c r="B57" s="228" t="s">
        <v>750</v>
      </c>
      <c r="C57" s="220"/>
      <c r="D57" s="223"/>
      <c r="E57" s="219"/>
      <c r="F57" s="223"/>
      <c r="G57" s="223"/>
      <c r="H57" s="223"/>
      <c r="I57" s="223"/>
      <c r="K57" s="221">
        <v>0.05</v>
      </c>
      <c r="L57" s="221">
        <v>0</v>
      </c>
      <c r="M57" s="221">
        <v>0.03</v>
      </c>
      <c r="N57" s="221">
        <v>0.06</v>
      </c>
    </row>
    <row r="58" spans="1:14">
      <c r="A58" s="227" t="s">
        <v>751</v>
      </c>
      <c r="B58" s="228" t="s">
        <v>752</v>
      </c>
      <c r="C58" s="220"/>
      <c r="D58" s="223"/>
      <c r="E58" s="219"/>
      <c r="F58" s="223"/>
      <c r="G58" s="223"/>
      <c r="H58" s="223"/>
      <c r="I58" s="223"/>
      <c r="K58" s="221">
        <v>0.05</v>
      </c>
      <c r="L58" s="221">
        <v>0</v>
      </c>
      <c r="M58" s="221">
        <v>0.03</v>
      </c>
      <c r="N58" s="221">
        <v>0.06</v>
      </c>
    </row>
    <row r="59" spans="1:14">
      <c r="A59" s="227" t="s">
        <v>753</v>
      </c>
      <c r="B59" s="228" t="s">
        <v>754</v>
      </c>
      <c r="C59" s="223"/>
      <c r="D59" s="223"/>
      <c r="E59" s="219"/>
      <c r="F59" s="223"/>
      <c r="G59" s="223"/>
      <c r="H59" s="241" t="s">
        <v>289</v>
      </c>
      <c r="I59" s="241" t="s">
        <v>289</v>
      </c>
      <c r="K59" s="221">
        <v>0.05</v>
      </c>
      <c r="L59" s="221">
        <v>0</v>
      </c>
      <c r="M59" s="221">
        <v>0.02</v>
      </c>
      <c r="N59" s="221">
        <v>0</v>
      </c>
    </row>
    <row r="60" spans="1:14">
      <c r="A60" s="227" t="s">
        <v>755</v>
      </c>
      <c r="B60" s="228" t="s">
        <v>756</v>
      </c>
      <c r="C60" s="220"/>
      <c r="D60" s="223"/>
      <c r="E60" s="219"/>
      <c r="F60" s="223"/>
      <c r="G60" s="223"/>
      <c r="H60" s="241" t="s">
        <v>289</v>
      </c>
      <c r="I60" s="241" t="s">
        <v>289</v>
      </c>
      <c r="K60" s="221">
        <v>0.05</v>
      </c>
      <c r="L60" s="221">
        <v>0.06</v>
      </c>
      <c r="M60" s="221">
        <v>0.02</v>
      </c>
      <c r="N60" s="221">
        <v>0</v>
      </c>
    </row>
    <row r="61" spans="1:14">
      <c r="A61" s="216">
        <v>49</v>
      </c>
      <c r="B61" s="217" t="s">
        <v>757</v>
      </c>
      <c r="C61" s="219" t="s">
        <v>699</v>
      </c>
      <c r="D61" s="219"/>
      <c r="E61" s="219"/>
      <c r="F61" s="219"/>
      <c r="G61" s="219"/>
      <c r="H61" s="219"/>
      <c r="I61" s="219"/>
      <c r="K61" s="221"/>
      <c r="L61" s="221"/>
      <c r="M61" s="221"/>
      <c r="N61" s="221"/>
    </row>
    <row r="62" spans="1:14">
      <c r="A62" s="227" t="s">
        <v>758</v>
      </c>
      <c r="B62" s="228" t="s">
        <v>759</v>
      </c>
      <c r="C62" s="218"/>
      <c r="D62" s="220"/>
      <c r="E62" s="219"/>
      <c r="F62" s="218"/>
      <c r="G62" s="218"/>
      <c r="H62" s="218"/>
      <c r="I62" s="218"/>
      <c r="K62" s="221">
        <v>0.02</v>
      </c>
      <c r="L62" s="221">
        <v>0</v>
      </c>
      <c r="M62" s="221">
        <v>0.02</v>
      </c>
      <c r="N62" s="221">
        <v>0.02</v>
      </c>
    </row>
    <row r="63" spans="1:14">
      <c r="A63" s="227" t="s">
        <v>760</v>
      </c>
      <c r="B63" s="228" t="s">
        <v>761</v>
      </c>
      <c r="C63" s="218"/>
      <c r="D63" s="218"/>
      <c r="E63" s="219"/>
      <c r="F63" s="218"/>
      <c r="G63" s="218"/>
      <c r="H63" s="218"/>
      <c r="I63" s="218"/>
      <c r="K63" s="221">
        <v>0.02</v>
      </c>
      <c r="L63" s="221">
        <v>0</v>
      </c>
      <c r="M63" s="221">
        <v>0.02</v>
      </c>
      <c r="N63" s="221">
        <v>0.02</v>
      </c>
    </row>
    <row r="64" spans="1:14">
      <c r="A64" s="216">
        <v>50</v>
      </c>
      <c r="B64" s="217" t="s">
        <v>762</v>
      </c>
      <c r="C64" s="220"/>
      <c r="D64" s="223"/>
      <c r="E64" s="219"/>
      <c r="F64" s="220"/>
      <c r="G64" s="220"/>
      <c r="H64" s="220"/>
      <c r="I64" s="220"/>
      <c r="K64" s="221">
        <v>0.05</v>
      </c>
      <c r="L64" s="221">
        <v>0</v>
      </c>
      <c r="M64" s="221">
        <v>0.03</v>
      </c>
      <c r="N64" s="221">
        <v>0.06</v>
      </c>
    </row>
    <row r="65" spans="1:14">
      <c r="A65" s="216">
        <v>51</v>
      </c>
      <c r="B65" s="217" t="s">
        <v>763</v>
      </c>
      <c r="C65" s="218"/>
      <c r="D65" s="220"/>
      <c r="E65" s="219"/>
      <c r="F65" s="220"/>
      <c r="G65" s="220"/>
      <c r="H65" s="220"/>
      <c r="I65" s="220"/>
      <c r="K65" s="221">
        <v>0.05</v>
      </c>
      <c r="L65" s="221">
        <v>0</v>
      </c>
      <c r="M65" s="221">
        <v>0.03</v>
      </c>
      <c r="N65" s="221">
        <v>0.06</v>
      </c>
    </row>
    <row r="66" spans="1:14">
      <c r="A66" s="216">
        <v>52</v>
      </c>
      <c r="B66" s="217" t="s">
        <v>764</v>
      </c>
      <c r="C66" s="219" t="s">
        <v>699</v>
      </c>
      <c r="D66" s="219"/>
      <c r="E66" s="219"/>
      <c r="F66" s="219"/>
      <c r="G66" s="219"/>
      <c r="H66" s="219"/>
      <c r="I66" s="219"/>
      <c r="K66" s="221"/>
      <c r="L66" s="221"/>
      <c r="M66" s="221"/>
      <c r="N66" s="221"/>
    </row>
    <row r="67" spans="1:14">
      <c r="A67" s="242" t="s">
        <v>765</v>
      </c>
      <c r="B67" s="228" t="s">
        <v>766</v>
      </c>
      <c r="C67" s="223"/>
      <c r="D67" s="223"/>
      <c r="E67" s="219"/>
      <c r="F67" s="223"/>
      <c r="G67" s="223"/>
      <c r="H67" s="241" t="s">
        <v>289</v>
      </c>
      <c r="I67" s="241" t="s">
        <v>289</v>
      </c>
      <c r="K67" s="221">
        <v>0.05</v>
      </c>
      <c r="L67" s="221">
        <v>0</v>
      </c>
      <c r="M67" s="221">
        <v>0</v>
      </c>
      <c r="N67" s="221">
        <v>0</v>
      </c>
    </row>
    <row r="68" spans="1:14">
      <c r="A68" s="227" t="s">
        <v>767</v>
      </c>
      <c r="B68" s="228" t="s">
        <v>768</v>
      </c>
      <c r="C68" s="218"/>
      <c r="D68" s="223"/>
      <c r="E68" s="219"/>
      <c r="F68" s="220"/>
      <c r="G68" s="220"/>
      <c r="H68" s="241" t="s">
        <v>289</v>
      </c>
      <c r="I68" s="241" t="s">
        <v>289</v>
      </c>
      <c r="K68" s="221">
        <v>0.05</v>
      </c>
      <c r="L68" s="221">
        <v>0</v>
      </c>
      <c r="M68" s="221">
        <v>0</v>
      </c>
      <c r="N68" s="221">
        <v>0</v>
      </c>
    </row>
    <row r="69" spans="1:14">
      <c r="A69" s="216">
        <v>53</v>
      </c>
      <c r="B69" s="217" t="s">
        <v>769</v>
      </c>
      <c r="C69" s="218"/>
      <c r="D69" s="220"/>
      <c r="E69" s="219"/>
      <c r="F69" s="220"/>
      <c r="G69" s="220"/>
      <c r="H69" s="220"/>
      <c r="I69" s="220"/>
      <c r="K69" s="221">
        <v>0.05</v>
      </c>
      <c r="L69" s="221">
        <v>0</v>
      </c>
      <c r="M69" s="221">
        <v>0.03</v>
      </c>
      <c r="N69" s="221">
        <v>0.06</v>
      </c>
    </row>
    <row r="70" spans="1:14" ht="27">
      <c r="A70" s="216">
        <v>54</v>
      </c>
      <c r="B70" s="217" t="s">
        <v>770</v>
      </c>
      <c r="C70" s="220"/>
      <c r="D70" s="220"/>
      <c r="E70" s="219"/>
      <c r="F70" s="220"/>
      <c r="G70" s="220"/>
      <c r="H70" s="220"/>
      <c r="I70" s="223"/>
      <c r="K70" s="221">
        <v>0.05</v>
      </c>
      <c r="L70" s="221">
        <v>0</v>
      </c>
      <c r="M70" s="221">
        <v>0.03</v>
      </c>
      <c r="N70" s="221">
        <v>0.06</v>
      </c>
    </row>
    <row r="71" spans="1:14">
      <c r="A71" s="216">
        <v>55</v>
      </c>
      <c r="B71" s="217" t="s">
        <v>771</v>
      </c>
      <c r="C71" s="220"/>
      <c r="D71" s="220"/>
      <c r="E71" s="219"/>
      <c r="F71" s="220"/>
      <c r="G71" s="220"/>
      <c r="H71" s="220"/>
      <c r="I71" s="223"/>
      <c r="K71" s="221">
        <v>0.05</v>
      </c>
      <c r="L71" s="221">
        <v>0</v>
      </c>
      <c r="M71" s="221">
        <v>0.03</v>
      </c>
      <c r="N71" s="221">
        <v>0.06</v>
      </c>
    </row>
    <row r="72" spans="1:14">
      <c r="A72" s="216">
        <v>56</v>
      </c>
      <c r="B72" s="217" t="s">
        <v>772</v>
      </c>
      <c r="C72" s="218"/>
      <c r="D72" s="220"/>
      <c r="E72" s="219"/>
      <c r="F72" s="220"/>
      <c r="G72" s="220"/>
      <c r="H72" s="220"/>
      <c r="I72" s="220"/>
      <c r="K72" s="221">
        <v>0.05</v>
      </c>
      <c r="L72" s="221">
        <v>0</v>
      </c>
      <c r="M72" s="221">
        <v>0.03</v>
      </c>
      <c r="N72" s="221">
        <v>0.06</v>
      </c>
    </row>
    <row r="73" spans="1:14">
      <c r="A73" s="216">
        <v>57</v>
      </c>
      <c r="B73" s="217" t="s">
        <v>773</v>
      </c>
      <c r="C73" s="243"/>
      <c r="D73" s="220"/>
      <c r="E73" s="219"/>
      <c r="F73" s="220"/>
      <c r="G73" s="220"/>
      <c r="H73" s="220"/>
      <c r="I73" s="220"/>
      <c r="K73" s="221">
        <v>0.05</v>
      </c>
      <c r="L73" s="221">
        <v>0</v>
      </c>
      <c r="M73" s="221">
        <v>0.03</v>
      </c>
      <c r="N73" s="221">
        <v>0.06</v>
      </c>
    </row>
    <row r="74" spans="1:14">
      <c r="A74" s="216">
        <v>58</v>
      </c>
      <c r="B74" s="217" t="s">
        <v>774</v>
      </c>
      <c r="C74" s="218"/>
      <c r="D74" s="220"/>
      <c r="E74" s="219"/>
      <c r="F74" s="218"/>
      <c r="G74" s="218"/>
      <c r="H74" s="223"/>
      <c r="I74" s="223"/>
      <c r="K74" s="221">
        <v>0.02</v>
      </c>
      <c r="L74" s="221">
        <v>0</v>
      </c>
      <c r="M74" s="221">
        <v>0.03</v>
      </c>
      <c r="N74" s="221">
        <v>0.06</v>
      </c>
    </row>
    <row r="75" spans="1:14">
      <c r="A75" s="216">
        <v>59</v>
      </c>
      <c r="B75" s="217" t="s">
        <v>775</v>
      </c>
      <c r="C75" s="226" t="s">
        <v>699</v>
      </c>
      <c r="D75" s="226"/>
      <c r="E75" s="226"/>
      <c r="F75" s="226"/>
      <c r="G75" s="226"/>
      <c r="H75" s="226"/>
      <c r="I75" s="226"/>
      <c r="K75" s="221"/>
      <c r="L75" s="221"/>
      <c r="M75" s="221"/>
      <c r="N75" s="221"/>
    </row>
    <row r="76" spans="1:14">
      <c r="A76" s="227" t="s">
        <v>776</v>
      </c>
      <c r="B76" s="228" t="s">
        <v>777</v>
      </c>
      <c r="C76" s="218"/>
      <c r="D76" s="223"/>
      <c r="E76" s="219"/>
      <c r="F76" s="241" t="s">
        <v>289</v>
      </c>
      <c r="G76" s="241"/>
      <c r="H76" s="232"/>
      <c r="I76" s="232"/>
      <c r="K76" s="221">
        <v>0</v>
      </c>
      <c r="L76" s="221">
        <v>0</v>
      </c>
      <c r="M76" s="221">
        <v>0.03</v>
      </c>
      <c r="N76" s="221">
        <v>0.06</v>
      </c>
    </row>
    <row r="77" spans="1:14">
      <c r="A77" s="227" t="s">
        <v>778</v>
      </c>
      <c r="B77" s="228" t="s">
        <v>779</v>
      </c>
      <c r="C77" s="223"/>
      <c r="D77" s="223"/>
      <c r="E77" s="219"/>
      <c r="F77" s="241" t="s">
        <v>289</v>
      </c>
      <c r="G77" s="241"/>
      <c r="H77" s="223"/>
      <c r="I77" s="223"/>
      <c r="K77" s="221">
        <v>0</v>
      </c>
      <c r="L77" s="221">
        <v>0</v>
      </c>
      <c r="M77" s="221">
        <v>0.03</v>
      </c>
      <c r="N77" s="221">
        <v>0.06</v>
      </c>
    </row>
    <row r="78" spans="1:14" ht="27">
      <c r="A78" s="227" t="s">
        <v>780</v>
      </c>
      <c r="B78" s="228" t="s">
        <v>781</v>
      </c>
      <c r="C78" s="226" t="s">
        <v>782</v>
      </c>
      <c r="D78" s="226"/>
      <c r="E78" s="226"/>
      <c r="F78" s="226"/>
      <c r="G78" s="226"/>
      <c r="H78" s="226"/>
      <c r="I78" s="226"/>
      <c r="K78" s="221"/>
      <c r="L78" s="221"/>
      <c r="M78" s="221"/>
      <c r="N78" s="221"/>
    </row>
    <row r="79" spans="1:14">
      <c r="A79" s="227" t="s">
        <v>783</v>
      </c>
      <c r="B79" s="228" t="s">
        <v>784</v>
      </c>
      <c r="C79" s="223"/>
      <c r="D79" s="223"/>
      <c r="E79" s="219"/>
      <c r="F79" s="241" t="s">
        <v>289</v>
      </c>
      <c r="G79" s="241"/>
      <c r="H79" s="223"/>
      <c r="I79" s="241" t="s">
        <v>289</v>
      </c>
      <c r="K79" s="221">
        <v>0</v>
      </c>
      <c r="L79" s="221">
        <v>0</v>
      </c>
      <c r="M79" s="221">
        <v>0.03</v>
      </c>
      <c r="N79" s="221">
        <v>0</v>
      </c>
    </row>
    <row r="80" spans="1:14">
      <c r="A80" s="227" t="s">
        <v>785</v>
      </c>
      <c r="B80" s="228" t="s">
        <v>786</v>
      </c>
      <c r="C80" s="218"/>
      <c r="D80" s="223"/>
      <c r="E80" s="219"/>
      <c r="F80" s="241" t="s">
        <v>289</v>
      </c>
      <c r="G80" s="241"/>
      <c r="H80" s="223"/>
      <c r="I80" s="241" t="s">
        <v>289</v>
      </c>
      <c r="K80" s="221">
        <v>0</v>
      </c>
      <c r="L80" s="221">
        <v>0</v>
      </c>
      <c r="M80" s="221">
        <v>0.03</v>
      </c>
      <c r="N80" s="221">
        <v>0</v>
      </c>
    </row>
    <row r="81" spans="1:14" ht="27">
      <c r="A81" s="227" t="s">
        <v>787</v>
      </c>
      <c r="B81" s="228" t="s">
        <v>788</v>
      </c>
      <c r="C81" s="218"/>
      <c r="D81" s="223"/>
      <c r="E81" s="219"/>
      <c r="F81" s="241" t="s">
        <v>289</v>
      </c>
      <c r="G81" s="241"/>
      <c r="H81" s="241" t="s">
        <v>289</v>
      </c>
      <c r="I81" s="220"/>
      <c r="K81" s="221">
        <v>0</v>
      </c>
      <c r="L81" s="221">
        <v>0</v>
      </c>
      <c r="M81" s="221">
        <v>0</v>
      </c>
      <c r="N81" s="221">
        <v>0.06</v>
      </c>
    </row>
    <row r="82" spans="1:14">
      <c r="A82" s="227" t="s">
        <v>789</v>
      </c>
      <c r="B82" s="228" t="s">
        <v>790</v>
      </c>
      <c r="C82" s="218"/>
      <c r="D82" s="223"/>
      <c r="E82" s="219"/>
      <c r="F82" s="241" t="s">
        <v>289</v>
      </c>
      <c r="G82" s="241"/>
      <c r="H82" s="218"/>
      <c r="I82" s="220"/>
      <c r="K82" s="221">
        <v>0</v>
      </c>
      <c r="L82" s="221">
        <v>0</v>
      </c>
      <c r="M82" s="221">
        <v>0.02</v>
      </c>
      <c r="N82" s="221">
        <v>0.06</v>
      </c>
    </row>
    <row r="83" spans="1:14">
      <c r="A83" s="227" t="s">
        <v>791</v>
      </c>
      <c r="B83" s="228" t="s">
        <v>792</v>
      </c>
      <c r="C83" s="220"/>
      <c r="D83" s="223"/>
      <c r="E83" s="219"/>
      <c r="F83" s="241" t="s">
        <v>289</v>
      </c>
      <c r="G83" s="241"/>
      <c r="H83" s="220"/>
      <c r="I83" s="241" t="s">
        <v>289</v>
      </c>
      <c r="K83" s="221">
        <v>0</v>
      </c>
      <c r="L83" s="221">
        <v>0</v>
      </c>
      <c r="M83" s="221">
        <v>0.03</v>
      </c>
      <c r="N83" s="221">
        <v>0</v>
      </c>
    </row>
    <row r="84" spans="1:14">
      <c r="A84" s="216">
        <v>61</v>
      </c>
      <c r="B84" s="244" t="s">
        <v>793</v>
      </c>
      <c r="C84" s="245"/>
      <c r="D84" s="246"/>
      <c r="E84" s="226"/>
      <c r="F84" s="241" t="s">
        <v>289</v>
      </c>
      <c r="G84" s="241"/>
      <c r="H84" s="241" t="s">
        <v>289</v>
      </c>
      <c r="I84" s="247" t="s">
        <v>794</v>
      </c>
      <c r="K84" s="221">
        <v>0</v>
      </c>
      <c r="L84" s="221">
        <v>0.06</v>
      </c>
      <c r="M84" s="221">
        <v>0</v>
      </c>
      <c r="N84" s="221">
        <v>0.06</v>
      </c>
    </row>
    <row r="85" spans="1:14">
      <c r="A85" s="248">
        <v>62</v>
      </c>
      <c r="B85" s="244" t="s">
        <v>795</v>
      </c>
      <c r="C85" s="249"/>
      <c r="D85" s="246"/>
      <c r="E85" s="226"/>
      <c r="F85" s="241" t="s">
        <v>289</v>
      </c>
      <c r="G85" s="241"/>
      <c r="H85" s="241" t="s">
        <v>289</v>
      </c>
      <c r="I85" s="250"/>
      <c r="K85" s="221">
        <v>0</v>
      </c>
      <c r="L85" s="221">
        <v>0.06</v>
      </c>
      <c r="M85" s="221">
        <v>0</v>
      </c>
      <c r="N85" s="221">
        <v>0.06</v>
      </c>
    </row>
    <row r="86" spans="1:14">
      <c r="A86" s="216">
        <v>63</v>
      </c>
      <c r="B86" s="244" t="s">
        <v>796</v>
      </c>
      <c r="C86" s="249"/>
      <c r="D86" s="249"/>
      <c r="E86" s="226"/>
      <c r="F86" s="241" t="s">
        <v>289</v>
      </c>
      <c r="G86" s="241"/>
      <c r="H86" s="241" t="s">
        <v>289</v>
      </c>
      <c r="I86" s="250"/>
      <c r="K86" s="221">
        <v>0</v>
      </c>
      <c r="L86" s="221">
        <v>0.06</v>
      </c>
      <c r="M86" s="221">
        <v>0</v>
      </c>
      <c r="N86" s="221">
        <v>0.06</v>
      </c>
    </row>
    <row r="87" spans="1:14">
      <c r="A87" s="216">
        <v>64</v>
      </c>
      <c r="B87" s="244" t="s">
        <v>797</v>
      </c>
      <c r="C87" s="245"/>
      <c r="D87" s="245"/>
      <c r="E87" s="226"/>
      <c r="F87" s="245"/>
      <c r="G87" s="245"/>
      <c r="H87" s="245"/>
      <c r="I87" s="246"/>
      <c r="K87" s="221">
        <v>0.02</v>
      </c>
      <c r="L87" s="221">
        <v>0.01</v>
      </c>
      <c r="M87" s="221">
        <v>0.02</v>
      </c>
      <c r="N87" s="221">
        <v>0.06</v>
      </c>
    </row>
    <row r="88" spans="1:14">
      <c r="A88" s="216">
        <v>65</v>
      </c>
      <c r="B88" s="244" t="s">
        <v>798</v>
      </c>
      <c r="C88" s="246"/>
      <c r="D88" s="251"/>
      <c r="E88" s="226"/>
      <c r="F88" s="250"/>
      <c r="G88" s="250"/>
      <c r="H88" s="250"/>
      <c r="I88" s="251"/>
      <c r="K88" s="221">
        <v>0.05</v>
      </c>
      <c r="L88" s="221">
        <v>0</v>
      </c>
      <c r="M88" s="221">
        <v>0.03</v>
      </c>
      <c r="N88" s="221">
        <v>0.06</v>
      </c>
    </row>
    <row r="89" spans="1:14" ht="26.25">
      <c r="A89" s="216">
        <v>66</v>
      </c>
      <c r="B89" s="244" t="s">
        <v>799</v>
      </c>
      <c r="C89" s="250"/>
      <c r="D89" s="251"/>
      <c r="E89" s="226"/>
      <c r="F89" s="241" t="s">
        <v>289</v>
      </c>
      <c r="G89" s="241"/>
      <c r="H89" s="241" t="s">
        <v>289</v>
      </c>
      <c r="I89" s="252" t="s">
        <v>800</v>
      </c>
      <c r="K89" s="221">
        <v>0</v>
      </c>
      <c r="L89" s="221">
        <v>0.06</v>
      </c>
      <c r="M89" s="221">
        <v>0</v>
      </c>
      <c r="N89" s="221">
        <v>0.06</v>
      </c>
    </row>
    <row r="90" spans="1:14" ht="26.25">
      <c r="A90" s="216">
        <v>67</v>
      </c>
      <c r="B90" s="244" t="s">
        <v>801</v>
      </c>
      <c r="C90" s="245"/>
      <c r="D90" s="250"/>
      <c r="E90" s="226"/>
      <c r="F90" s="241" t="s">
        <v>289</v>
      </c>
      <c r="G90" s="241"/>
      <c r="H90" s="241" t="s">
        <v>289</v>
      </c>
      <c r="I90" s="253" t="s">
        <v>802</v>
      </c>
      <c r="K90" s="221">
        <v>0</v>
      </c>
      <c r="L90" s="221">
        <v>0</v>
      </c>
      <c r="M90" s="221">
        <v>0</v>
      </c>
      <c r="N90" s="221">
        <v>0.06</v>
      </c>
    </row>
    <row r="91" spans="1:14">
      <c r="A91" s="216">
        <v>68</v>
      </c>
      <c r="B91" s="244" t="s">
        <v>803</v>
      </c>
      <c r="C91" s="250"/>
      <c r="D91" s="250"/>
      <c r="E91" s="226"/>
      <c r="F91" s="241" t="s">
        <v>289</v>
      </c>
      <c r="G91" s="241"/>
      <c r="H91" s="241" t="s">
        <v>289</v>
      </c>
      <c r="I91" s="253" t="s">
        <v>804</v>
      </c>
      <c r="K91" s="221">
        <v>0</v>
      </c>
      <c r="L91" s="221">
        <v>0.06</v>
      </c>
      <c r="M91" s="221">
        <v>0</v>
      </c>
      <c r="N91" s="221">
        <v>0.06</v>
      </c>
    </row>
    <row r="92" spans="1:14">
      <c r="A92" s="216">
        <v>69</v>
      </c>
      <c r="B92" s="244" t="s">
        <v>805</v>
      </c>
      <c r="C92" s="250"/>
      <c r="D92" s="251"/>
      <c r="E92" s="226"/>
      <c r="F92" s="241" t="s">
        <v>289</v>
      </c>
      <c r="G92" s="241"/>
      <c r="H92" s="241" t="s">
        <v>289</v>
      </c>
      <c r="I92" s="250" t="s">
        <v>806</v>
      </c>
      <c r="K92" s="221">
        <v>0</v>
      </c>
      <c r="L92" s="221">
        <v>0.06</v>
      </c>
      <c r="M92" s="221">
        <v>0</v>
      </c>
      <c r="N92" s="221">
        <v>0.06</v>
      </c>
    </row>
    <row r="93" spans="1:14">
      <c r="A93" s="216">
        <v>70</v>
      </c>
      <c r="B93" s="244" t="s">
        <v>807</v>
      </c>
      <c r="C93" s="245"/>
      <c r="D93" s="245"/>
      <c r="E93" s="226"/>
      <c r="F93" s="246"/>
      <c r="G93" s="246"/>
      <c r="H93" s="250"/>
      <c r="I93" s="250"/>
      <c r="K93" s="221">
        <v>0.05</v>
      </c>
      <c r="L93" s="221">
        <v>0</v>
      </c>
      <c r="M93" s="221">
        <v>0.03</v>
      </c>
      <c r="N93" s="221">
        <v>0.06</v>
      </c>
    </row>
    <row r="94" spans="1:14">
      <c r="A94" s="216">
        <v>71</v>
      </c>
      <c r="B94" s="217" t="s">
        <v>808</v>
      </c>
      <c r="C94" s="218"/>
      <c r="D94" s="250"/>
      <c r="E94" s="226"/>
      <c r="F94" s="250"/>
      <c r="G94" s="250"/>
      <c r="H94" s="250"/>
      <c r="I94" s="250"/>
      <c r="K94" s="221">
        <v>0.05</v>
      </c>
      <c r="L94" s="221">
        <v>0</v>
      </c>
      <c r="M94" s="221">
        <v>0.03</v>
      </c>
      <c r="N94" s="221">
        <v>0.06</v>
      </c>
    </row>
    <row r="95" spans="1:14">
      <c r="A95" s="216">
        <v>72</v>
      </c>
      <c r="B95" s="244" t="s">
        <v>809</v>
      </c>
      <c r="C95" s="245"/>
      <c r="D95" s="245"/>
      <c r="E95" s="226"/>
      <c r="F95" s="250"/>
      <c r="G95" s="250"/>
      <c r="H95" s="220"/>
      <c r="I95" s="223"/>
      <c r="K95" s="221">
        <v>0.05</v>
      </c>
      <c r="L95" s="221">
        <v>0</v>
      </c>
      <c r="M95" s="221">
        <v>0.03</v>
      </c>
      <c r="N95" s="221">
        <v>0.06</v>
      </c>
    </row>
    <row r="96" spans="1:14">
      <c r="A96" s="216">
        <v>73</v>
      </c>
      <c r="B96" s="244" t="s">
        <v>810</v>
      </c>
      <c r="C96" s="245"/>
      <c r="D96" s="245"/>
      <c r="E96" s="226"/>
      <c r="F96" s="245"/>
      <c r="G96" s="245"/>
      <c r="H96" s="245"/>
      <c r="I96" s="246"/>
      <c r="K96" s="221">
        <v>0.02</v>
      </c>
      <c r="L96" s="221">
        <v>0</v>
      </c>
      <c r="M96" s="221">
        <v>0.02</v>
      </c>
      <c r="N96" s="221">
        <v>0.06</v>
      </c>
    </row>
    <row r="97" spans="1:14" ht="54">
      <c r="A97" s="216">
        <v>74</v>
      </c>
      <c r="B97" s="244" t="s">
        <v>811</v>
      </c>
      <c r="C97" s="245"/>
      <c r="D97" s="251"/>
      <c r="E97" s="226"/>
      <c r="F97" s="241" t="s">
        <v>289</v>
      </c>
      <c r="G97" s="241"/>
      <c r="H97" s="241" t="s">
        <v>289</v>
      </c>
      <c r="I97" s="246"/>
      <c r="K97" s="221">
        <v>0</v>
      </c>
      <c r="L97" s="221">
        <v>0.06</v>
      </c>
      <c r="M97" s="221">
        <v>0</v>
      </c>
      <c r="N97" s="221">
        <v>0.06</v>
      </c>
    </row>
    <row r="98" spans="1:14">
      <c r="A98" s="216">
        <v>75</v>
      </c>
      <c r="B98" s="244" t="s">
        <v>812</v>
      </c>
      <c r="C98" s="245"/>
      <c r="D98" s="246"/>
      <c r="E98" s="219"/>
      <c r="F98" s="241" t="s">
        <v>289</v>
      </c>
      <c r="G98" s="241"/>
      <c r="H98" s="241" t="s">
        <v>289</v>
      </c>
      <c r="I98" s="246"/>
      <c r="K98" s="221">
        <v>0</v>
      </c>
      <c r="L98" s="221">
        <v>0.06</v>
      </c>
      <c r="M98" s="221">
        <v>0</v>
      </c>
      <c r="N98" s="221">
        <v>0.06</v>
      </c>
    </row>
    <row r="99" spans="1:14">
      <c r="A99" s="216">
        <v>76</v>
      </c>
      <c r="B99" s="244" t="s">
        <v>813</v>
      </c>
      <c r="C99" s="250"/>
      <c r="D99" s="250"/>
      <c r="E99" s="226"/>
      <c r="F99" s="241" t="s">
        <v>289</v>
      </c>
      <c r="G99" s="241"/>
      <c r="H99" s="241" t="s">
        <v>289</v>
      </c>
      <c r="I99" s="251"/>
      <c r="K99" s="221">
        <v>0</v>
      </c>
      <c r="L99" s="221">
        <v>0.06</v>
      </c>
      <c r="M99" s="221">
        <v>0</v>
      </c>
      <c r="N99" s="221">
        <v>0.06</v>
      </c>
    </row>
    <row r="100" spans="1:14">
      <c r="A100" s="216">
        <v>77</v>
      </c>
      <c r="B100" s="244" t="s">
        <v>814</v>
      </c>
      <c r="C100" s="223"/>
      <c r="D100" s="251"/>
      <c r="E100" s="226"/>
      <c r="F100" s="241" t="s">
        <v>289</v>
      </c>
      <c r="G100" s="241"/>
      <c r="H100" s="241" t="s">
        <v>289</v>
      </c>
      <c r="I100" s="251"/>
      <c r="K100" s="221">
        <v>0</v>
      </c>
      <c r="L100" s="221">
        <v>0.06</v>
      </c>
      <c r="M100" s="221">
        <v>0</v>
      </c>
      <c r="N100" s="221">
        <v>0.06</v>
      </c>
    </row>
    <row r="101" spans="1:14" ht="57.75">
      <c r="A101" s="254">
        <v>78</v>
      </c>
      <c r="B101" s="255" t="s">
        <v>815</v>
      </c>
      <c r="C101" s="223"/>
      <c r="D101" s="256"/>
      <c r="E101" s="257"/>
      <c r="F101" s="256"/>
      <c r="G101" s="256"/>
      <c r="H101" s="256"/>
      <c r="I101" s="256"/>
      <c r="K101" s="221">
        <v>0.05</v>
      </c>
      <c r="L101" s="221">
        <v>0.06</v>
      </c>
      <c r="M101" s="221">
        <v>0.03</v>
      </c>
      <c r="N101" s="221">
        <v>0.06</v>
      </c>
    </row>
    <row r="102" spans="1:14">
      <c r="A102" s="254">
        <v>79</v>
      </c>
      <c r="B102" s="258" t="s">
        <v>816</v>
      </c>
      <c r="C102" s="253"/>
      <c r="D102" s="252"/>
      <c r="E102" s="259"/>
      <c r="F102" s="251"/>
      <c r="G102" s="251"/>
      <c r="H102" s="226" t="s">
        <v>289</v>
      </c>
      <c r="I102" s="226" t="s">
        <v>289</v>
      </c>
      <c r="K102" s="221">
        <v>0.05</v>
      </c>
      <c r="L102" s="221">
        <v>0.06</v>
      </c>
      <c r="M102" s="221">
        <v>0</v>
      </c>
      <c r="N102" s="221">
        <v>0</v>
      </c>
    </row>
    <row r="103" spans="1:14">
      <c r="A103" s="254">
        <v>80</v>
      </c>
      <c r="B103" s="258" t="s">
        <v>817</v>
      </c>
      <c r="C103" s="245"/>
      <c r="D103" s="251"/>
      <c r="E103" s="226"/>
      <c r="F103" s="251"/>
      <c r="G103" s="251"/>
      <c r="H103" s="226" t="s">
        <v>289</v>
      </c>
      <c r="I103" s="226" t="s">
        <v>289</v>
      </c>
      <c r="K103" s="221">
        <v>0.05</v>
      </c>
      <c r="L103" s="221">
        <v>0.06</v>
      </c>
      <c r="M103" s="221">
        <v>0</v>
      </c>
      <c r="N103" s="221">
        <v>0</v>
      </c>
    </row>
    <row r="104" spans="1:14">
      <c r="A104" s="216">
        <v>81</v>
      </c>
      <c r="B104" s="260" t="s">
        <v>818</v>
      </c>
      <c r="C104" s="226" t="s">
        <v>699</v>
      </c>
      <c r="D104" s="226"/>
      <c r="E104" s="226"/>
      <c r="F104" s="226"/>
      <c r="G104" s="226"/>
      <c r="H104" s="226"/>
      <c r="I104" s="226"/>
      <c r="K104" s="221"/>
      <c r="L104" s="221"/>
      <c r="M104" s="221"/>
      <c r="N104" s="221"/>
    </row>
    <row r="105" spans="1:14">
      <c r="A105" s="261" t="s">
        <v>819</v>
      </c>
      <c r="B105" s="262" t="s">
        <v>820</v>
      </c>
      <c r="C105" s="223"/>
      <c r="D105" s="256"/>
      <c r="E105" s="257"/>
      <c r="F105" s="256"/>
      <c r="G105" s="256"/>
      <c r="H105" s="256"/>
      <c r="I105" s="256"/>
      <c r="K105" s="221">
        <v>0.05</v>
      </c>
      <c r="L105" s="221">
        <v>0</v>
      </c>
      <c r="M105" s="221">
        <v>0.03</v>
      </c>
      <c r="N105" s="221">
        <v>0.06</v>
      </c>
    </row>
    <row r="106" spans="1:14">
      <c r="A106" s="263" t="s">
        <v>821</v>
      </c>
      <c r="B106" s="264" t="s">
        <v>822</v>
      </c>
      <c r="C106" s="265"/>
      <c r="D106" s="250"/>
      <c r="E106" s="226"/>
      <c r="F106" s="226" t="s">
        <v>289</v>
      </c>
      <c r="G106" s="226"/>
      <c r="H106" s="251"/>
      <c r="I106" s="226" t="s">
        <v>289</v>
      </c>
      <c r="K106" s="221">
        <v>0</v>
      </c>
      <c r="L106" s="221">
        <v>0.06</v>
      </c>
      <c r="M106" s="221">
        <v>0.03</v>
      </c>
      <c r="N106" s="221">
        <v>0</v>
      </c>
    </row>
    <row r="107" spans="1:14">
      <c r="A107" s="263" t="s">
        <v>823</v>
      </c>
      <c r="B107" s="264" t="s">
        <v>824</v>
      </c>
      <c r="C107" s="265"/>
      <c r="D107" s="245"/>
      <c r="E107" s="226"/>
      <c r="F107" s="245"/>
      <c r="G107" s="245"/>
      <c r="H107" s="245"/>
      <c r="I107" s="226" t="s">
        <v>289</v>
      </c>
      <c r="K107" s="221">
        <v>0.02</v>
      </c>
      <c r="L107" s="221">
        <v>0.01</v>
      </c>
      <c r="M107" s="221">
        <v>0.02</v>
      </c>
      <c r="N107" s="221">
        <v>0</v>
      </c>
    </row>
    <row r="108" spans="1:14">
      <c r="A108" s="266">
        <v>82</v>
      </c>
      <c r="B108" s="244" t="s">
        <v>825</v>
      </c>
      <c r="C108" s="253"/>
      <c r="D108" s="252"/>
      <c r="E108" s="259"/>
      <c r="F108" s="251"/>
      <c r="G108" s="251"/>
      <c r="H108" s="251"/>
      <c r="I108" s="251"/>
      <c r="K108" s="221">
        <v>0.05</v>
      </c>
      <c r="L108" s="221">
        <v>0</v>
      </c>
      <c r="M108" s="221">
        <v>0.03</v>
      </c>
      <c r="N108" s="221">
        <v>0.06</v>
      </c>
    </row>
    <row r="109" spans="1:14" ht="27">
      <c r="A109" s="266">
        <v>83</v>
      </c>
      <c r="B109" s="244" t="s">
        <v>826</v>
      </c>
      <c r="C109" s="226" t="s">
        <v>827</v>
      </c>
      <c r="D109" s="226"/>
      <c r="E109" s="226"/>
      <c r="F109" s="267"/>
      <c r="G109" s="267"/>
      <c r="H109" s="267"/>
      <c r="I109" s="267"/>
      <c r="J109" s="268"/>
      <c r="K109" s="269"/>
      <c r="L109" s="269"/>
      <c r="M109" s="269"/>
      <c r="N109" s="269"/>
    </row>
    <row r="110" spans="1:14">
      <c r="A110" s="266">
        <v>84</v>
      </c>
      <c r="B110" s="244" t="s">
        <v>828</v>
      </c>
      <c r="C110" s="250"/>
      <c r="D110" s="252"/>
      <c r="E110" s="259"/>
      <c r="F110" s="251"/>
      <c r="G110" s="251"/>
      <c r="H110" s="226" t="s">
        <v>289</v>
      </c>
      <c r="I110" s="226" t="s">
        <v>289</v>
      </c>
      <c r="K110" s="221">
        <v>0.05</v>
      </c>
      <c r="L110" s="221">
        <v>0</v>
      </c>
      <c r="M110" s="221">
        <v>0</v>
      </c>
      <c r="N110" s="221">
        <v>0</v>
      </c>
    </row>
    <row r="111" spans="1:14">
      <c r="A111" s="266">
        <v>85</v>
      </c>
      <c r="B111" s="270" t="s">
        <v>829</v>
      </c>
      <c r="C111" s="250"/>
      <c r="D111" s="250"/>
      <c r="E111" s="226"/>
      <c r="F111" s="250"/>
      <c r="G111" s="250"/>
      <c r="H111" s="250"/>
      <c r="I111" s="250"/>
      <c r="K111" s="221">
        <v>0.05</v>
      </c>
      <c r="L111" s="221">
        <v>0</v>
      </c>
      <c r="M111" s="221">
        <v>0.03</v>
      </c>
      <c r="N111" s="221">
        <v>0.06</v>
      </c>
    </row>
    <row r="112" spans="1:14" ht="40.5">
      <c r="A112" s="266">
        <v>86</v>
      </c>
      <c r="B112" s="244" t="s">
        <v>830</v>
      </c>
      <c r="C112" s="223"/>
      <c r="D112" s="256"/>
      <c r="E112" s="257"/>
      <c r="F112" s="256"/>
      <c r="G112" s="256"/>
      <c r="H112" s="256"/>
      <c r="I112" s="256"/>
      <c r="K112" s="221">
        <v>0.05</v>
      </c>
      <c r="L112" s="221">
        <v>0.06</v>
      </c>
      <c r="M112" s="221">
        <v>0.03</v>
      </c>
      <c r="N112" s="221">
        <v>0.06</v>
      </c>
    </row>
    <row r="113" spans="1:14">
      <c r="A113" s="266">
        <v>87</v>
      </c>
      <c r="B113" s="244" t="s">
        <v>831</v>
      </c>
      <c r="C113" s="226" t="s">
        <v>827</v>
      </c>
      <c r="D113" s="226"/>
      <c r="E113" s="226"/>
      <c r="F113" s="226"/>
      <c r="G113" s="226"/>
      <c r="H113" s="226"/>
      <c r="I113" s="226"/>
      <c r="K113" s="221"/>
      <c r="L113" s="221"/>
      <c r="M113" s="221"/>
      <c r="N113" s="221"/>
    </row>
    <row r="114" spans="1:14">
      <c r="A114" s="263" t="s">
        <v>832</v>
      </c>
      <c r="B114" s="228" t="s">
        <v>833</v>
      </c>
      <c r="C114" s="223"/>
      <c r="D114" s="256"/>
      <c r="E114" s="257"/>
      <c r="F114" s="256"/>
      <c r="G114" s="256"/>
      <c r="H114" s="256"/>
      <c r="I114" s="256"/>
      <c r="K114" s="221">
        <v>0.05</v>
      </c>
      <c r="L114" s="221">
        <v>0.06</v>
      </c>
      <c r="M114" s="221">
        <v>0.03</v>
      </c>
      <c r="N114" s="221">
        <v>0.06</v>
      </c>
    </row>
    <row r="115" spans="1:14">
      <c r="A115" s="263" t="s">
        <v>834</v>
      </c>
      <c r="B115" s="228" t="s">
        <v>835</v>
      </c>
      <c r="C115" s="250"/>
      <c r="D115" s="252"/>
      <c r="E115" s="259"/>
      <c r="F115" s="250"/>
      <c r="G115" s="250"/>
      <c r="H115" s="251"/>
      <c r="I115" s="251"/>
      <c r="K115" s="221">
        <v>0.05</v>
      </c>
      <c r="L115" s="221">
        <v>0.06</v>
      </c>
      <c r="M115" s="221">
        <v>0.03</v>
      </c>
      <c r="N115" s="221">
        <v>0.06</v>
      </c>
    </row>
    <row r="116" spans="1:14">
      <c r="A116" s="271">
        <v>88</v>
      </c>
      <c r="B116" s="272" t="s">
        <v>836</v>
      </c>
      <c r="C116" s="223"/>
      <c r="D116" s="256"/>
      <c r="E116" s="257"/>
      <c r="F116" s="256"/>
      <c r="G116" s="256"/>
      <c r="H116" s="256"/>
      <c r="I116" s="273" t="s">
        <v>289</v>
      </c>
      <c r="K116" s="221">
        <v>0.05</v>
      </c>
      <c r="L116" s="221">
        <v>0</v>
      </c>
      <c r="M116" s="221">
        <v>0.03</v>
      </c>
      <c r="N116" s="221">
        <v>0</v>
      </c>
    </row>
    <row r="117" spans="1:14">
      <c r="A117" s="261" t="s">
        <v>837</v>
      </c>
      <c r="B117" s="274" t="s">
        <v>838</v>
      </c>
      <c r="C117" s="223"/>
      <c r="D117" s="256"/>
      <c r="E117" s="257"/>
      <c r="F117" s="273" t="s">
        <v>289</v>
      </c>
      <c r="G117" s="273"/>
      <c r="H117" s="273" t="s">
        <v>289</v>
      </c>
      <c r="I117" s="256"/>
      <c r="K117" s="269">
        <v>0</v>
      </c>
      <c r="L117" s="269">
        <v>0</v>
      </c>
      <c r="M117" s="221">
        <v>0</v>
      </c>
      <c r="N117" s="221">
        <v>0.06</v>
      </c>
    </row>
    <row r="118" spans="1:14" ht="27.75">
      <c r="A118" s="271">
        <v>89</v>
      </c>
      <c r="B118" s="275" t="s">
        <v>839</v>
      </c>
      <c r="C118" s="223"/>
      <c r="D118" s="256"/>
      <c r="E118" s="257"/>
      <c r="F118" s="256"/>
      <c r="G118" s="256"/>
      <c r="H118" s="256"/>
      <c r="I118" s="256"/>
      <c r="K118" s="221">
        <v>0.05</v>
      </c>
      <c r="L118" s="221">
        <v>0.06</v>
      </c>
      <c r="M118" s="221">
        <v>0.03</v>
      </c>
      <c r="N118" s="221">
        <v>0.06</v>
      </c>
    </row>
    <row r="119" spans="1:14">
      <c r="A119" s="271">
        <v>90</v>
      </c>
      <c r="B119" s="272" t="s">
        <v>840</v>
      </c>
      <c r="C119" s="253"/>
      <c r="D119" s="252"/>
      <c r="E119" s="259"/>
      <c r="F119" s="251"/>
      <c r="G119" s="251"/>
      <c r="H119" s="251"/>
      <c r="I119" s="251"/>
      <c r="K119" s="221">
        <v>0.05</v>
      </c>
      <c r="L119" s="221">
        <v>0.06</v>
      </c>
      <c r="M119" s="221">
        <v>0.03</v>
      </c>
      <c r="N119" s="221">
        <v>0.06</v>
      </c>
    </row>
    <row r="120" spans="1:14">
      <c r="A120" s="266">
        <v>91</v>
      </c>
      <c r="B120" s="270" t="s">
        <v>841</v>
      </c>
      <c r="C120" s="276"/>
      <c r="D120" s="253"/>
      <c r="E120" s="259"/>
      <c r="F120" s="250"/>
      <c r="G120" s="250"/>
      <c r="H120" s="251"/>
      <c r="I120" s="251"/>
      <c r="K120" s="221">
        <v>0.05</v>
      </c>
      <c r="L120" s="221">
        <v>0</v>
      </c>
      <c r="M120" s="221">
        <v>0.03</v>
      </c>
      <c r="N120" s="221">
        <v>0.06</v>
      </c>
    </row>
    <row r="121" spans="1:14">
      <c r="A121" s="266">
        <v>92</v>
      </c>
      <c r="B121" s="270" t="s">
        <v>842</v>
      </c>
      <c r="C121" s="226" t="s">
        <v>827</v>
      </c>
      <c r="D121" s="226"/>
      <c r="E121" s="226"/>
      <c r="F121" s="226"/>
      <c r="G121" s="226"/>
      <c r="H121" s="226"/>
      <c r="I121" s="226"/>
      <c r="K121" s="221"/>
      <c r="L121" s="221"/>
      <c r="M121" s="221"/>
      <c r="N121" s="221"/>
    </row>
    <row r="122" spans="1:14">
      <c r="A122" s="263" t="s">
        <v>843</v>
      </c>
      <c r="B122" s="227" t="s">
        <v>844</v>
      </c>
      <c r="C122" s="774" t="s">
        <v>845</v>
      </c>
      <c r="D122" s="775"/>
      <c r="E122" s="775"/>
      <c r="F122" s="775"/>
      <c r="G122" s="775"/>
      <c r="H122" s="775"/>
      <c r="I122" s="775"/>
      <c r="K122" s="221">
        <v>0.05</v>
      </c>
      <c r="L122" s="221">
        <v>0</v>
      </c>
      <c r="M122" s="221">
        <v>0.03</v>
      </c>
      <c r="N122" s="221">
        <v>0.06</v>
      </c>
    </row>
    <row r="123" spans="1:14">
      <c r="A123" s="263" t="s">
        <v>846</v>
      </c>
      <c r="B123" s="227" t="s">
        <v>847</v>
      </c>
      <c r="C123" s="776" t="s">
        <v>848</v>
      </c>
      <c r="D123" s="777"/>
      <c r="E123" s="777"/>
      <c r="F123" s="777"/>
      <c r="G123" s="777"/>
      <c r="H123" s="777"/>
      <c r="I123" s="777"/>
      <c r="K123" s="221">
        <v>0.05</v>
      </c>
      <c r="L123" s="221">
        <v>0</v>
      </c>
      <c r="M123" s="221">
        <v>0.03</v>
      </c>
      <c r="N123" s="221">
        <v>0.06</v>
      </c>
    </row>
    <row r="124" spans="1:14">
      <c r="A124" s="263" t="s">
        <v>849</v>
      </c>
      <c r="B124" s="227" t="s">
        <v>850</v>
      </c>
      <c r="C124" s="776" t="s">
        <v>851</v>
      </c>
      <c r="D124" s="777"/>
      <c r="E124" s="777"/>
      <c r="F124" s="777"/>
      <c r="G124" s="777"/>
      <c r="H124" s="777"/>
      <c r="I124" s="777"/>
      <c r="K124" s="221">
        <v>0.05</v>
      </c>
      <c r="L124" s="221">
        <v>0</v>
      </c>
      <c r="M124" s="221">
        <v>0.03</v>
      </c>
      <c r="N124" s="221">
        <v>0.06</v>
      </c>
    </row>
    <row r="125" spans="1:14">
      <c r="A125" s="263" t="s">
        <v>852</v>
      </c>
      <c r="B125" s="227" t="s">
        <v>853</v>
      </c>
      <c r="C125" s="245"/>
      <c r="D125" s="250"/>
      <c r="E125" s="226"/>
      <c r="F125" s="250"/>
      <c r="G125" s="250"/>
      <c r="H125" s="250"/>
      <c r="I125" s="251"/>
      <c r="K125" s="221">
        <v>0.05</v>
      </c>
      <c r="L125" s="221">
        <v>0</v>
      </c>
      <c r="M125" s="221">
        <v>0.03</v>
      </c>
      <c r="N125" s="221">
        <v>0.06</v>
      </c>
    </row>
    <row r="126" spans="1:14">
      <c r="A126" s="263" t="s">
        <v>854</v>
      </c>
      <c r="B126" s="227" t="s">
        <v>855</v>
      </c>
      <c r="C126" s="776" t="s">
        <v>856</v>
      </c>
      <c r="D126" s="777"/>
      <c r="E126" s="777"/>
      <c r="F126" s="777"/>
      <c r="G126" s="777"/>
      <c r="H126" s="777"/>
      <c r="I126" s="777"/>
      <c r="K126" s="221">
        <v>0.05</v>
      </c>
      <c r="L126" s="221">
        <v>0</v>
      </c>
      <c r="M126" s="221">
        <v>0.03</v>
      </c>
      <c r="N126" s="221">
        <v>0.06</v>
      </c>
    </row>
    <row r="127" spans="1:14">
      <c r="A127" s="263" t="s">
        <v>857</v>
      </c>
      <c r="B127" s="227" t="s">
        <v>858</v>
      </c>
      <c r="C127" s="277"/>
      <c r="D127" s="253"/>
      <c r="E127" s="259"/>
      <c r="F127" s="250"/>
      <c r="G127" s="250"/>
      <c r="H127" s="250"/>
      <c r="I127" s="250"/>
      <c r="K127" s="221">
        <v>0.05</v>
      </c>
      <c r="L127" s="221">
        <v>0</v>
      </c>
      <c r="M127" s="221">
        <v>0.03</v>
      </c>
      <c r="N127" s="221">
        <v>0.06</v>
      </c>
    </row>
    <row r="128" spans="1:14">
      <c r="A128" s="266">
        <v>93</v>
      </c>
      <c r="B128" s="270" t="s">
        <v>859</v>
      </c>
      <c r="C128" s="245"/>
      <c r="D128" s="250"/>
      <c r="E128" s="226"/>
      <c r="F128" s="250"/>
      <c r="G128" s="250"/>
      <c r="H128" s="250"/>
      <c r="I128" s="250"/>
      <c r="K128" s="221">
        <v>0.05</v>
      </c>
      <c r="L128" s="221">
        <v>0</v>
      </c>
      <c r="M128" s="221">
        <v>0.03</v>
      </c>
      <c r="N128" s="221">
        <v>0.06</v>
      </c>
    </row>
    <row r="129" spans="1:14" ht="102.75">
      <c r="A129" s="278">
        <v>94</v>
      </c>
      <c r="B129" s="270" t="s">
        <v>860</v>
      </c>
      <c r="C129" s="245"/>
      <c r="D129" s="250"/>
      <c r="E129" s="226"/>
      <c r="F129" s="226" t="s">
        <v>289</v>
      </c>
      <c r="G129" s="226"/>
      <c r="H129" s="253" t="s">
        <v>861</v>
      </c>
      <c r="I129" s="253" t="s">
        <v>862</v>
      </c>
      <c r="K129" s="269">
        <v>0</v>
      </c>
      <c r="L129" s="269">
        <v>0</v>
      </c>
      <c r="M129" s="221">
        <v>0.03</v>
      </c>
      <c r="N129" s="221">
        <v>0.06</v>
      </c>
    </row>
    <row r="130" spans="1:14">
      <c r="A130" s="278">
        <v>95</v>
      </c>
      <c r="B130" s="270" t="s">
        <v>863</v>
      </c>
      <c r="C130" s="276"/>
      <c r="D130" s="253"/>
      <c r="E130" s="259"/>
      <c r="F130" s="245"/>
      <c r="G130" s="245"/>
      <c r="H130" s="279"/>
      <c r="I130" s="250"/>
      <c r="K130" s="221">
        <v>0.02</v>
      </c>
      <c r="L130" s="221">
        <v>0.01</v>
      </c>
      <c r="M130" s="221">
        <v>0.02</v>
      </c>
      <c r="N130" s="221">
        <v>0.06</v>
      </c>
    </row>
    <row r="131" spans="1:14">
      <c r="A131" s="271">
        <v>96</v>
      </c>
      <c r="B131" s="272" t="s">
        <v>864</v>
      </c>
      <c r="C131" s="223"/>
      <c r="D131" s="256"/>
      <c r="E131" s="257"/>
      <c r="F131" s="273" t="s">
        <v>289</v>
      </c>
      <c r="G131" s="273"/>
      <c r="H131" s="256"/>
      <c r="I131" s="256"/>
      <c r="K131" s="221">
        <v>0</v>
      </c>
      <c r="L131" s="221">
        <v>0</v>
      </c>
      <c r="M131" s="221">
        <v>0.03</v>
      </c>
      <c r="N131" s="221">
        <v>0.06</v>
      </c>
    </row>
    <row r="132" spans="1:14">
      <c r="A132" s="278">
        <v>97</v>
      </c>
      <c r="B132" s="270" t="s">
        <v>865</v>
      </c>
      <c r="C132" s="277"/>
      <c r="D132" s="277"/>
      <c r="E132" s="259"/>
      <c r="F132" s="245"/>
      <c r="G132" s="245"/>
      <c r="H132" s="250"/>
      <c r="I132" s="250"/>
      <c r="K132" s="221">
        <v>0.02</v>
      </c>
      <c r="L132" s="221">
        <v>0</v>
      </c>
      <c r="M132" s="221">
        <v>0.03</v>
      </c>
      <c r="N132" s="221">
        <v>0.06</v>
      </c>
    </row>
    <row r="133" spans="1:14">
      <c r="A133" s="278">
        <v>98</v>
      </c>
      <c r="B133" s="270" t="s">
        <v>866</v>
      </c>
      <c r="C133" s="249"/>
      <c r="D133" s="250"/>
      <c r="E133" s="226"/>
      <c r="F133" s="250"/>
      <c r="G133" s="250"/>
      <c r="H133" s="250"/>
      <c r="I133" s="250"/>
      <c r="K133" s="221">
        <v>0.05</v>
      </c>
      <c r="L133" s="221">
        <v>0</v>
      </c>
      <c r="M133" s="221">
        <v>0.03</v>
      </c>
      <c r="N133" s="221">
        <v>0.06</v>
      </c>
    </row>
    <row r="134" spans="1:14">
      <c r="A134" s="266">
        <v>99</v>
      </c>
      <c r="B134" s="270" t="s">
        <v>867</v>
      </c>
      <c r="C134" s="265"/>
      <c r="D134" s="265"/>
      <c r="E134" s="226"/>
      <c r="F134" s="267" t="s">
        <v>289</v>
      </c>
      <c r="G134" s="267"/>
      <c r="H134" s="265"/>
      <c r="I134" s="265"/>
      <c r="K134" s="221">
        <v>0</v>
      </c>
      <c r="L134" s="221">
        <v>0.01</v>
      </c>
      <c r="M134" s="221">
        <v>0.02</v>
      </c>
      <c r="N134" s="221">
        <v>0.02</v>
      </c>
    </row>
    <row r="135" spans="1:14" ht="26.25">
      <c r="A135" s="266">
        <v>100</v>
      </c>
      <c r="B135" s="270" t="s">
        <v>868</v>
      </c>
      <c r="C135" s="245"/>
      <c r="D135" s="250"/>
      <c r="E135" s="226"/>
      <c r="F135" s="226" t="s">
        <v>289</v>
      </c>
      <c r="G135" s="226"/>
      <c r="H135" s="253" t="s">
        <v>869</v>
      </c>
      <c r="I135" s="253" t="s">
        <v>870</v>
      </c>
      <c r="K135" s="221">
        <v>0</v>
      </c>
      <c r="L135" s="221">
        <v>0.06</v>
      </c>
      <c r="M135" s="221">
        <v>0.03</v>
      </c>
      <c r="N135" s="221">
        <v>0.06</v>
      </c>
    </row>
    <row r="136" spans="1:14" ht="39">
      <c r="A136" s="266">
        <v>101</v>
      </c>
      <c r="B136" s="244" t="s">
        <v>871</v>
      </c>
      <c r="C136" s="245"/>
      <c r="D136" s="250"/>
      <c r="E136" s="226"/>
      <c r="F136" s="253" t="s">
        <v>872</v>
      </c>
      <c r="G136" s="253"/>
      <c r="H136" s="252" t="s">
        <v>873</v>
      </c>
      <c r="I136" s="252" t="s">
        <v>874</v>
      </c>
      <c r="K136" s="221">
        <v>0.05</v>
      </c>
      <c r="L136" s="221">
        <v>0.06</v>
      </c>
      <c r="M136" s="221">
        <v>0.03</v>
      </c>
      <c r="N136" s="221">
        <v>0.06</v>
      </c>
    </row>
    <row r="137" spans="1:14">
      <c r="A137" s="280">
        <v>102</v>
      </c>
      <c r="B137" s="275" t="s">
        <v>875</v>
      </c>
      <c r="C137" s="267" t="s">
        <v>699</v>
      </c>
      <c r="D137" s="267"/>
      <c r="E137" s="267"/>
      <c r="F137" s="259"/>
      <c r="G137" s="259"/>
      <c r="H137" s="259"/>
      <c r="I137" s="259"/>
      <c r="K137" s="221"/>
      <c r="L137" s="221"/>
      <c r="M137" s="221"/>
      <c r="N137" s="221"/>
    </row>
    <row r="138" spans="1:14">
      <c r="A138" s="227" t="s">
        <v>876</v>
      </c>
      <c r="B138" s="261" t="s">
        <v>877</v>
      </c>
      <c r="C138" s="245"/>
      <c r="D138" s="250"/>
      <c r="E138" s="226"/>
      <c r="F138" s="226"/>
      <c r="G138" s="226"/>
      <c r="H138" s="226"/>
      <c r="I138" s="245" t="s">
        <v>878</v>
      </c>
      <c r="K138" s="221">
        <v>0</v>
      </c>
      <c r="L138" s="221">
        <v>0.01</v>
      </c>
      <c r="M138" s="221">
        <v>0</v>
      </c>
      <c r="N138" s="221">
        <v>0.02</v>
      </c>
    </row>
    <row r="139" spans="1:14">
      <c r="A139" s="227" t="s">
        <v>879</v>
      </c>
      <c r="B139" s="261" t="s">
        <v>880</v>
      </c>
      <c r="C139" s="245"/>
      <c r="D139" s="250"/>
      <c r="E139" s="226"/>
      <c r="F139" s="226"/>
      <c r="G139" s="226"/>
      <c r="H139" s="226"/>
      <c r="I139" s="250" t="s">
        <v>878</v>
      </c>
      <c r="K139" s="221">
        <v>0</v>
      </c>
      <c r="L139" s="221">
        <v>0.06</v>
      </c>
      <c r="M139" s="221">
        <v>0</v>
      </c>
      <c r="N139" s="221">
        <v>0.06</v>
      </c>
    </row>
  </sheetData>
  <autoFilter ref="A1:I139" xr:uid="{00000000-0009-0000-0000-000008000000}">
    <filterColumn colId="5" showButton="0"/>
    <filterColumn colId="6" showButton="0"/>
    <filterColumn colId="7" showButton="0"/>
  </autoFilter>
  <mergeCells count="11">
    <mergeCell ref="K1:N1"/>
    <mergeCell ref="C122:I122"/>
    <mergeCell ref="C123:I123"/>
    <mergeCell ref="C124:I124"/>
    <mergeCell ref="C126:I126"/>
    <mergeCell ref="F1:I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A1:H70"/>
  <sheetViews>
    <sheetView topLeftCell="A27" workbookViewId="0">
      <selection activeCell="F41" sqref="F41"/>
    </sheetView>
  </sheetViews>
  <sheetFormatPr defaultRowHeight="15"/>
  <cols>
    <col min="1" max="1" width="43.85546875" customWidth="1"/>
    <col min="2" max="2" width="18.42578125" customWidth="1"/>
    <col min="3" max="3" width="16.28515625" customWidth="1"/>
    <col min="4" max="4" width="16" bestFit="1" customWidth="1"/>
    <col min="5" max="5" width="17.42578125" customWidth="1"/>
    <col min="6" max="6" width="22.28515625" customWidth="1"/>
  </cols>
  <sheetData>
    <row r="1" spans="1:6">
      <c r="A1" s="783" t="s">
        <v>212</v>
      </c>
      <c r="B1" s="783"/>
      <c r="C1" s="783"/>
      <c r="D1" s="783"/>
      <c r="E1" s="783"/>
      <c r="F1" s="783"/>
    </row>
    <row r="2" spans="1:6">
      <c r="A2" s="62"/>
      <c r="B2" s="63" t="s">
        <v>596</v>
      </c>
      <c r="C2" s="63" t="s">
        <v>597</v>
      </c>
      <c r="D2" s="64" t="s">
        <v>213</v>
      </c>
      <c r="E2" s="65" t="s">
        <v>214</v>
      </c>
      <c r="F2" s="66" t="s">
        <v>215</v>
      </c>
    </row>
    <row r="3" spans="1:6">
      <c r="A3" s="67" t="s">
        <v>216</v>
      </c>
      <c r="B3" s="784" t="s">
        <v>936</v>
      </c>
      <c r="C3" s="785"/>
      <c r="D3" s="64"/>
      <c r="E3" s="65"/>
      <c r="F3" s="66"/>
    </row>
    <row r="4" spans="1:6">
      <c r="A4" s="68" t="s">
        <v>217</v>
      </c>
      <c r="B4" s="206">
        <f>('Financials - combined'!B23)</f>
        <v>599112</v>
      </c>
      <c r="C4" s="206">
        <f>('Financials - combined'!D23)</f>
        <v>13.75</v>
      </c>
      <c r="D4" s="70">
        <f t="shared" ref="D4:D28" si="0">(B4+C4)/2</f>
        <v>299562.875</v>
      </c>
      <c r="E4" s="71">
        <v>1</v>
      </c>
      <c r="F4" s="72">
        <f t="shared" ref="F4:F28" si="1">+D4*E4</f>
        <v>299562.875</v>
      </c>
    </row>
    <row r="5" spans="1:6">
      <c r="A5" s="68" t="s">
        <v>218</v>
      </c>
      <c r="B5" s="206">
        <f>'Financials - combined'!B17</f>
        <v>1</v>
      </c>
      <c r="C5" s="206">
        <f>'Financials - combined'!D17</f>
        <v>0.25</v>
      </c>
      <c r="D5" s="70">
        <f>IF(AVERAGE(B5,C5)&gt;(B5*2/3),(B5+C5)/2,B5*2/3)</f>
        <v>0.66666666666666663</v>
      </c>
      <c r="E5" s="71">
        <v>1</v>
      </c>
      <c r="F5" s="72">
        <f t="shared" si="1"/>
        <v>0.66666666666666663</v>
      </c>
    </row>
    <row r="6" spans="1:6">
      <c r="A6" s="68" t="s">
        <v>219</v>
      </c>
      <c r="B6" s="206">
        <f>'Financials - combined'!B27</f>
        <v>1</v>
      </c>
      <c r="C6" s="206">
        <f>'Financials - combined'!D27</f>
        <v>1</v>
      </c>
      <c r="D6" s="70">
        <f t="shared" si="0"/>
        <v>1</v>
      </c>
      <c r="E6" s="71">
        <v>1</v>
      </c>
      <c r="F6" s="72">
        <f t="shared" si="1"/>
        <v>1</v>
      </c>
    </row>
    <row r="7" spans="1:6">
      <c r="A7" s="68" t="s">
        <v>220</v>
      </c>
      <c r="B7" s="206">
        <f>'Financials - combined'!B28</f>
        <v>1</v>
      </c>
      <c r="C7" s="206">
        <f>'Financials - combined'!D28</f>
        <v>1</v>
      </c>
      <c r="D7" s="70">
        <f t="shared" si="0"/>
        <v>1</v>
      </c>
      <c r="E7" s="71">
        <v>1</v>
      </c>
      <c r="F7" s="72">
        <f t="shared" si="1"/>
        <v>1</v>
      </c>
    </row>
    <row r="8" spans="1:6">
      <c r="A8" s="68" t="s">
        <v>221</v>
      </c>
      <c r="B8" s="206">
        <f>'Financials - combined'!B18</f>
        <v>34</v>
      </c>
      <c r="C8" s="206">
        <f>'Financials - combined'!D18</f>
        <v>34</v>
      </c>
      <c r="D8" s="70">
        <f t="shared" si="0"/>
        <v>34</v>
      </c>
      <c r="E8" s="71">
        <v>1</v>
      </c>
      <c r="F8" s="72">
        <f t="shared" si="1"/>
        <v>34</v>
      </c>
    </row>
    <row r="9" spans="1:6">
      <c r="A9" s="68" t="s">
        <v>222</v>
      </c>
      <c r="B9" s="73"/>
      <c r="C9" s="73"/>
      <c r="D9" s="70">
        <f t="shared" si="0"/>
        <v>0</v>
      </c>
      <c r="E9" s="74">
        <v>0.75</v>
      </c>
      <c r="F9" s="72">
        <f t="shared" si="1"/>
        <v>0</v>
      </c>
    </row>
    <row r="10" spans="1:6">
      <c r="A10" s="68" t="s">
        <v>223</v>
      </c>
      <c r="B10" s="73"/>
      <c r="C10" s="73"/>
      <c r="D10" s="70">
        <f t="shared" si="0"/>
        <v>0</v>
      </c>
      <c r="E10" s="71">
        <v>0.5</v>
      </c>
      <c r="F10" s="72">
        <f t="shared" si="1"/>
        <v>0</v>
      </c>
    </row>
    <row r="11" spans="1:6">
      <c r="A11" s="68" t="s">
        <v>224</v>
      </c>
      <c r="B11" s="73"/>
      <c r="C11" s="73"/>
      <c r="D11" s="70">
        <f t="shared" si="0"/>
        <v>0</v>
      </c>
      <c r="E11" s="71">
        <v>0.5</v>
      </c>
      <c r="F11" s="72">
        <f t="shared" si="1"/>
        <v>0</v>
      </c>
    </row>
    <row r="12" spans="1:6">
      <c r="A12" s="68" t="s">
        <v>225</v>
      </c>
      <c r="B12" s="73"/>
      <c r="C12" s="73"/>
      <c r="D12" s="70">
        <f t="shared" si="0"/>
        <v>0</v>
      </c>
      <c r="E12" s="74">
        <v>0.5</v>
      </c>
      <c r="F12" s="72">
        <f t="shared" si="1"/>
        <v>0</v>
      </c>
    </row>
    <row r="13" spans="1:6">
      <c r="A13" s="68" t="s">
        <v>226</v>
      </c>
      <c r="B13" s="73">
        <v>2</v>
      </c>
      <c r="C13" s="73"/>
      <c r="D13" s="70">
        <f t="shared" si="0"/>
        <v>1</v>
      </c>
      <c r="E13" s="74">
        <v>1</v>
      </c>
      <c r="F13" s="72">
        <f>-D13*E13</f>
        <v>-1</v>
      </c>
    </row>
    <row r="14" spans="1:6">
      <c r="A14" s="68" t="s">
        <v>227</v>
      </c>
      <c r="B14" s="73"/>
      <c r="C14" s="73"/>
      <c r="D14" s="70">
        <f t="shared" si="0"/>
        <v>0</v>
      </c>
      <c r="E14" s="74">
        <v>0.25</v>
      </c>
      <c r="F14" s="72">
        <f t="shared" si="1"/>
        <v>0</v>
      </c>
    </row>
    <row r="15" spans="1:6" ht="29.25">
      <c r="A15" s="68" t="s">
        <v>228</v>
      </c>
      <c r="B15" s="73">
        <v>0.5</v>
      </c>
      <c r="C15" s="73">
        <v>0.5</v>
      </c>
      <c r="D15" s="70">
        <f t="shared" si="0"/>
        <v>0.5</v>
      </c>
      <c r="E15" s="71">
        <v>1</v>
      </c>
      <c r="F15" s="72">
        <f>-D15*E15</f>
        <v>-0.5</v>
      </c>
    </row>
    <row r="16" spans="1:6">
      <c r="A16" s="68" t="s">
        <v>229</v>
      </c>
      <c r="B16" s="73">
        <v>0.5</v>
      </c>
      <c r="C16" s="73">
        <v>0.5</v>
      </c>
      <c r="D16" s="70">
        <f t="shared" si="0"/>
        <v>0.5</v>
      </c>
      <c r="E16" s="71">
        <v>1</v>
      </c>
      <c r="F16" s="72">
        <f>-D16*E16</f>
        <v>-0.5</v>
      </c>
    </row>
    <row r="17" spans="1:7">
      <c r="A17" s="75" t="s">
        <v>230</v>
      </c>
      <c r="B17" s="73"/>
      <c r="C17" s="73"/>
      <c r="D17" s="70">
        <f t="shared" si="0"/>
        <v>0</v>
      </c>
      <c r="E17" s="74">
        <v>0.25</v>
      </c>
      <c r="F17" s="72">
        <f t="shared" si="1"/>
        <v>0</v>
      </c>
    </row>
    <row r="18" spans="1:7">
      <c r="A18" s="75" t="s">
        <v>230</v>
      </c>
      <c r="B18" s="73"/>
      <c r="C18" s="73"/>
      <c r="D18" s="70">
        <f t="shared" si="0"/>
        <v>0</v>
      </c>
      <c r="E18" s="74">
        <v>0.25</v>
      </c>
      <c r="F18" s="72">
        <f t="shared" si="1"/>
        <v>0</v>
      </c>
    </row>
    <row r="19" spans="1:7">
      <c r="A19" s="75" t="s">
        <v>230</v>
      </c>
      <c r="B19" s="73"/>
      <c r="C19" s="73"/>
      <c r="D19" s="70">
        <f t="shared" si="0"/>
        <v>0</v>
      </c>
      <c r="E19" s="74">
        <v>0.25</v>
      </c>
      <c r="F19" s="72">
        <f t="shared" si="1"/>
        <v>0</v>
      </c>
    </row>
    <row r="20" spans="1:7">
      <c r="A20" s="75" t="s">
        <v>230</v>
      </c>
      <c r="B20" s="73"/>
      <c r="C20" s="73"/>
      <c r="D20" s="70">
        <f t="shared" si="0"/>
        <v>0</v>
      </c>
      <c r="E20" s="74">
        <v>0.25</v>
      </c>
      <c r="F20" s="72">
        <f t="shared" si="1"/>
        <v>0</v>
      </c>
    </row>
    <row r="21" spans="1:7">
      <c r="A21" s="75" t="s">
        <v>230</v>
      </c>
      <c r="B21" s="73"/>
      <c r="C21" s="73"/>
      <c r="D21" s="70">
        <f t="shared" si="0"/>
        <v>0</v>
      </c>
      <c r="E21" s="74">
        <v>0.25</v>
      </c>
      <c r="F21" s="72">
        <f t="shared" si="1"/>
        <v>0</v>
      </c>
    </row>
    <row r="22" spans="1:7">
      <c r="A22" s="75" t="s">
        <v>230</v>
      </c>
      <c r="B22" s="73"/>
      <c r="C22" s="73"/>
      <c r="D22" s="70">
        <f t="shared" si="0"/>
        <v>0</v>
      </c>
      <c r="E22" s="74">
        <v>0.25</v>
      </c>
      <c r="F22" s="72">
        <f t="shared" si="1"/>
        <v>0</v>
      </c>
    </row>
    <row r="23" spans="1:7">
      <c r="A23" s="75" t="s">
        <v>230</v>
      </c>
      <c r="B23" s="73"/>
      <c r="C23" s="73"/>
      <c r="D23" s="70">
        <f t="shared" si="0"/>
        <v>0</v>
      </c>
      <c r="E23" s="74">
        <v>0.25</v>
      </c>
      <c r="F23" s="72">
        <f t="shared" si="1"/>
        <v>0</v>
      </c>
    </row>
    <row r="24" spans="1:7">
      <c r="A24" s="75" t="s">
        <v>230</v>
      </c>
      <c r="B24" s="73"/>
      <c r="C24" s="73"/>
      <c r="D24" s="70">
        <f t="shared" si="0"/>
        <v>0</v>
      </c>
      <c r="E24" s="74">
        <v>0.25</v>
      </c>
      <c r="F24" s="72">
        <f t="shared" si="1"/>
        <v>0</v>
      </c>
    </row>
    <row r="25" spans="1:7">
      <c r="A25" s="75" t="s">
        <v>230</v>
      </c>
      <c r="B25" s="73"/>
      <c r="C25" s="73"/>
      <c r="D25" s="70">
        <f t="shared" si="0"/>
        <v>0</v>
      </c>
      <c r="E25" s="74">
        <v>0.25</v>
      </c>
      <c r="F25" s="72">
        <f t="shared" si="1"/>
        <v>0</v>
      </c>
    </row>
    <row r="26" spans="1:7">
      <c r="A26" s="75" t="s">
        <v>230</v>
      </c>
      <c r="B26" s="73"/>
      <c r="C26" s="73"/>
      <c r="D26" s="70">
        <f t="shared" si="0"/>
        <v>0</v>
      </c>
      <c r="E26" s="74">
        <v>0.25</v>
      </c>
      <c r="F26" s="72">
        <f t="shared" si="1"/>
        <v>0</v>
      </c>
    </row>
    <row r="27" spans="1:7">
      <c r="A27" s="75" t="s">
        <v>230</v>
      </c>
      <c r="B27" s="73"/>
      <c r="C27" s="73"/>
      <c r="D27" s="70">
        <f t="shared" si="0"/>
        <v>0</v>
      </c>
      <c r="E27" s="74">
        <v>0.25</v>
      </c>
      <c r="F27" s="72">
        <f t="shared" si="1"/>
        <v>0</v>
      </c>
    </row>
    <row r="28" spans="1:7">
      <c r="A28" s="76" t="s">
        <v>68</v>
      </c>
      <c r="B28" s="69">
        <f>-'Financials - combined'!B24</f>
        <v>-1</v>
      </c>
      <c r="C28" s="69">
        <f>-'Financials - combined'!D24</f>
        <v>-1</v>
      </c>
      <c r="D28" s="70">
        <f t="shared" si="0"/>
        <v>-1</v>
      </c>
      <c r="E28" s="71">
        <v>1</v>
      </c>
      <c r="F28" s="72">
        <f t="shared" si="1"/>
        <v>-1</v>
      </c>
    </row>
    <row r="29" spans="1:7">
      <c r="A29" s="67" t="s">
        <v>231</v>
      </c>
      <c r="B29" s="786"/>
      <c r="C29" s="786"/>
      <c r="D29" s="786"/>
      <c r="E29" s="786"/>
      <c r="F29" s="70">
        <f>SUM(F4:F28)</f>
        <v>299596.54166666669</v>
      </c>
    </row>
    <row r="30" spans="1:7">
      <c r="A30" s="77" t="s">
        <v>232</v>
      </c>
      <c r="B30" s="780"/>
      <c r="C30" s="780"/>
      <c r="D30" s="780"/>
      <c r="E30" s="77"/>
      <c r="F30" s="70">
        <f>F29/12</f>
        <v>24966.378472222223</v>
      </c>
    </row>
    <row r="31" spans="1:7">
      <c r="A31" s="78" t="s">
        <v>233</v>
      </c>
      <c r="B31" s="780"/>
      <c r="C31" s="780"/>
      <c r="D31" s="780"/>
      <c r="E31" s="77"/>
      <c r="F31" s="79"/>
    </row>
    <row r="32" spans="1:7">
      <c r="A32" s="77" t="s">
        <v>234</v>
      </c>
      <c r="B32" s="782"/>
      <c r="C32" s="782"/>
      <c r="D32" s="782"/>
      <c r="E32" s="77"/>
      <c r="F32" s="70">
        <f>E75</f>
        <v>0</v>
      </c>
      <c r="G32" t="s">
        <v>894</v>
      </c>
    </row>
    <row r="33" spans="1:7" ht="28.5">
      <c r="A33" s="80" t="s">
        <v>235</v>
      </c>
      <c r="B33" s="780"/>
      <c r="C33" s="780"/>
      <c r="D33" s="780"/>
      <c r="E33" s="77"/>
      <c r="F33" s="81">
        <v>1.35</v>
      </c>
    </row>
    <row r="34" spans="1:7">
      <c r="A34" s="77" t="s">
        <v>236</v>
      </c>
      <c r="B34" s="780"/>
      <c r="C34" s="780"/>
      <c r="D34" s="780"/>
      <c r="E34" s="77"/>
      <c r="F34" s="82">
        <f>F30*F33-F32</f>
        <v>33704.610937500001</v>
      </c>
    </row>
    <row r="35" spans="1:7">
      <c r="A35" s="77" t="s">
        <v>237</v>
      </c>
      <c r="B35" s="780"/>
      <c r="C35" s="780"/>
      <c r="D35" s="780"/>
      <c r="E35" s="77"/>
      <c r="F35" s="83">
        <f>Input!B14</f>
        <v>180</v>
      </c>
    </row>
    <row r="36" spans="1:7">
      <c r="A36" s="77" t="s">
        <v>238</v>
      </c>
      <c r="B36" s="780"/>
      <c r="C36" s="780"/>
      <c r="D36" s="780"/>
      <c r="E36" s="77"/>
      <c r="F36" s="81">
        <f>Input!B15</f>
        <v>8.3500000000000005E-2</v>
      </c>
    </row>
    <row r="37" spans="1:7">
      <c r="A37" s="77" t="s">
        <v>239</v>
      </c>
      <c r="B37" s="780"/>
      <c r="C37" s="780"/>
      <c r="D37" s="780"/>
      <c r="E37" s="77"/>
      <c r="F37" s="84">
        <f>PMT(F36/12,F35,-100000)</f>
        <v>975.96678414718815</v>
      </c>
    </row>
    <row r="38" spans="1:7">
      <c r="A38" s="77" t="s">
        <v>240</v>
      </c>
      <c r="B38" s="780"/>
      <c r="C38" s="780"/>
      <c r="D38" s="780"/>
      <c r="E38" s="85"/>
      <c r="F38" s="84">
        <f>F34/F37-0.01</f>
        <v>34.524588148869746</v>
      </c>
    </row>
    <row r="39" spans="1:7">
      <c r="A39" s="781" t="s">
        <v>241</v>
      </c>
      <c r="B39" s="781"/>
      <c r="C39" s="781"/>
      <c r="D39" s="781"/>
      <c r="E39" s="781"/>
      <c r="F39" s="781"/>
    </row>
    <row r="40" spans="1:7">
      <c r="A40" s="77" t="s">
        <v>237</v>
      </c>
      <c r="B40" s="780"/>
      <c r="C40" s="780"/>
      <c r="D40" s="780"/>
      <c r="E40" s="780"/>
      <c r="F40" s="86">
        <f>F35</f>
        <v>180</v>
      </c>
    </row>
    <row r="41" spans="1:7">
      <c r="A41" s="77" t="s">
        <v>242</v>
      </c>
      <c r="B41" s="780"/>
      <c r="C41" s="780"/>
      <c r="D41" s="780"/>
      <c r="E41" s="780"/>
      <c r="F41" s="87">
        <f>+F36</f>
        <v>8.3500000000000005E-2</v>
      </c>
    </row>
    <row r="42" spans="1:7">
      <c r="A42" s="77" t="s">
        <v>243</v>
      </c>
      <c r="B42" s="780"/>
      <c r="C42" s="780"/>
      <c r="D42" s="780"/>
      <c r="E42" s="780"/>
      <c r="F42" s="88">
        <v>100</v>
      </c>
    </row>
    <row r="43" spans="1:7">
      <c r="A43" s="77" t="s">
        <v>244</v>
      </c>
      <c r="B43" s="780"/>
      <c r="C43" s="780"/>
      <c r="D43" s="780"/>
      <c r="E43" s="780"/>
      <c r="F43" s="82">
        <f>ROUNDUP(F42*F37,0)</f>
        <v>97597</v>
      </c>
    </row>
    <row r="44" spans="1:7">
      <c r="A44" s="77" t="s">
        <v>245</v>
      </c>
      <c r="B44" s="779"/>
      <c r="C44" s="779"/>
      <c r="D44" s="779"/>
      <c r="E44" s="779"/>
      <c r="F44" s="89">
        <f>(F43+F32)/F30</f>
        <v>3.9091372466610301</v>
      </c>
    </row>
    <row r="45" spans="1:7">
      <c r="A45" s="90" t="s">
        <v>246</v>
      </c>
      <c r="B45" s="779"/>
      <c r="C45" s="779"/>
      <c r="D45" s="779"/>
      <c r="E45" s="779"/>
      <c r="F45" s="91">
        <v>0.45</v>
      </c>
    </row>
    <row r="46" spans="1:7">
      <c r="A46" s="90" t="s">
        <v>885</v>
      </c>
      <c r="B46" s="779"/>
      <c r="C46" s="779"/>
      <c r="D46" s="779"/>
      <c r="E46" s="779"/>
      <c r="F46" s="91">
        <v>0.9</v>
      </c>
      <c r="G46" t="s">
        <v>902</v>
      </c>
    </row>
    <row r="47" spans="1:7">
      <c r="A47" s="90" t="s">
        <v>247</v>
      </c>
      <c r="B47" s="780"/>
      <c r="C47" s="780"/>
      <c r="D47" s="780"/>
      <c r="E47" s="780"/>
      <c r="F47" s="73">
        <v>650</v>
      </c>
    </row>
    <row r="48" spans="1:7">
      <c r="A48" s="90" t="s">
        <v>248</v>
      </c>
      <c r="B48" s="780"/>
      <c r="C48" s="780"/>
      <c r="D48" s="780"/>
      <c r="E48" s="780"/>
      <c r="F48" s="89">
        <f>F42/F47</f>
        <v>0.15384615384615385</v>
      </c>
    </row>
    <row r="49" spans="1:6">
      <c r="A49" s="90" t="s">
        <v>249</v>
      </c>
      <c r="B49" s="780"/>
      <c r="C49" s="780"/>
      <c r="D49" s="780"/>
      <c r="E49" s="780"/>
      <c r="F49" s="89">
        <f>(F42+Input!B22+Input!C22)/'Normal &amp; CGTMSE Eligibility'!F47</f>
        <v>0.15384615384615385</v>
      </c>
    </row>
    <row r="50" spans="1:6">
      <c r="A50" s="90" t="s">
        <v>250</v>
      </c>
      <c r="B50" s="778"/>
      <c r="C50" s="778"/>
      <c r="D50" s="778"/>
      <c r="E50" s="778"/>
      <c r="F50" s="89">
        <f>F48+F44</f>
        <v>4.0629834005071839</v>
      </c>
    </row>
    <row r="51" spans="1:6">
      <c r="A51" s="90" t="s">
        <v>886</v>
      </c>
      <c r="B51" s="778"/>
      <c r="C51" s="778"/>
      <c r="D51" s="778"/>
      <c r="E51" s="778"/>
      <c r="F51" s="283">
        <f>F46*F47</f>
        <v>585</v>
      </c>
    </row>
    <row r="52" spans="1:6">
      <c r="A52" s="90" t="s">
        <v>887</v>
      </c>
      <c r="B52" s="778"/>
      <c r="C52" s="778"/>
      <c r="D52" s="778"/>
      <c r="E52" s="778"/>
      <c r="F52" s="283">
        <f>MIN(F38,F51)</f>
        <v>34.524588148869746</v>
      </c>
    </row>
    <row r="65" spans="1:8">
      <c r="A65" t="s">
        <v>1171</v>
      </c>
      <c r="C65">
        <v>0</v>
      </c>
      <c r="E65">
        <v>139820</v>
      </c>
      <c r="G65">
        <v>0</v>
      </c>
      <c r="H65" t="s">
        <v>1177</v>
      </c>
    </row>
    <row r="66" spans="1:8">
      <c r="A66" t="s">
        <v>1172</v>
      </c>
      <c r="C66">
        <v>0</v>
      </c>
      <c r="E66">
        <v>26740</v>
      </c>
      <c r="G66">
        <v>0</v>
      </c>
      <c r="H66" t="s">
        <v>1177</v>
      </c>
    </row>
    <row r="67" spans="1:8">
      <c r="A67" t="s">
        <v>1173</v>
      </c>
      <c r="C67">
        <v>0</v>
      </c>
      <c r="E67">
        <v>917</v>
      </c>
      <c r="G67">
        <v>0</v>
      </c>
      <c r="H67" t="s">
        <v>1177</v>
      </c>
    </row>
    <row r="68" spans="1:8">
      <c r="A68" t="s">
        <v>1174</v>
      </c>
      <c r="C68">
        <v>0</v>
      </c>
      <c r="E68">
        <v>4089</v>
      </c>
      <c r="G68">
        <v>0</v>
      </c>
      <c r="H68" t="s">
        <v>1177</v>
      </c>
    </row>
    <row r="69" spans="1:8">
      <c r="A69" t="s">
        <v>1175</v>
      </c>
      <c r="C69">
        <v>0</v>
      </c>
      <c r="E69">
        <v>140422</v>
      </c>
      <c r="G69">
        <v>0</v>
      </c>
      <c r="H69" t="s">
        <v>38</v>
      </c>
    </row>
    <row r="70" spans="1:8">
      <c r="A70" t="s">
        <v>1176</v>
      </c>
      <c r="C70">
        <v>0</v>
      </c>
      <c r="E70">
        <v>4196</v>
      </c>
      <c r="G70">
        <v>0</v>
      </c>
      <c r="H70" t="s">
        <v>1177</v>
      </c>
    </row>
  </sheetData>
  <mergeCells count="26">
    <mergeCell ref="B32:D32"/>
    <mergeCell ref="A1:F1"/>
    <mergeCell ref="B3:C3"/>
    <mergeCell ref="B29:E29"/>
    <mergeCell ref="B30:D30"/>
    <mergeCell ref="B31:D31"/>
    <mergeCell ref="B44:E44"/>
    <mergeCell ref="B33:D33"/>
    <mergeCell ref="B34:D34"/>
    <mergeCell ref="B35:D35"/>
    <mergeCell ref="B36:D36"/>
    <mergeCell ref="B37:D37"/>
    <mergeCell ref="B38:D38"/>
    <mergeCell ref="A39:F39"/>
    <mergeCell ref="B40:E40"/>
    <mergeCell ref="B41:E41"/>
    <mergeCell ref="B42:E42"/>
    <mergeCell ref="B43:E43"/>
    <mergeCell ref="B51:E51"/>
    <mergeCell ref="B52:E52"/>
    <mergeCell ref="B45:E45"/>
    <mergeCell ref="B47:E47"/>
    <mergeCell ref="B48:E48"/>
    <mergeCell ref="B49:E49"/>
    <mergeCell ref="B50:E50"/>
    <mergeCell ref="B46:E46"/>
  </mergeCells>
  <dataValidations disablePrompts="1" count="1">
    <dataValidation type="textLength" operator="equal" showInputMessage="1" showErrorMessage="1" errorTitle="Not Allowed" error="Click on the Link to enter POS in Variant Input &amp; Comparison sheet" sqref="F31" xr:uid="{00000000-0002-0000-0900-000000000000}">
      <formula1>0</formula1>
    </dataValidation>
  </dataValidations>
  <hyperlinks>
    <hyperlink ref="A31" location="'Variant Inputs &amp; Comparison'!B7" display="If Topup, Click here to enter" xr:uid="{00000000-0004-0000-09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961F-AD81-4D34-AABC-51D5FD7784BB}">
  <sheetPr codeName="Sheet28">
    <tabColor theme="3" tint="-0.499984740745262"/>
  </sheetPr>
  <dimension ref="A1:BD36"/>
  <sheetViews>
    <sheetView zoomScale="90" zoomScaleNormal="90" workbookViewId="0">
      <selection activeCell="H16" sqref="H16:J16"/>
    </sheetView>
  </sheetViews>
  <sheetFormatPr defaultRowHeight="12.75" outlineLevelRow="1"/>
  <cols>
    <col min="1" max="1" width="1.7109375" style="366" customWidth="1"/>
    <col min="2" max="2" width="4.5703125" style="367" customWidth="1"/>
    <col min="3" max="3" width="22.5703125" style="367" customWidth="1"/>
    <col min="4" max="4" width="20.7109375" style="367" customWidth="1"/>
    <col min="5" max="5" width="14.140625" style="367" customWidth="1"/>
    <col min="6" max="7" width="11.7109375" style="367" customWidth="1"/>
    <col min="8" max="8" width="11.140625" style="367" customWidth="1"/>
    <col min="9" max="9" width="14.140625" style="367" customWidth="1"/>
    <col min="10" max="11" width="7.7109375" style="367" customWidth="1"/>
    <col min="12" max="12" width="4" style="367" customWidth="1"/>
    <col min="13" max="13" width="9.7109375" style="367" customWidth="1"/>
    <col min="14" max="14" width="12" style="367" customWidth="1"/>
    <col min="15" max="15" width="5.7109375" style="367" customWidth="1"/>
    <col min="16" max="16" width="7.28515625" style="367" customWidth="1"/>
    <col min="17" max="17" width="9.7109375" style="367" customWidth="1"/>
    <col min="18" max="18" width="13.7109375" style="367" customWidth="1"/>
    <col min="19" max="19" width="5.140625" style="367" customWidth="1"/>
    <col min="20" max="20" width="9.7109375" style="367" customWidth="1"/>
    <col min="21" max="21" width="12.5703125" style="367" customWidth="1"/>
    <col min="22" max="22" width="5.140625" style="367" customWidth="1"/>
    <col min="23" max="23" width="9.7109375" style="367" customWidth="1"/>
    <col min="24" max="24" width="12.7109375" style="367" customWidth="1"/>
    <col min="25" max="25" width="5.140625" style="367" customWidth="1"/>
    <col min="26" max="26" width="9.7109375" style="367" customWidth="1"/>
    <col min="27" max="27" width="12.7109375" style="367" customWidth="1"/>
    <col min="28" max="28" width="5.140625" style="367" customWidth="1"/>
    <col min="29" max="29" width="9.7109375" style="367" customWidth="1"/>
    <col min="30" max="30" width="12.7109375" style="367" customWidth="1"/>
    <col min="31" max="31" width="5.140625" style="367" customWidth="1"/>
    <col min="32" max="32" width="9.7109375" style="367" customWidth="1"/>
    <col min="33" max="33" width="12.7109375" style="367" customWidth="1"/>
    <col min="34" max="34" width="5.140625" style="367" customWidth="1"/>
    <col min="35" max="35" width="9.7109375" style="367" customWidth="1"/>
    <col min="36" max="36" width="12.7109375" style="367" customWidth="1"/>
    <col min="37" max="37" width="5.140625" style="367" customWidth="1"/>
    <col min="38" max="38" width="9.7109375" style="367" customWidth="1"/>
    <col min="39" max="39" width="12.7109375" style="367" customWidth="1"/>
    <col min="40" max="40" width="5.140625" style="367" customWidth="1"/>
    <col min="41" max="41" width="9.7109375" style="367" customWidth="1"/>
    <col min="42" max="42" width="12.7109375" style="367" customWidth="1"/>
    <col min="43" max="43" width="5.140625" style="367" customWidth="1"/>
    <col min="44" max="44" width="9.7109375" style="367" customWidth="1"/>
    <col min="45" max="45" width="12.7109375" style="367" customWidth="1"/>
    <col min="46" max="46" width="5.140625" style="367" customWidth="1"/>
    <col min="47" max="47" width="9.7109375" style="367" customWidth="1"/>
    <col min="48" max="48" width="12.7109375" style="367" customWidth="1"/>
    <col min="49" max="49" width="5.140625" style="367" customWidth="1"/>
    <col min="50" max="50" width="9.7109375" style="367" customWidth="1"/>
    <col min="51" max="51" width="12.7109375" style="367" customWidth="1"/>
    <col min="52" max="52" width="5.140625" style="367" customWidth="1"/>
    <col min="53" max="53" width="9.7109375" style="367" customWidth="1"/>
    <col min="54" max="54" width="12.7109375" style="367" customWidth="1"/>
    <col min="55" max="55" width="37.7109375" style="367" customWidth="1"/>
    <col min="56" max="56" width="9.140625" style="367"/>
    <col min="57" max="16384" width="9.140625" style="368"/>
  </cols>
  <sheetData>
    <row r="1" spans="1:56" ht="13.5" thickBot="1">
      <c r="A1" s="366">
        <v>130</v>
      </c>
    </row>
    <row r="2" spans="1:56" ht="18" outlineLevel="1" thickBot="1">
      <c r="B2" s="830" t="s">
        <v>997</v>
      </c>
      <c r="C2" s="831"/>
      <c r="D2" s="831"/>
      <c r="E2" s="831"/>
      <c r="F2" s="831"/>
      <c r="G2" s="831"/>
      <c r="H2" s="831"/>
      <c r="I2" s="831"/>
      <c r="J2" s="831"/>
      <c r="K2" s="831"/>
      <c r="L2" s="831"/>
      <c r="M2" s="831"/>
      <c r="N2" s="831"/>
      <c r="O2" s="831"/>
      <c r="P2" s="831"/>
      <c r="Q2" s="831"/>
      <c r="R2" s="831"/>
      <c r="S2" s="831"/>
      <c r="T2" s="831"/>
      <c r="U2" s="831"/>
      <c r="V2" s="831"/>
      <c r="W2" s="831"/>
      <c r="X2" s="831"/>
      <c r="Y2" s="831"/>
      <c r="Z2" s="832"/>
      <c r="BC2" s="368"/>
      <c r="BD2" s="368"/>
    </row>
    <row r="3" spans="1:56" s="371" customFormat="1" outlineLevel="1">
      <c r="A3" s="369"/>
      <c r="B3" s="833" t="s">
        <v>17</v>
      </c>
      <c r="C3" s="834"/>
      <c r="D3" s="834"/>
      <c r="E3" s="835" t="s">
        <v>998</v>
      </c>
      <c r="F3" s="835"/>
      <c r="G3" s="835"/>
      <c r="H3" s="835" t="s">
        <v>999</v>
      </c>
      <c r="I3" s="835"/>
      <c r="J3" s="835"/>
      <c r="K3" s="835" t="s">
        <v>1000</v>
      </c>
      <c r="L3" s="835"/>
      <c r="M3" s="835"/>
      <c r="N3" s="835"/>
      <c r="O3" s="835" t="s">
        <v>1001</v>
      </c>
      <c r="P3" s="835"/>
      <c r="Q3" s="835"/>
      <c r="R3" s="835"/>
      <c r="S3" s="835" t="s">
        <v>1002</v>
      </c>
      <c r="T3" s="835"/>
      <c r="U3" s="835"/>
      <c r="V3" s="835"/>
      <c r="W3" s="835" t="s">
        <v>1003</v>
      </c>
      <c r="X3" s="835"/>
      <c r="Y3" s="835"/>
      <c r="Z3" s="836"/>
      <c r="AA3" s="370"/>
      <c r="AB3" s="370"/>
      <c r="AC3" s="370"/>
      <c r="AD3" s="370"/>
      <c r="AE3" s="370"/>
      <c r="AF3" s="370"/>
      <c r="AG3" s="370"/>
      <c r="AH3" s="370"/>
      <c r="AI3" s="370"/>
      <c r="AJ3" s="370"/>
      <c r="AK3" s="370"/>
      <c r="AL3" s="370"/>
      <c r="AM3" s="370"/>
      <c r="AN3" s="370"/>
      <c r="AO3" s="370"/>
      <c r="AP3" s="370"/>
      <c r="AQ3" s="370"/>
      <c r="AR3" s="370"/>
      <c r="AS3" s="370"/>
      <c r="AT3" s="370"/>
      <c r="AU3" s="370"/>
      <c r="AV3" s="370"/>
      <c r="AW3" s="370"/>
      <c r="AX3" s="370"/>
      <c r="AY3" s="370"/>
      <c r="AZ3" s="370"/>
      <c r="BA3" s="370"/>
      <c r="BB3" s="370"/>
    </row>
    <row r="4" spans="1:56" outlineLevel="1">
      <c r="B4" s="803" t="s">
        <v>1004</v>
      </c>
      <c r="C4" s="804"/>
      <c r="D4" s="804"/>
      <c r="E4" s="820"/>
      <c r="F4" s="820"/>
      <c r="G4" s="820"/>
      <c r="H4" s="820"/>
      <c r="I4" s="820"/>
      <c r="J4" s="820"/>
      <c r="K4" s="820"/>
      <c r="L4" s="820"/>
      <c r="M4" s="820"/>
      <c r="N4" s="820"/>
      <c r="O4" s="820"/>
      <c r="P4" s="820"/>
      <c r="Q4" s="820"/>
      <c r="R4" s="820"/>
      <c r="S4" s="820"/>
      <c r="T4" s="820"/>
      <c r="U4" s="820"/>
      <c r="V4" s="820"/>
      <c r="W4" s="820"/>
      <c r="X4" s="820"/>
      <c r="Y4" s="820"/>
      <c r="Z4" s="821"/>
      <c r="BA4" s="368"/>
      <c r="BB4" s="368"/>
      <c r="BC4" s="368"/>
      <c r="BD4" s="368"/>
    </row>
    <row r="5" spans="1:56" outlineLevel="1">
      <c r="B5" s="803" t="s">
        <v>1005</v>
      </c>
      <c r="C5" s="804"/>
      <c r="D5" s="804"/>
      <c r="E5" s="820"/>
      <c r="F5" s="820"/>
      <c r="G5" s="820"/>
      <c r="H5" s="820"/>
      <c r="I5" s="820"/>
      <c r="J5" s="820"/>
      <c r="K5" s="820"/>
      <c r="L5" s="820"/>
      <c r="M5" s="820"/>
      <c r="N5" s="820"/>
      <c r="O5" s="820"/>
      <c r="P5" s="820"/>
      <c r="Q5" s="820"/>
      <c r="R5" s="820"/>
      <c r="S5" s="820"/>
      <c r="T5" s="820"/>
      <c r="U5" s="820"/>
      <c r="V5" s="820"/>
      <c r="W5" s="820"/>
      <c r="X5" s="820"/>
      <c r="Y5" s="820"/>
      <c r="Z5" s="821"/>
      <c r="BA5" s="368"/>
      <c r="BB5" s="368"/>
      <c r="BC5" s="368"/>
      <c r="BD5" s="368"/>
    </row>
    <row r="6" spans="1:56" outlineLevel="1">
      <c r="B6" s="803" t="s">
        <v>1006</v>
      </c>
      <c r="C6" s="804"/>
      <c r="D6" s="804"/>
      <c r="E6" s="828"/>
      <c r="F6" s="828"/>
      <c r="G6" s="828"/>
      <c r="H6" s="828"/>
      <c r="I6" s="828"/>
      <c r="J6" s="828"/>
      <c r="K6" s="828"/>
      <c r="L6" s="828"/>
      <c r="M6" s="828"/>
      <c r="N6" s="828"/>
      <c r="O6" s="828"/>
      <c r="P6" s="828"/>
      <c r="Q6" s="828"/>
      <c r="R6" s="828"/>
      <c r="S6" s="828"/>
      <c r="T6" s="828"/>
      <c r="U6" s="828"/>
      <c r="V6" s="828"/>
      <c r="W6" s="828"/>
      <c r="X6" s="828"/>
      <c r="Y6" s="828"/>
      <c r="Z6" s="829"/>
      <c r="BA6" s="368"/>
      <c r="BB6" s="368"/>
      <c r="BC6" s="368"/>
      <c r="BD6" s="368"/>
    </row>
    <row r="7" spans="1:56" outlineLevel="1">
      <c r="B7" s="803" t="s">
        <v>1007</v>
      </c>
      <c r="C7" s="804"/>
      <c r="D7" s="804"/>
      <c r="E7" s="820"/>
      <c r="F7" s="820"/>
      <c r="G7" s="820"/>
      <c r="H7" s="820"/>
      <c r="I7" s="820"/>
      <c r="J7" s="820"/>
      <c r="K7" s="820"/>
      <c r="L7" s="820"/>
      <c r="M7" s="820"/>
      <c r="N7" s="820"/>
      <c r="O7" s="820"/>
      <c r="P7" s="820"/>
      <c r="Q7" s="820"/>
      <c r="R7" s="820"/>
      <c r="S7" s="820"/>
      <c r="T7" s="820"/>
      <c r="U7" s="820"/>
      <c r="V7" s="820"/>
      <c r="W7" s="820"/>
      <c r="X7" s="820"/>
      <c r="Y7" s="820"/>
      <c r="Z7" s="821"/>
      <c r="BA7" s="368"/>
      <c r="BB7" s="368"/>
      <c r="BC7" s="368"/>
      <c r="BD7" s="368"/>
    </row>
    <row r="8" spans="1:56" s="374" customFormat="1" ht="15.75" outlineLevel="1">
      <c r="A8" s="372"/>
      <c r="B8" s="803" t="s">
        <v>1008</v>
      </c>
      <c r="C8" s="804"/>
      <c r="D8" s="804"/>
      <c r="E8" s="826"/>
      <c r="F8" s="826"/>
      <c r="G8" s="826"/>
      <c r="H8" s="826"/>
      <c r="I8" s="826"/>
      <c r="J8" s="826"/>
      <c r="K8" s="826"/>
      <c r="L8" s="826"/>
      <c r="M8" s="826"/>
      <c r="N8" s="826"/>
      <c r="O8" s="826"/>
      <c r="P8" s="826"/>
      <c r="Q8" s="826"/>
      <c r="R8" s="826"/>
      <c r="S8" s="826"/>
      <c r="T8" s="826"/>
      <c r="U8" s="826"/>
      <c r="V8" s="826"/>
      <c r="W8" s="826"/>
      <c r="X8" s="826"/>
      <c r="Y8" s="826"/>
      <c r="Z8" s="827"/>
      <c r="AA8" s="373"/>
      <c r="AB8" s="373"/>
      <c r="AC8" s="373"/>
      <c r="AD8" s="373"/>
      <c r="AE8" s="373"/>
      <c r="AF8" s="373"/>
      <c r="AG8" s="373"/>
      <c r="AH8" s="373"/>
      <c r="AI8" s="373"/>
      <c r="AJ8" s="373"/>
      <c r="AK8" s="373"/>
      <c r="AL8" s="373"/>
      <c r="AM8" s="373"/>
      <c r="AN8" s="373"/>
      <c r="AO8" s="373"/>
      <c r="AP8" s="373"/>
      <c r="AQ8" s="373"/>
      <c r="AR8" s="373"/>
      <c r="AS8" s="373"/>
      <c r="AT8" s="373"/>
      <c r="AU8" s="373"/>
      <c r="AV8" s="373"/>
      <c r="AW8" s="373"/>
      <c r="AX8" s="373"/>
      <c r="AY8" s="373"/>
      <c r="AZ8" s="373"/>
    </row>
    <row r="9" spans="1:56" outlineLevel="1">
      <c r="B9" s="803" t="s">
        <v>1009</v>
      </c>
      <c r="C9" s="804"/>
      <c r="D9" s="804"/>
      <c r="E9" s="820"/>
      <c r="F9" s="820"/>
      <c r="G9" s="820"/>
      <c r="H9" s="820"/>
      <c r="I9" s="820"/>
      <c r="J9" s="820"/>
      <c r="K9" s="820"/>
      <c r="L9" s="820"/>
      <c r="M9" s="820"/>
      <c r="N9" s="820"/>
      <c r="O9" s="820"/>
      <c r="P9" s="820"/>
      <c r="Q9" s="820"/>
      <c r="R9" s="820"/>
      <c r="S9" s="820"/>
      <c r="T9" s="820"/>
      <c r="U9" s="820"/>
      <c r="V9" s="820"/>
      <c r="W9" s="820"/>
      <c r="X9" s="820"/>
      <c r="Y9" s="820"/>
      <c r="Z9" s="821"/>
      <c r="BA9" s="368"/>
      <c r="BB9" s="368"/>
      <c r="BC9" s="368"/>
      <c r="BD9" s="368"/>
    </row>
    <row r="10" spans="1:56" outlineLevel="1">
      <c r="B10" s="803" t="s">
        <v>1010</v>
      </c>
      <c r="C10" s="804"/>
      <c r="D10" s="804"/>
      <c r="E10" s="820"/>
      <c r="F10" s="820"/>
      <c r="G10" s="820"/>
      <c r="H10" s="820"/>
      <c r="I10" s="820"/>
      <c r="J10" s="820"/>
      <c r="K10" s="820"/>
      <c r="L10" s="820"/>
      <c r="M10" s="820"/>
      <c r="N10" s="820"/>
      <c r="O10" s="820"/>
      <c r="P10" s="820"/>
      <c r="Q10" s="820"/>
      <c r="R10" s="820"/>
      <c r="S10" s="820"/>
      <c r="T10" s="820"/>
      <c r="U10" s="820"/>
      <c r="V10" s="820"/>
      <c r="W10" s="820"/>
      <c r="X10" s="820"/>
      <c r="Y10" s="820"/>
      <c r="Z10" s="821"/>
      <c r="BA10" s="368"/>
      <c r="BB10" s="368"/>
      <c r="BC10" s="368"/>
      <c r="BD10" s="368"/>
    </row>
    <row r="11" spans="1:56" outlineLevel="1">
      <c r="B11" s="803" t="s">
        <v>1011</v>
      </c>
      <c r="C11" s="804"/>
      <c r="D11" s="804"/>
      <c r="E11" s="822"/>
      <c r="F11" s="822"/>
      <c r="G11" s="822"/>
      <c r="H11" s="822"/>
      <c r="I11" s="822"/>
      <c r="J11" s="822"/>
      <c r="K11" s="822"/>
      <c r="L11" s="822"/>
      <c r="M11" s="822"/>
      <c r="N11" s="822"/>
      <c r="O11" s="822"/>
      <c r="P11" s="822"/>
      <c r="Q11" s="822"/>
      <c r="R11" s="822"/>
      <c r="S11" s="822"/>
      <c r="T11" s="822"/>
      <c r="U11" s="822"/>
      <c r="V11" s="822"/>
      <c r="W11" s="822"/>
      <c r="X11" s="822"/>
      <c r="Y11" s="822"/>
      <c r="Z11" s="823"/>
      <c r="BA11" s="368"/>
      <c r="BB11" s="368"/>
      <c r="BC11" s="368"/>
      <c r="BD11" s="368"/>
    </row>
    <row r="12" spans="1:56" outlineLevel="1">
      <c r="B12" s="803" t="s">
        <v>1012</v>
      </c>
      <c r="C12" s="804"/>
      <c r="D12" s="804"/>
      <c r="E12" s="822"/>
      <c r="F12" s="822"/>
      <c r="G12" s="822"/>
      <c r="H12" s="822"/>
      <c r="I12" s="822"/>
      <c r="J12" s="822"/>
      <c r="K12" s="822"/>
      <c r="L12" s="822"/>
      <c r="M12" s="822"/>
      <c r="N12" s="822"/>
      <c r="O12" s="822"/>
      <c r="P12" s="822"/>
      <c r="Q12" s="822"/>
      <c r="R12" s="822"/>
      <c r="S12" s="822"/>
      <c r="T12" s="822"/>
      <c r="U12" s="822"/>
      <c r="V12" s="822"/>
      <c r="W12" s="822"/>
      <c r="X12" s="822"/>
      <c r="Y12" s="822"/>
      <c r="Z12" s="823"/>
      <c r="BA12" s="368"/>
      <c r="BB12" s="368"/>
      <c r="BC12" s="368"/>
      <c r="BD12" s="368"/>
    </row>
    <row r="13" spans="1:56" outlineLevel="1">
      <c r="B13" s="803" t="s">
        <v>1013</v>
      </c>
      <c r="C13" s="804"/>
      <c r="D13" s="804"/>
      <c r="E13" s="824" t="str">
        <f>IFERROR(E11/E12,"")</f>
        <v/>
      </c>
      <c r="F13" s="824" t="str">
        <f>IFERROR(F11/F12,"")</f>
        <v/>
      </c>
      <c r="G13" s="824" t="str">
        <f>IFERROR(G11/G12,"")</f>
        <v/>
      </c>
      <c r="H13" s="824" t="str">
        <f>IFERROR(H11/H12,"")</f>
        <v/>
      </c>
      <c r="I13" s="824"/>
      <c r="J13" s="824"/>
      <c r="K13" s="824" t="str">
        <f>IFERROR(K11/K12,"")</f>
        <v/>
      </c>
      <c r="L13" s="824"/>
      <c r="M13" s="824"/>
      <c r="N13" s="824"/>
      <c r="O13" s="824" t="str">
        <f>IFERROR(O11/O12,"")</f>
        <v/>
      </c>
      <c r="P13" s="824"/>
      <c r="Q13" s="824"/>
      <c r="R13" s="824"/>
      <c r="S13" s="824" t="str">
        <f>IFERROR(S11/S12,"")</f>
        <v/>
      </c>
      <c r="T13" s="824"/>
      <c r="U13" s="824"/>
      <c r="V13" s="824"/>
      <c r="W13" s="824" t="str">
        <f>IFERROR(W11/W12,"")</f>
        <v/>
      </c>
      <c r="X13" s="824"/>
      <c r="Y13" s="824"/>
      <c r="Z13" s="825"/>
      <c r="BA13" s="368"/>
      <c r="BB13" s="368"/>
      <c r="BC13" s="368"/>
      <c r="BD13" s="368"/>
    </row>
    <row r="14" spans="1:56" outlineLevel="1">
      <c r="B14" s="803" t="s">
        <v>1014</v>
      </c>
      <c r="C14" s="804"/>
      <c r="D14" s="804"/>
      <c r="E14" s="820"/>
      <c r="F14" s="820"/>
      <c r="G14" s="820"/>
      <c r="H14" s="820"/>
      <c r="I14" s="820"/>
      <c r="J14" s="820"/>
      <c r="K14" s="820"/>
      <c r="L14" s="820"/>
      <c r="M14" s="820"/>
      <c r="N14" s="820"/>
      <c r="O14" s="820"/>
      <c r="P14" s="820"/>
      <c r="Q14" s="820"/>
      <c r="R14" s="820"/>
      <c r="S14" s="820"/>
      <c r="T14" s="820"/>
      <c r="U14" s="820"/>
      <c r="V14" s="820"/>
      <c r="W14" s="820"/>
      <c r="X14" s="820"/>
      <c r="Y14" s="820"/>
      <c r="Z14" s="821"/>
      <c r="BA14" s="368"/>
      <c r="BB14" s="368"/>
      <c r="BC14" s="368"/>
      <c r="BD14" s="368"/>
    </row>
    <row r="15" spans="1:56" outlineLevel="1">
      <c r="B15" s="803" t="s">
        <v>1015</v>
      </c>
      <c r="C15" s="804"/>
      <c r="D15" s="804"/>
      <c r="E15" s="820"/>
      <c r="F15" s="820"/>
      <c r="G15" s="820"/>
      <c r="H15" s="820"/>
      <c r="I15" s="820"/>
      <c r="J15" s="820"/>
      <c r="K15" s="820"/>
      <c r="L15" s="820"/>
      <c r="M15" s="820"/>
      <c r="N15" s="820"/>
      <c r="O15" s="820"/>
      <c r="P15" s="820"/>
      <c r="Q15" s="820"/>
      <c r="R15" s="820"/>
      <c r="S15" s="820"/>
      <c r="T15" s="820"/>
      <c r="U15" s="820"/>
      <c r="V15" s="820"/>
      <c r="W15" s="820"/>
      <c r="X15" s="820"/>
      <c r="Y15" s="820"/>
      <c r="Z15" s="821"/>
      <c r="BA15" s="368"/>
      <c r="BB15" s="368"/>
      <c r="BC15" s="368"/>
      <c r="BD15" s="368"/>
    </row>
    <row r="16" spans="1:56" outlineLevel="1">
      <c r="B16" s="803" t="s">
        <v>1016</v>
      </c>
      <c r="C16" s="804"/>
      <c r="D16" s="804"/>
      <c r="E16" s="805"/>
      <c r="F16" s="805"/>
      <c r="G16" s="805"/>
      <c r="H16" s="805"/>
      <c r="I16" s="805"/>
      <c r="J16" s="805"/>
      <c r="K16" s="805"/>
      <c r="L16" s="805"/>
      <c r="M16" s="805"/>
      <c r="N16" s="805"/>
      <c r="O16" s="805"/>
      <c r="P16" s="805"/>
      <c r="Q16" s="805"/>
      <c r="R16" s="805"/>
      <c r="S16" s="805"/>
      <c r="T16" s="805"/>
      <c r="U16" s="805"/>
      <c r="V16" s="805"/>
      <c r="W16" s="805"/>
      <c r="X16" s="805"/>
      <c r="Y16" s="805"/>
      <c r="Z16" s="815"/>
      <c r="BA16" s="368"/>
      <c r="BB16" s="368"/>
      <c r="BC16" s="368"/>
      <c r="BD16" s="368"/>
    </row>
    <row r="17" spans="1:56" outlineLevel="1">
      <c r="B17" s="803" t="s">
        <v>1017</v>
      </c>
      <c r="C17" s="804"/>
      <c r="D17" s="804"/>
      <c r="E17" s="805"/>
      <c r="F17" s="805"/>
      <c r="G17" s="805"/>
      <c r="H17" s="805"/>
      <c r="I17" s="805"/>
      <c r="J17" s="805"/>
      <c r="K17" s="805"/>
      <c r="L17" s="805"/>
      <c r="M17" s="805"/>
      <c r="N17" s="805"/>
      <c r="O17" s="805"/>
      <c r="P17" s="805"/>
      <c r="Q17" s="805"/>
      <c r="R17" s="805"/>
      <c r="S17" s="805"/>
      <c r="T17" s="805"/>
      <c r="U17" s="805"/>
      <c r="V17" s="805"/>
      <c r="W17" s="805"/>
      <c r="X17" s="805"/>
      <c r="Y17" s="805"/>
      <c r="Z17" s="815"/>
      <c r="BA17" s="368"/>
      <c r="BB17" s="368"/>
      <c r="BC17" s="368"/>
      <c r="BD17" s="368"/>
    </row>
    <row r="18" spans="1:56" outlineLevel="1">
      <c r="B18" s="803" t="s">
        <v>1018</v>
      </c>
      <c r="C18" s="804"/>
      <c r="D18" s="804"/>
      <c r="E18" s="805"/>
      <c r="F18" s="805"/>
      <c r="G18" s="805"/>
      <c r="H18" s="805"/>
      <c r="I18" s="805"/>
      <c r="J18" s="805"/>
      <c r="K18" s="805"/>
      <c r="L18" s="805"/>
      <c r="M18" s="805"/>
      <c r="N18" s="805"/>
      <c r="O18" s="805"/>
      <c r="P18" s="805"/>
      <c r="Q18" s="805"/>
      <c r="R18" s="805"/>
      <c r="S18" s="805"/>
      <c r="T18" s="805"/>
      <c r="U18" s="805"/>
      <c r="V18" s="805"/>
      <c r="W18" s="805"/>
      <c r="X18" s="805"/>
      <c r="Y18" s="805"/>
      <c r="Z18" s="815"/>
      <c r="BA18" s="368"/>
      <c r="BB18" s="368"/>
      <c r="BC18" s="368"/>
      <c r="BD18" s="368"/>
    </row>
    <row r="19" spans="1:56" outlineLevel="1">
      <c r="B19" s="803" t="s">
        <v>1019</v>
      </c>
      <c r="C19" s="804"/>
      <c r="D19" s="804"/>
      <c r="E19" s="805"/>
      <c r="F19" s="805"/>
      <c r="G19" s="805"/>
      <c r="H19" s="805"/>
      <c r="I19" s="805"/>
      <c r="J19" s="805"/>
      <c r="K19" s="805"/>
      <c r="L19" s="805"/>
      <c r="M19" s="805"/>
      <c r="N19" s="805"/>
      <c r="O19" s="805"/>
      <c r="P19" s="805"/>
      <c r="Q19" s="805"/>
      <c r="R19" s="805"/>
      <c r="S19" s="805"/>
      <c r="T19" s="805"/>
      <c r="U19" s="805"/>
      <c r="V19" s="805"/>
      <c r="W19" s="805"/>
      <c r="X19" s="805"/>
      <c r="Y19" s="805"/>
      <c r="Z19" s="815"/>
      <c r="BA19" s="368"/>
      <c r="BB19" s="368"/>
      <c r="BC19" s="368"/>
      <c r="BD19" s="368"/>
    </row>
    <row r="20" spans="1:56" outlineLevel="1">
      <c r="B20" s="803" t="s">
        <v>1020</v>
      </c>
      <c r="C20" s="804"/>
      <c r="D20" s="804"/>
      <c r="E20" s="805"/>
      <c r="F20" s="805"/>
      <c r="G20" s="805"/>
      <c r="H20" s="805"/>
      <c r="I20" s="805"/>
      <c r="J20" s="805"/>
      <c r="K20" s="805"/>
      <c r="L20" s="805"/>
      <c r="M20" s="805"/>
      <c r="N20" s="805"/>
      <c r="O20" s="805"/>
      <c r="P20" s="805"/>
      <c r="Q20" s="805"/>
      <c r="R20" s="805"/>
      <c r="S20" s="805"/>
      <c r="T20" s="805"/>
      <c r="U20" s="805"/>
      <c r="V20" s="805"/>
      <c r="W20" s="805"/>
      <c r="X20" s="805"/>
      <c r="Y20" s="805"/>
      <c r="Z20" s="815"/>
      <c r="BA20" s="368"/>
      <c r="BB20" s="368"/>
      <c r="BC20" s="368"/>
      <c r="BD20" s="368"/>
    </row>
    <row r="21" spans="1:56" ht="13.5" outlineLevel="1" thickBot="1">
      <c r="B21" s="816" t="s">
        <v>1021</v>
      </c>
      <c r="C21" s="817"/>
      <c r="D21" s="817"/>
      <c r="E21" s="818"/>
      <c r="F21" s="818"/>
      <c r="G21" s="818"/>
      <c r="H21" s="818"/>
      <c r="I21" s="818"/>
      <c r="J21" s="818"/>
      <c r="K21" s="818"/>
      <c r="L21" s="818"/>
      <c r="M21" s="818"/>
      <c r="N21" s="818"/>
      <c r="O21" s="818"/>
      <c r="P21" s="818"/>
      <c r="Q21" s="818"/>
      <c r="R21" s="818"/>
      <c r="S21" s="818"/>
      <c r="T21" s="818"/>
      <c r="U21" s="818"/>
      <c r="V21" s="818"/>
      <c r="W21" s="818"/>
      <c r="X21" s="818"/>
      <c r="Y21" s="818"/>
      <c r="Z21" s="819"/>
      <c r="BA21" s="368"/>
      <c r="BB21" s="368"/>
      <c r="BC21" s="368"/>
      <c r="BD21" s="368"/>
    </row>
    <row r="22" spans="1:56" ht="13.5" outlineLevel="1" thickBot="1"/>
    <row r="23" spans="1:56" ht="19.5" thickBot="1">
      <c r="B23" s="812" t="s">
        <v>1022</v>
      </c>
      <c r="C23" s="813"/>
      <c r="D23" s="813"/>
      <c r="E23" s="813"/>
      <c r="F23" s="813"/>
      <c r="G23" s="813"/>
      <c r="H23" s="813"/>
      <c r="I23" s="813"/>
      <c r="J23" s="813"/>
      <c r="K23" s="813"/>
      <c r="L23" s="813"/>
      <c r="M23" s="813"/>
      <c r="N23" s="814"/>
      <c r="O23" s="812" t="s">
        <v>1023</v>
      </c>
      <c r="P23" s="813"/>
      <c r="Q23" s="813"/>
      <c r="R23" s="813"/>
      <c r="S23" s="813"/>
      <c r="T23" s="813"/>
      <c r="U23" s="813"/>
      <c r="V23" s="813"/>
      <c r="W23" s="813"/>
      <c r="X23" s="813"/>
      <c r="Y23" s="813"/>
      <c r="Z23" s="813"/>
      <c r="AA23" s="813"/>
      <c r="AB23" s="813"/>
      <c r="AC23" s="813"/>
      <c r="AD23" s="813"/>
      <c r="AE23" s="813"/>
      <c r="AF23" s="813"/>
      <c r="AG23" s="813"/>
      <c r="AH23" s="813"/>
      <c r="AI23" s="813"/>
      <c r="AJ23" s="813"/>
      <c r="AK23" s="813"/>
      <c r="AL23" s="813"/>
      <c r="AM23" s="813"/>
      <c r="AN23" s="813"/>
      <c r="AO23" s="813"/>
      <c r="AP23" s="813"/>
      <c r="AQ23" s="813"/>
      <c r="AR23" s="813"/>
      <c r="AS23" s="813"/>
      <c r="AT23" s="813"/>
      <c r="AU23" s="813"/>
      <c r="AV23" s="813"/>
      <c r="AW23" s="813"/>
      <c r="AX23" s="813"/>
      <c r="AY23" s="813"/>
      <c r="AZ23" s="813"/>
      <c r="BA23" s="813"/>
      <c r="BB23" s="813"/>
      <c r="BC23" s="814"/>
    </row>
    <row r="24" spans="1:56" s="371" customFormat="1" ht="15">
      <c r="A24" s="369"/>
      <c r="B24" s="806" t="s">
        <v>1024</v>
      </c>
      <c r="C24" s="791" t="s">
        <v>1025</v>
      </c>
      <c r="D24" s="791" t="s">
        <v>1026</v>
      </c>
      <c r="E24" s="793" t="s">
        <v>1027</v>
      </c>
      <c r="F24" s="808" t="s">
        <v>1028</v>
      </c>
      <c r="G24" s="808" t="s">
        <v>1029</v>
      </c>
      <c r="H24" s="791" t="s">
        <v>1030</v>
      </c>
      <c r="I24" s="810" t="s">
        <v>1031</v>
      </c>
      <c r="J24" s="791" t="s">
        <v>1032</v>
      </c>
      <c r="K24" s="793" t="s">
        <v>1033</v>
      </c>
      <c r="L24" s="795" t="s">
        <v>1034</v>
      </c>
      <c r="M24" s="796"/>
      <c r="N24" s="797" t="s">
        <v>1035</v>
      </c>
      <c r="O24" s="799" t="s">
        <v>985</v>
      </c>
      <c r="P24" s="799"/>
      <c r="Q24" s="800"/>
      <c r="R24" s="801"/>
      <c r="S24" s="802">
        <v>44470</v>
      </c>
      <c r="T24" s="788"/>
      <c r="U24" s="789"/>
      <c r="V24" s="787">
        <f>EDATE(S24,-1)</f>
        <v>44440</v>
      </c>
      <c r="W24" s="788"/>
      <c r="X24" s="789"/>
      <c r="Y24" s="787">
        <f>EDATE(V24,-1)</f>
        <v>44409</v>
      </c>
      <c r="Z24" s="788"/>
      <c r="AA24" s="789"/>
      <c r="AB24" s="787">
        <f>EDATE(Y24,-1)</f>
        <v>44378</v>
      </c>
      <c r="AC24" s="788"/>
      <c r="AD24" s="789"/>
      <c r="AE24" s="787">
        <f>EDATE(AB24,-1)</f>
        <v>44348</v>
      </c>
      <c r="AF24" s="788"/>
      <c r="AG24" s="789"/>
      <c r="AH24" s="787">
        <f>EDATE(AE24,-1)</f>
        <v>44317</v>
      </c>
      <c r="AI24" s="788"/>
      <c r="AJ24" s="789"/>
      <c r="AK24" s="787">
        <f>EDATE(AH24,-1)</f>
        <v>44287</v>
      </c>
      <c r="AL24" s="788"/>
      <c r="AM24" s="789"/>
      <c r="AN24" s="787">
        <f>EDATE(AK24,-1)</f>
        <v>44256</v>
      </c>
      <c r="AO24" s="788"/>
      <c r="AP24" s="789"/>
      <c r="AQ24" s="787">
        <f>EDATE(AN24,-1)</f>
        <v>44228</v>
      </c>
      <c r="AR24" s="788"/>
      <c r="AS24" s="789"/>
      <c r="AT24" s="787">
        <f>EDATE(AQ24,-1)</f>
        <v>44197</v>
      </c>
      <c r="AU24" s="788"/>
      <c r="AV24" s="789"/>
      <c r="AW24" s="787">
        <f>EDATE(AT24,-1)</f>
        <v>44166</v>
      </c>
      <c r="AX24" s="788"/>
      <c r="AY24" s="789"/>
      <c r="AZ24" s="787">
        <f>EDATE(AW24,-1)</f>
        <v>44136</v>
      </c>
      <c r="BA24" s="788"/>
      <c r="BB24" s="789"/>
      <c r="BC24" s="790" t="s">
        <v>1036</v>
      </c>
      <c r="BD24" s="370"/>
    </row>
    <row r="25" spans="1:56" s="371" customFormat="1" ht="45">
      <c r="A25" s="369"/>
      <c r="B25" s="807"/>
      <c r="C25" s="792"/>
      <c r="D25" s="792"/>
      <c r="E25" s="794"/>
      <c r="F25" s="809"/>
      <c r="G25" s="809"/>
      <c r="H25" s="792"/>
      <c r="I25" s="811"/>
      <c r="J25" s="792"/>
      <c r="K25" s="794"/>
      <c r="L25" s="795"/>
      <c r="M25" s="796"/>
      <c r="N25" s="798"/>
      <c r="O25" s="375" t="s">
        <v>1037</v>
      </c>
      <c r="P25" s="375" t="s">
        <v>1038</v>
      </c>
      <c r="Q25" s="376" t="s">
        <v>1039</v>
      </c>
      <c r="R25" s="377" t="s">
        <v>1040</v>
      </c>
      <c r="S25" s="378" t="s">
        <v>638</v>
      </c>
      <c r="T25" s="379" t="s">
        <v>1029</v>
      </c>
      <c r="U25" s="377" t="s">
        <v>1041</v>
      </c>
      <c r="V25" s="380" t="s">
        <v>638</v>
      </c>
      <c r="W25" s="379" t="s">
        <v>1029</v>
      </c>
      <c r="X25" s="377" t="s">
        <v>1041</v>
      </c>
      <c r="Y25" s="380" t="s">
        <v>638</v>
      </c>
      <c r="Z25" s="379" t="s">
        <v>1029</v>
      </c>
      <c r="AA25" s="377" t="s">
        <v>1041</v>
      </c>
      <c r="AB25" s="380" t="s">
        <v>638</v>
      </c>
      <c r="AC25" s="379" t="s">
        <v>1029</v>
      </c>
      <c r="AD25" s="377" t="s">
        <v>1041</v>
      </c>
      <c r="AE25" s="380" t="s">
        <v>638</v>
      </c>
      <c r="AF25" s="379" t="s">
        <v>1029</v>
      </c>
      <c r="AG25" s="381" t="s">
        <v>1042</v>
      </c>
      <c r="AH25" s="380" t="s">
        <v>638</v>
      </c>
      <c r="AI25" s="379" t="s">
        <v>1029</v>
      </c>
      <c r="AJ25" s="377" t="s">
        <v>1041</v>
      </c>
      <c r="AK25" s="380" t="s">
        <v>638</v>
      </c>
      <c r="AL25" s="379" t="s">
        <v>1029</v>
      </c>
      <c r="AM25" s="377" t="s">
        <v>1041</v>
      </c>
      <c r="AN25" s="380" t="s">
        <v>638</v>
      </c>
      <c r="AO25" s="379" t="s">
        <v>1029</v>
      </c>
      <c r="AP25" s="377" t="s">
        <v>1041</v>
      </c>
      <c r="AQ25" s="380" t="s">
        <v>638</v>
      </c>
      <c r="AR25" s="379" t="s">
        <v>1029</v>
      </c>
      <c r="AS25" s="377" t="s">
        <v>1041</v>
      </c>
      <c r="AT25" s="380" t="s">
        <v>638</v>
      </c>
      <c r="AU25" s="379" t="s">
        <v>1029</v>
      </c>
      <c r="AV25" s="377" t="s">
        <v>1041</v>
      </c>
      <c r="AW25" s="380" t="s">
        <v>638</v>
      </c>
      <c r="AX25" s="379" t="s">
        <v>1029</v>
      </c>
      <c r="AY25" s="377" t="s">
        <v>1041</v>
      </c>
      <c r="AZ25" s="380" t="s">
        <v>638</v>
      </c>
      <c r="BA25" s="379" t="s">
        <v>1029</v>
      </c>
      <c r="BB25" s="377" t="s">
        <v>1041</v>
      </c>
      <c r="BC25" s="790"/>
      <c r="BD25" s="370"/>
    </row>
    <row r="26" spans="1:56">
      <c r="A26" s="366" t="s">
        <v>1178</v>
      </c>
      <c r="B26" s="382">
        <v>1</v>
      </c>
      <c r="C26" s="383"/>
      <c r="D26" s="383"/>
      <c r="E26" s="384"/>
      <c r="F26" s="384"/>
      <c r="G26" s="385"/>
      <c r="H26" s="386"/>
      <c r="I26" s="384"/>
      <c r="J26" s="383"/>
      <c r="K26" s="387"/>
      <c r="L26" s="388"/>
      <c r="M26" s="389"/>
      <c r="N26" s="383"/>
      <c r="O26" s="390"/>
      <c r="P26" s="390"/>
      <c r="Q26" s="391"/>
      <c r="R26" s="392"/>
      <c r="S26" s="383"/>
      <c r="T26" s="384"/>
      <c r="U26" s="391"/>
      <c r="V26" s="383"/>
      <c r="W26" s="384"/>
      <c r="X26" s="391"/>
      <c r="Y26" s="383"/>
      <c r="Z26" s="384"/>
      <c r="AA26" s="391"/>
      <c r="AB26" s="383"/>
      <c r="AC26" s="384"/>
      <c r="AD26" s="391"/>
      <c r="AE26" s="383"/>
      <c r="AF26" s="384"/>
      <c r="AG26" s="391"/>
      <c r="AH26" s="383"/>
      <c r="AI26" s="384"/>
      <c r="AJ26" s="391"/>
      <c r="AK26" s="383"/>
      <c r="AL26" s="384"/>
      <c r="AM26" s="391"/>
      <c r="AN26" s="383"/>
      <c r="AO26" s="384"/>
      <c r="AP26" s="391"/>
      <c r="AQ26" s="383"/>
      <c r="AR26" s="384"/>
      <c r="AS26" s="391"/>
      <c r="AT26" s="383"/>
      <c r="AU26" s="384"/>
      <c r="AV26" s="391"/>
      <c r="AW26" s="383"/>
      <c r="AX26" s="384"/>
      <c r="AY26" s="391"/>
      <c r="AZ26" s="383"/>
      <c r="BA26" s="384"/>
      <c r="BB26" s="391"/>
      <c r="BC26" s="393"/>
    </row>
    <row r="27" spans="1:56">
      <c r="A27" s="366" t="s">
        <v>1178</v>
      </c>
      <c r="B27" s="382">
        <v>2</v>
      </c>
      <c r="C27" s="522"/>
      <c r="D27" s="383"/>
      <c r="E27" s="523"/>
      <c r="F27" s="524"/>
      <c r="G27" s="525"/>
      <c r="H27" s="526"/>
      <c r="I27" s="395"/>
      <c r="J27" s="394"/>
      <c r="K27" s="387"/>
      <c r="L27" s="527"/>
      <c r="M27" s="528"/>
      <c r="N27" s="394"/>
      <c r="O27" s="390"/>
      <c r="P27" s="390"/>
      <c r="Q27" s="391"/>
      <c r="R27" s="391"/>
      <c r="S27" s="529"/>
      <c r="T27" s="384"/>
      <c r="U27" s="392"/>
      <c r="V27" s="529"/>
      <c r="W27" s="384"/>
      <c r="X27" s="391"/>
      <c r="Y27" s="529"/>
      <c r="Z27" s="384"/>
      <c r="AA27" s="391"/>
      <c r="AB27" s="529"/>
      <c r="AC27" s="384"/>
      <c r="AD27" s="391"/>
      <c r="AE27" s="529"/>
      <c r="AF27" s="384"/>
      <c r="AG27" s="391"/>
      <c r="AH27" s="529"/>
      <c r="AI27" s="384"/>
      <c r="AJ27" s="391"/>
      <c r="AK27" s="529"/>
      <c r="AL27" s="384"/>
      <c r="AM27" s="391"/>
      <c r="AN27" s="529"/>
      <c r="AO27" s="384"/>
      <c r="AP27" s="391"/>
      <c r="AQ27" s="529"/>
      <c r="AR27" s="384"/>
      <c r="AS27" s="391"/>
      <c r="AT27" s="529"/>
      <c r="AU27" s="384"/>
      <c r="AV27" s="391"/>
      <c r="AW27" s="529"/>
      <c r="AX27" s="384"/>
      <c r="AY27" s="391"/>
      <c r="AZ27" s="529"/>
      <c r="BA27" s="384"/>
      <c r="BB27" s="391"/>
      <c r="BC27" s="399"/>
    </row>
    <row r="28" spans="1:56">
      <c r="A28" s="366" t="s">
        <v>1178</v>
      </c>
      <c r="B28" s="382">
        <v>3</v>
      </c>
      <c r="C28" s="522"/>
      <c r="D28" s="383"/>
      <c r="E28" s="523"/>
      <c r="F28" s="524"/>
      <c r="G28" s="525"/>
      <c r="H28" s="526"/>
      <c r="I28" s="395"/>
      <c r="J28" s="394"/>
      <c r="K28" s="387"/>
      <c r="L28" s="527"/>
      <c r="M28" s="528"/>
      <c r="N28" s="394"/>
      <c r="O28" s="390"/>
      <c r="P28" s="390"/>
      <c r="Q28" s="391"/>
      <c r="R28" s="391"/>
      <c r="S28" s="529"/>
      <c r="T28" s="384"/>
      <c r="U28" s="392"/>
      <c r="V28" s="529"/>
      <c r="W28" s="384"/>
      <c r="X28" s="391"/>
      <c r="Y28" s="529"/>
      <c r="Z28" s="384"/>
      <c r="AA28" s="391"/>
      <c r="AB28" s="529"/>
      <c r="AC28" s="384"/>
      <c r="AD28" s="391"/>
      <c r="AE28" s="529"/>
      <c r="AF28" s="384"/>
      <c r="AG28" s="391"/>
      <c r="AH28" s="529"/>
      <c r="AI28" s="384"/>
      <c r="AJ28" s="391"/>
      <c r="AK28" s="529"/>
      <c r="AL28" s="384"/>
      <c r="AM28" s="391"/>
      <c r="AN28" s="529"/>
      <c r="AO28" s="384"/>
      <c r="AP28" s="391"/>
      <c r="AQ28" s="529"/>
      <c r="AR28" s="384"/>
      <c r="AS28" s="391"/>
      <c r="AT28" s="529"/>
      <c r="AU28" s="384"/>
      <c r="AV28" s="391"/>
      <c r="AW28" s="529"/>
      <c r="AX28" s="384"/>
      <c r="AY28" s="391"/>
      <c r="AZ28" s="529"/>
      <c r="BA28" s="384"/>
      <c r="BB28" s="391"/>
      <c r="BC28" s="399"/>
    </row>
    <row r="29" spans="1:56">
      <c r="A29" s="366" t="s">
        <v>1178</v>
      </c>
      <c r="B29" s="382">
        <v>4</v>
      </c>
      <c r="C29" s="522"/>
      <c r="D29" s="383"/>
      <c r="E29" s="523"/>
      <c r="F29" s="524"/>
      <c r="G29" s="525"/>
      <c r="H29" s="526"/>
      <c r="I29" s="395"/>
      <c r="J29" s="394"/>
      <c r="K29" s="387"/>
      <c r="L29" s="527"/>
      <c r="M29" s="528"/>
      <c r="N29" s="394"/>
      <c r="O29" s="390"/>
      <c r="P29" s="390"/>
      <c r="Q29" s="391"/>
      <c r="R29" s="391"/>
      <c r="S29" s="529"/>
      <c r="T29" s="384"/>
      <c r="U29" s="392"/>
      <c r="V29" s="529"/>
      <c r="W29" s="384"/>
      <c r="X29" s="391"/>
      <c r="Y29" s="529"/>
      <c r="Z29" s="384"/>
      <c r="AA29" s="391"/>
      <c r="AB29" s="529"/>
      <c r="AC29" s="384"/>
      <c r="AD29" s="391"/>
      <c r="AE29" s="529"/>
      <c r="AF29" s="384"/>
      <c r="AG29" s="391"/>
      <c r="AH29" s="529"/>
      <c r="AI29" s="384"/>
      <c r="AJ29" s="391"/>
      <c r="AK29" s="529"/>
      <c r="AL29" s="384"/>
      <c r="AM29" s="391"/>
      <c r="AN29" s="529"/>
      <c r="AO29" s="384"/>
      <c r="AP29" s="391"/>
      <c r="AQ29" s="529"/>
      <c r="AR29" s="384"/>
      <c r="AS29" s="391"/>
      <c r="AT29" s="529"/>
      <c r="AU29" s="384"/>
      <c r="AV29" s="391"/>
      <c r="AW29" s="529"/>
      <c r="AX29" s="384"/>
      <c r="AY29" s="391"/>
      <c r="AZ29" s="529"/>
      <c r="BA29" s="384"/>
      <c r="BB29" s="391"/>
      <c r="BC29" s="399"/>
    </row>
    <row r="30" spans="1:56">
      <c r="A30" s="366" t="s">
        <v>1178</v>
      </c>
      <c r="B30" s="382">
        <v>5</v>
      </c>
      <c r="C30" s="522"/>
      <c r="D30" s="383"/>
      <c r="E30" s="523"/>
      <c r="F30" s="524"/>
      <c r="G30" s="525"/>
      <c r="H30" s="526"/>
      <c r="I30" s="395"/>
      <c r="J30" s="394"/>
      <c r="K30" s="387"/>
      <c r="L30" s="527"/>
      <c r="M30" s="528"/>
      <c r="N30" s="394"/>
      <c r="O30" s="390"/>
      <c r="P30" s="390"/>
      <c r="Q30" s="391"/>
      <c r="R30" s="391"/>
      <c r="S30" s="529"/>
      <c r="T30" s="384"/>
      <c r="U30" s="392"/>
      <c r="V30" s="529"/>
      <c r="W30" s="384"/>
      <c r="X30" s="391"/>
      <c r="Y30" s="529"/>
      <c r="Z30" s="384"/>
      <c r="AA30" s="391"/>
      <c r="AB30" s="529"/>
      <c r="AC30" s="384"/>
      <c r="AD30" s="391"/>
      <c r="AE30" s="529"/>
      <c r="AF30" s="384"/>
      <c r="AG30" s="391"/>
      <c r="AH30" s="529"/>
      <c r="AI30" s="384"/>
      <c r="AJ30" s="391"/>
      <c r="AK30" s="529"/>
      <c r="AL30" s="384"/>
      <c r="AM30" s="391"/>
      <c r="AN30" s="529"/>
      <c r="AO30" s="384"/>
      <c r="AP30" s="391"/>
      <c r="AQ30" s="529"/>
      <c r="AR30" s="384"/>
      <c r="AS30" s="391"/>
      <c r="AT30" s="529"/>
      <c r="AU30" s="384"/>
      <c r="AV30" s="391"/>
      <c r="AW30" s="529"/>
      <c r="AX30" s="384"/>
      <c r="AY30" s="391"/>
      <c r="AZ30" s="529"/>
      <c r="BA30" s="384"/>
      <c r="BB30" s="391"/>
      <c r="BC30" s="399"/>
    </row>
    <row r="31" spans="1:56">
      <c r="A31" s="366" t="s">
        <v>1178</v>
      </c>
      <c r="B31" s="382">
        <v>6</v>
      </c>
      <c r="C31" s="522"/>
      <c r="D31" s="383"/>
      <c r="E31" s="523"/>
      <c r="F31" s="524"/>
      <c r="G31" s="525"/>
      <c r="H31" s="526"/>
      <c r="I31" s="395"/>
      <c r="J31" s="394"/>
      <c r="K31" s="387"/>
      <c r="L31" s="527"/>
      <c r="M31" s="528"/>
      <c r="N31" s="394"/>
      <c r="O31" s="390"/>
      <c r="P31" s="390"/>
      <c r="Q31" s="391"/>
      <c r="R31" s="391"/>
      <c r="S31" s="529"/>
      <c r="T31" s="384"/>
      <c r="U31" s="392"/>
      <c r="V31" s="529"/>
      <c r="W31" s="384"/>
      <c r="X31" s="391"/>
      <c r="Y31" s="529"/>
      <c r="Z31" s="384"/>
      <c r="AA31" s="391"/>
      <c r="AB31" s="529"/>
      <c r="AC31" s="384"/>
      <c r="AD31" s="391"/>
      <c r="AE31" s="529"/>
      <c r="AF31" s="384"/>
      <c r="AG31" s="391"/>
      <c r="AH31" s="529"/>
      <c r="AI31" s="384"/>
      <c r="AJ31" s="391"/>
      <c r="AK31" s="529"/>
      <c r="AL31" s="384"/>
      <c r="AM31" s="391"/>
      <c r="AN31" s="529"/>
      <c r="AO31" s="384"/>
      <c r="AP31" s="391"/>
      <c r="AQ31" s="529"/>
      <c r="AR31" s="384"/>
      <c r="AS31" s="391"/>
      <c r="AT31" s="529"/>
      <c r="AU31" s="384"/>
      <c r="AV31" s="391"/>
      <c r="AW31" s="529"/>
      <c r="AX31" s="384"/>
      <c r="AY31" s="391"/>
      <c r="AZ31" s="529"/>
      <c r="BA31" s="384"/>
      <c r="BB31" s="391"/>
      <c r="BC31" s="399"/>
    </row>
    <row r="32" spans="1:56">
      <c r="B32" s="382"/>
      <c r="C32" s="522"/>
      <c r="D32" s="383"/>
      <c r="E32" s="523"/>
      <c r="F32" s="524"/>
      <c r="G32" s="525"/>
      <c r="H32" s="526"/>
      <c r="I32" s="395"/>
      <c r="J32" s="394"/>
      <c r="K32" s="387"/>
      <c r="L32" s="527"/>
      <c r="M32" s="528"/>
      <c r="N32" s="394"/>
      <c r="O32" s="390"/>
      <c r="P32" s="390"/>
      <c r="Q32" s="391"/>
      <c r="R32" s="391"/>
      <c r="S32" s="529"/>
      <c r="T32" s="384"/>
      <c r="U32" s="392"/>
      <c r="V32" s="529"/>
      <c r="W32" s="384"/>
      <c r="X32" s="391"/>
      <c r="Y32" s="529"/>
      <c r="Z32" s="384"/>
      <c r="AA32" s="391"/>
      <c r="AB32" s="529"/>
      <c r="AC32" s="384"/>
      <c r="AD32" s="391"/>
      <c r="AE32" s="529"/>
      <c r="AF32" s="384"/>
      <c r="AG32" s="391"/>
      <c r="AH32" s="529"/>
      <c r="AI32" s="384"/>
      <c r="AJ32" s="391"/>
      <c r="AK32" s="529"/>
      <c r="AL32" s="384"/>
      <c r="AM32" s="391"/>
      <c r="AN32" s="529"/>
      <c r="AO32" s="384"/>
      <c r="AP32" s="391"/>
      <c r="AQ32" s="529"/>
      <c r="AR32" s="384"/>
      <c r="AS32" s="391"/>
      <c r="AT32" s="529"/>
      <c r="AU32" s="384"/>
      <c r="AV32" s="391"/>
      <c r="AW32" s="529"/>
      <c r="AX32" s="384"/>
      <c r="AY32" s="391"/>
      <c r="AZ32" s="529"/>
      <c r="BA32" s="384"/>
      <c r="BB32" s="391"/>
      <c r="BC32" s="399"/>
    </row>
    <row r="33" spans="2:55">
      <c r="B33" s="382"/>
      <c r="C33" s="394"/>
      <c r="D33" s="383"/>
      <c r="E33" s="395"/>
      <c r="F33" s="384"/>
      <c r="G33" s="396"/>
      <c r="H33" s="397"/>
      <c r="I33" s="395"/>
      <c r="J33" s="394"/>
      <c r="K33" s="387" t="str">
        <f ca="1">IFERROR(IF(J33&lt;(TODAY()-H33)/30,"",J33-((TODAY()-H33)/30)+1),"")</f>
        <v/>
      </c>
      <c r="L33" s="398"/>
      <c r="M33" s="389" t="str">
        <f t="shared" ref="M33:M35" ca="1" si="0">IF(OR(L33="Yes",AND(K33&gt;1,K33&lt;&gt;"")),G33,"")</f>
        <v/>
      </c>
      <c r="N33" s="394"/>
      <c r="O33" s="390" t="str">
        <f t="shared" ref="O33:O35" si="1">IF($G33&lt;&gt;"",COUNT($S33,$V33,$Y33,$AB33,$AE33,$AH33,$AK33,$AN33,$AQ33,$AT33,$AW33,$AZ33),"")</f>
        <v/>
      </c>
      <c r="P33" s="390"/>
      <c r="Q33" s="391" t="str">
        <f t="shared" ref="Q33:Q35" si="2">IF($G33&lt;&gt;"",SUM($T33,$W33,$Z33,$AC33,$AF33,$AI33,$AL33,$AO33,$AR33,$AU33,$AX33,$BA33),"")</f>
        <v/>
      </c>
      <c r="R33" s="392" t="str">
        <f t="shared" ref="R33:R35" si="3">IF($G33&lt;&gt;"",IFERROR(AVERAGE($U33,$X33,$AA33,$AD33,$AG33,$AJ33,$AM33,$AP33,$AS33,$AV33,$AY33,$BB33),""),"")</f>
        <v/>
      </c>
      <c r="S33" s="383"/>
      <c r="T33" s="384"/>
      <c r="U33" s="391"/>
      <c r="V33" s="383"/>
      <c r="W33" s="384"/>
      <c r="X33" s="391"/>
      <c r="Y33" s="383"/>
      <c r="Z33" s="384"/>
      <c r="AA33" s="391"/>
      <c r="AB33" s="383"/>
      <c r="AC33" s="384"/>
      <c r="AD33" s="391"/>
      <c r="AE33" s="383"/>
      <c r="AF33" s="384"/>
      <c r="AG33" s="391"/>
      <c r="AH33" s="383"/>
      <c r="AI33" s="384"/>
      <c r="AJ33" s="391"/>
      <c r="AK33" s="383"/>
      <c r="AL33" s="384"/>
      <c r="AM33" s="391"/>
      <c r="AN33" s="383"/>
      <c r="AO33" s="384"/>
      <c r="AP33" s="391"/>
      <c r="AQ33" s="383"/>
      <c r="AR33" s="384"/>
      <c r="AS33" s="391"/>
      <c r="AT33" s="383"/>
      <c r="AU33" s="384"/>
      <c r="AV33" s="391"/>
      <c r="AW33" s="383"/>
      <c r="AX33" s="384"/>
      <c r="AY33" s="391"/>
      <c r="AZ33" s="383"/>
      <c r="BA33" s="384"/>
      <c r="BB33" s="391"/>
      <c r="BC33" s="399"/>
    </row>
    <row r="34" spans="2:55">
      <c r="B34" s="382"/>
      <c r="C34" s="394"/>
      <c r="D34" s="383"/>
      <c r="E34" s="395"/>
      <c r="F34" s="384"/>
      <c r="G34" s="396"/>
      <c r="H34" s="397"/>
      <c r="I34" s="395"/>
      <c r="J34" s="394"/>
      <c r="K34" s="387" t="str">
        <f ca="1">IFERROR(IF(J34&lt;(TODAY()-H34)/30,"",J34-((TODAY()-H34)/30)+1),"")</f>
        <v/>
      </c>
      <c r="L34" s="398"/>
      <c r="M34" s="389" t="str">
        <f t="shared" ca="1" si="0"/>
        <v/>
      </c>
      <c r="N34" s="394"/>
      <c r="O34" s="390" t="str">
        <f t="shared" si="1"/>
        <v/>
      </c>
      <c r="P34" s="390"/>
      <c r="Q34" s="391" t="str">
        <f t="shared" si="2"/>
        <v/>
      </c>
      <c r="R34" s="391" t="str">
        <f t="shared" si="3"/>
        <v/>
      </c>
      <c r="S34" s="383"/>
      <c r="T34" s="384"/>
      <c r="U34" s="391"/>
      <c r="V34" s="383"/>
      <c r="W34" s="384"/>
      <c r="X34" s="391"/>
      <c r="Y34" s="383"/>
      <c r="Z34" s="384"/>
      <c r="AA34" s="391"/>
      <c r="AB34" s="383"/>
      <c r="AC34" s="384"/>
      <c r="AD34" s="391"/>
      <c r="AE34" s="383"/>
      <c r="AF34" s="384"/>
      <c r="AG34" s="391"/>
      <c r="AH34" s="383"/>
      <c r="AI34" s="384"/>
      <c r="AJ34" s="391"/>
      <c r="AK34" s="383"/>
      <c r="AL34" s="384"/>
      <c r="AM34" s="391"/>
      <c r="AN34" s="383"/>
      <c r="AO34" s="384"/>
      <c r="AP34" s="391"/>
      <c r="AQ34" s="383"/>
      <c r="AR34" s="384"/>
      <c r="AS34" s="391"/>
      <c r="AT34" s="383"/>
      <c r="AU34" s="384"/>
      <c r="AV34" s="391"/>
      <c r="AW34" s="383"/>
      <c r="AX34" s="384"/>
      <c r="AY34" s="391"/>
      <c r="AZ34" s="383"/>
      <c r="BA34" s="384"/>
      <c r="BB34" s="391"/>
      <c r="BC34" s="399"/>
    </row>
    <row r="35" spans="2:55" ht="13.5" thickBot="1">
      <c r="B35" s="382"/>
      <c r="C35" s="394"/>
      <c r="D35" s="383"/>
      <c r="E35" s="395"/>
      <c r="F35" s="384"/>
      <c r="G35" s="396"/>
      <c r="H35" s="397"/>
      <c r="I35" s="395"/>
      <c r="J35" s="394"/>
      <c r="K35" s="387" t="str">
        <f ca="1">IFERROR(IF(J35&lt;(TODAY()-H35)/30,"",J35-((TODAY()-H35)/30)+1),"")</f>
        <v/>
      </c>
      <c r="L35" s="398"/>
      <c r="M35" s="389" t="str">
        <f t="shared" ca="1" si="0"/>
        <v/>
      </c>
      <c r="N35" s="394"/>
      <c r="O35" s="390" t="str">
        <f t="shared" si="1"/>
        <v/>
      </c>
      <c r="P35" s="390"/>
      <c r="Q35" s="391" t="str">
        <f t="shared" si="2"/>
        <v/>
      </c>
      <c r="R35" s="391" t="str">
        <f t="shared" si="3"/>
        <v/>
      </c>
      <c r="S35" s="383"/>
      <c r="T35" s="384"/>
      <c r="U35" s="391"/>
      <c r="V35" s="383"/>
      <c r="W35" s="384"/>
      <c r="X35" s="391"/>
      <c r="Y35" s="383"/>
      <c r="Z35" s="384"/>
      <c r="AA35" s="391"/>
      <c r="AB35" s="383"/>
      <c r="AC35" s="384"/>
      <c r="AD35" s="391"/>
      <c r="AE35" s="383"/>
      <c r="AF35" s="384"/>
      <c r="AG35" s="391"/>
      <c r="AH35" s="383"/>
      <c r="AI35" s="384"/>
      <c r="AJ35" s="391"/>
      <c r="AK35" s="383"/>
      <c r="AL35" s="384"/>
      <c r="AM35" s="391"/>
      <c r="AN35" s="383"/>
      <c r="AO35" s="384"/>
      <c r="AP35" s="391"/>
      <c r="AQ35" s="383"/>
      <c r="AR35" s="384"/>
      <c r="AS35" s="391"/>
      <c r="AT35" s="383"/>
      <c r="AU35" s="384"/>
      <c r="AV35" s="391"/>
      <c r="AW35" s="383"/>
      <c r="AX35" s="384"/>
      <c r="AY35" s="391"/>
      <c r="AZ35" s="383"/>
      <c r="BA35" s="384"/>
      <c r="BB35" s="391"/>
      <c r="BC35" s="399"/>
    </row>
    <row r="36" spans="2:55" ht="15.75" thickBot="1">
      <c r="B36" s="400" t="s">
        <v>145</v>
      </c>
      <c r="C36" s="401"/>
      <c r="D36" s="402">
        <f>SUBTOTAL(103,LoanTrack[Column3])</f>
        <v>0</v>
      </c>
      <c r="E36" s="403">
        <f>SUBTOTAL(109,LoanTrack[Column4])</f>
        <v>0</v>
      </c>
      <c r="F36" s="403">
        <f>SUBTOTAL(109,LoanTrack[Column52])</f>
        <v>0</v>
      </c>
      <c r="G36" s="404">
        <f>SUBTOTAL(109,LoanTrack[Column5])</f>
        <v>0</v>
      </c>
      <c r="H36" s="401"/>
      <c r="I36" s="405">
        <f>SUBTOTAL(109,LoanTrack[Column54])</f>
        <v>0</v>
      </c>
      <c r="J36" s="401"/>
      <c r="K36" s="401"/>
      <c r="L36" s="401">
        <f>COUNTIF(L26:L35,"Yes")</f>
        <v>0</v>
      </c>
      <c r="M36" s="403">
        <f ca="1">SUBTOTAL(109,LoanTrack[Column10])</f>
        <v>0</v>
      </c>
      <c r="N36" s="402">
        <f>SUMPRODUCT((N26:N35&lt;&gt;"")/COUNTIF(N26:N35,N26:N35&amp;""))</f>
        <v>0</v>
      </c>
      <c r="O36" s="403">
        <f>SUBTOTAL(109,LoanTrack[Column51])</f>
        <v>0</v>
      </c>
      <c r="P36" s="405">
        <f>SUBTOTAL(109,LoanTrack[Column53])</f>
        <v>0</v>
      </c>
      <c r="Q36" s="403">
        <f>SUBTOTAL(109,LoanTrack[Column50])</f>
        <v>0</v>
      </c>
      <c r="R36" s="403" t="str">
        <f>IFERROR(SUBTOTAL(101,R26:R35),"")</f>
        <v/>
      </c>
      <c r="S36" s="403">
        <f>SUBTOTAL(103,LoanTrack[Column12])</f>
        <v>0</v>
      </c>
      <c r="T36" s="403">
        <f>SUBTOTAL(109,LoanTrack[Column13])</f>
        <v>0</v>
      </c>
      <c r="U36" s="403" t="str">
        <f>IFERROR(SUBTOTAL(101,U26:U35),"")</f>
        <v/>
      </c>
      <c r="V36" s="403">
        <f>SUBTOTAL(103,LoanTrack[Column15])</f>
        <v>0</v>
      </c>
      <c r="W36" s="403">
        <f>SUBTOTAL(109,LoanTrack[Column16])</f>
        <v>0</v>
      </c>
      <c r="X36" s="403" t="str">
        <f>IFERROR(SUBTOTAL(101,X26:X35),"")</f>
        <v/>
      </c>
      <c r="Y36" s="403">
        <f>SUBTOTAL(103,LoanTrack[Column18])</f>
        <v>0</v>
      </c>
      <c r="Z36" s="403">
        <f>SUBTOTAL(109,LoanTrack[Column19])</f>
        <v>0</v>
      </c>
      <c r="AA36" s="403" t="str">
        <f>IFERROR(SUBTOTAL(101,AA26:AA35),"")</f>
        <v/>
      </c>
      <c r="AB36" s="403">
        <f>SUBTOTAL(103,LoanTrack[Column21])</f>
        <v>0</v>
      </c>
      <c r="AC36" s="403">
        <f>SUBTOTAL(109,LoanTrack[Column22])</f>
        <v>0</v>
      </c>
      <c r="AD36" s="403" t="str">
        <f>IFERROR(SUBTOTAL(101,AD26:AD35),"")</f>
        <v/>
      </c>
      <c r="AE36" s="403">
        <f>SUBTOTAL(103,LoanTrack[Column24])</f>
        <v>0</v>
      </c>
      <c r="AF36" s="403">
        <f>SUBTOTAL(109,LoanTrack[Column25])</f>
        <v>0</v>
      </c>
      <c r="AG36" s="403" t="str">
        <f>IFERROR(SUBTOTAL(101,AG26:AG35),"")</f>
        <v/>
      </c>
      <c r="AH36" s="403">
        <f>SUBTOTAL(103,LoanTrack[Column27])</f>
        <v>0</v>
      </c>
      <c r="AI36" s="403">
        <f>SUBTOTAL(109,LoanTrack[Column28])</f>
        <v>0</v>
      </c>
      <c r="AJ36" s="403" t="str">
        <f>IFERROR(SUBTOTAL(101,AJ26:AJ35),"")</f>
        <v/>
      </c>
      <c r="AK36" s="403">
        <f>SUBTOTAL(103,LoanTrack[Column30])</f>
        <v>0</v>
      </c>
      <c r="AL36" s="403">
        <f>SUBTOTAL(109,LoanTrack[Column31])</f>
        <v>0</v>
      </c>
      <c r="AM36" s="403" t="str">
        <f>IFERROR(SUBTOTAL(101,AM26:AM35),"")</f>
        <v/>
      </c>
      <c r="AN36" s="403">
        <f>SUBTOTAL(103,LoanTrack[Column33])</f>
        <v>0</v>
      </c>
      <c r="AO36" s="403">
        <f>SUBTOTAL(109,LoanTrack[Column34])</f>
        <v>0</v>
      </c>
      <c r="AP36" s="403" t="str">
        <f>IFERROR(SUBTOTAL(101,AP26:AP35),"")</f>
        <v/>
      </c>
      <c r="AQ36" s="403">
        <f>SUBTOTAL(103,LoanTrack[Column36])</f>
        <v>0</v>
      </c>
      <c r="AR36" s="403">
        <f>SUBTOTAL(109,LoanTrack[Column37])</f>
        <v>0</v>
      </c>
      <c r="AS36" s="403" t="str">
        <f>IFERROR(SUBTOTAL(101,AS26:AS35),"")</f>
        <v/>
      </c>
      <c r="AT36" s="403">
        <f>SUBTOTAL(103,LoanTrack[Column39])</f>
        <v>0</v>
      </c>
      <c r="AU36" s="403">
        <f>SUBTOTAL(109,LoanTrack[Column40])</f>
        <v>0</v>
      </c>
      <c r="AV36" s="403" t="str">
        <f>IFERROR(SUBTOTAL(101,AV26:AV35),"")</f>
        <v/>
      </c>
      <c r="AW36" s="403">
        <f>SUBTOTAL(103,LoanTrack[Column42])</f>
        <v>0</v>
      </c>
      <c r="AX36" s="403">
        <f>SUBTOTAL(109,LoanTrack[Column43])</f>
        <v>0</v>
      </c>
      <c r="AY36" s="403" t="str">
        <f>IFERROR(SUBTOTAL(101,AY26:AY35),"")</f>
        <v/>
      </c>
      <c r="AZ36" s="403">
        <f>SUBTOTAL(103,LoanTrack[Column45])</f>
        <v>0</v>
      </c>
      <c r="BA36" s="403">
        <f>SUBTOTAL(109,LoanTrack[Column46])</f>
        <v>0</v>
      </c>
      <c r="BB36" s="403" t="str">
        <f>IFERROR(SUBTOTAL(101,BB26:BB35),"")</f>
        <v/>
      </c>
      <c r="BC36" s="406">
        <f>SUBTOTAL(103,LoanTrack[Column48])</f>
        <v>0</v>
      </c>
    </row>
  </sheetData>
  <mergeCells count="162">
    <mergeCell ref="B2:Z2"/>
    <mergeCell ref="B3:D3"/>
    <mergeCell ref="E3:G3"/>
    <mergeCell ref="H3:J3"/>
    <mergeCell ref="K3:N3"/>
    <mergeCell ref="O3:R3"/>
    <mergeCell ref="S3:V3"/>
    <mergeCell ref="W3:Z3"/>
    <mergeCell ref="W4:Z4"/>
    <mergeCell ref="B5:D5"/>
    <mergeCell ref="E5:G5"/>
    <mergeCell ref="H5:J5"/>
    <mergeCell ref="K5:N5"/>
    <mergeCell ref="O5:R5"/>
    <mergeCell ref="S5:V5"/>
    <mergeCell ref="W5:Z5"/>
    <mergeCell ref="B4:D4"/>
    <mergeCell ref="E4:G4"/>
    <mergeCell ref="H4:J4"/>
    <mergeCell ref="K4:N4"/>
    <mergeCell ref="O4:R4"/>
    <mergeCell ref="S4:V4"/>
    <mergeCell ref="W6:Z6"/>
    <mergeCell ref="B7:D7"/>
    <mergeCell ref="E7:G7"/>
    <mergeCell ref="H7:J7"/>
    <mergeCell ref="K7:N7"/>
    <mergeCell ref="O7:R7"/>
    <mergeCell ref="S7:V7"/>
    <mergeCell ref="W7:Z7"/>
    <mergeCell ref="B6:D6"/>
    <mergeCell ref="E6:G6"/>
    <mergeCell ref="H6:J6"/>
    <mergeCell ref="K6:N6"/>
    <mergeCell ref="O6:R6"/>
    <mergeCell ref="S6:V6"/>
    <mergeCell ref="W8:Z8"/>
    <mergeCell ref="B9:D9"/>
    <mergeCell ref="E9:G9"/>
    <mergeCell ref="H9:J9"/>
    <mergeCell ref="K9:N9"/>
    <mergeCell ref="O9:R9"/>
    <mergeCell ref="S9:V9"/>
    <mergeCell ref="W9:Z9"/>
    <mergeCell ref="B8:D8"/>
    <mergeCell ref="E8:G8"/>
    <mergeCell ref="H8:J8"/>
    <mergeCell ref="K8:N8"/>
    <mergeCell ref="O8:R8"/>
    <mergeCell ref="S8:V8"/>
    <mergeCell ref="W10:Z10"/>
    <mergeCell ref="B11:D11"/>
    <mergeCell ref="E11:G11"/>
    <mergeCell ref="H11:J11"/>
    <mergeCell ref="K11:N11"/>
    <mergeCell ref="O11:R11"/>
    <mergeCell ref="S11:V11"/>
    <mergeCell ref="W11:Z11"/>
    <mergeCell ref="B10:D10"/>
    <mergeCell ref="E10:G10"/>
    <mergeCell ref="H10:J10"/>
    <mergeCell ref="K10:N10"/>
    <mergeCell ref="O10:R10"/>
    <mergeCell ref="S10:V10"/>
    <mergeCell ref="W12:Z12"/>
    <mergeCell ref="B13:D13"/>
    <mergeCell ref="E13:G13"/>
    <mergeCell ref="H13:J13"/>
    <mergeCell ref="K13:N13"/>
    <mergeCell ref="O13:R13"/>
    <mergeCell ref="S13:V13"/>
    <mergeCell ref="W13:Z13"/>
    <mergeCell ref="B12:D12"/>
    <mergeCell ref="E12:G12"/>
    <mergeCell ref="H12:J12"/>
    <mergeCell ref="K12:N12"/>
    <mergeCell ref="O12:R12"/>
    <mergeCell ref="S12:V12"/>
    <mergeCell ref="W14:Z14"/>
    <mergeCell ref="B15:D15"/>
    <mergeCell ref="E15:G15"/>
    <mergeCell ref="H15:J15"/>
    <mergeCell ref="K15:N15"/>
    <mergeCell ref="O15:R15"/>
    <mergeCell ref="S15:V15"/>
    <mergeCell ref="W15:Z15"/>
    <mergeCell ref="B14:D14"/>
    <mergeCell ref="E14:G14"/>
    <mergeCell ref="H14:J14"/>
    <mergeCell ref="K14:N14"/>
    <mergeCell ref="O14:R14"/>
    <mergeCell ref="S14:V14"/>
    <mergeCell ref="E21:G21"/>
    <mergeCell ref="H21:J21"/>
    <mergeCell ref="K21:N21"/>
    <mergeCell ref="O21:R21"/>
    <mergeCell ref="S21:V21"/>
    <mergeCell ref="W21:Z21"/>
    <mergeCell ref="W16:Z16"/>
    <mergeCell ref="B17:D17"/>
    <mergeCell ref="E17:G17"/>
    <mergeCell ref="H17:J17"/>
    <mergeCell ref="K17:N17"/>
    <mergeCell ref="O17:R17"/>
    <mergeCell ref="S17:V17"/>
    <mergeCell ref="W17:Z17"/>
    <mergeCell ref="B16:D16"/>
    <mergeCell ref="E16:G16"/>
    <mergeCell ref="H16:J16"/>
    <mergeCell ref="K16:N16"/>
    <mergeCell ref="O16:R16"/>
    <mergeCell ref="S16:V16"/>
    <mergeCell ref="W18:Z18"/>
    <mergeCell ref="B19:D19"/>
    <mergeCell ref="E19:G19"/>
    <mergeCell ref="H19:J19"/>
    <mergeCell ref="K19:N19"/>
    <mergeCell ref="O19:R19"/>
    <mergeCell ref="S19:V19"/>
    <mergeCell ref="W19:Z19"/>
    <mergeCell ref="B18:D18"/>
    <mergeCell ref="E18:G18"/>
    <mergeCell ref="H18:J18"/>
    <mergeCell ref="K18:N18"/>
    <mergeCell ref="O18:R18"/>
    <mergeCell ref="S18:V18"/>
    <mergeCell ref="J24:J25"/>
    <mergeCell ref="K24:K25"/>
    <mergeCell ref="L24:M25"/>
    <mergeCell ref="N24:N25"/>
    <mergeCell ref="O24:R24"/>
    <mergeCell ref="S24:U24"/>
    <mergeCell ref="B20:D20"/>
    <mergeCell ref="E20:G20"/>
    <mergeCell ref="H20:J20"/>
    <mergeCell ref="K20:N20"/>
    <mergeCell ref="O20:R20"/>
    <mergeCell ref="S20:V20"/>
    <mergeCell ref="B24:B25"/>
    <mergeCell ref="C24:C25"/>
    <mergeCell ref="D24:D25"/>
    <mergeCell ref="E24:E25"/>
    <mergeCell ref="F24:F25"/>
    <mergeCell ref="G24:G25"/>
    <mergeCell ref="H24:H25"/>
    <mergeCell ref="I24:I25"/>
    <mergeCell ref="B23:N23"/>
    <mergeCell ref="O23:BC23"/>
    <mergeCell ref="W20:Z20"/>
    <mergeCell ref="B21:D21"/>
    <mergeCell ref="AQ24:AS24"/>
    <mergeCell ref="AT24:AV24"/>
    <mergeCell ref="AW24:AY24"/>
    <mergeCell ref="AZ24:BB24"/>
    <mergeCell ref="BC24:BC25"/>
    <mergeCell ref="V24:X24"/>
    <mergeCell ref="Y24:AA24"/>
    <mergeCell ref="AB24:AD24"/>
    <mergeCell ref="AE24:AG24"/>
    <mergeCell ref="AN24:AP24"/>
    <mergeCell ref="AH24:AJ24"/>
    <mergeCell ref="AK24:AM24"/>
  </mergeCells>
  <dataValidations count="2">
    <dataValidation type="list" allowBlank="1" showInputMessage="1" showErrorMessage="1" sqref="C65566:C65571 C131102:C131107 C196638:C196643 C262174:C262179 C327710:C327715 C393246:C393251 C458782:C458787 C524318:C524323 C589854:C589859 C655390:C655395 C720926:C720931 C786462:C786467 C851998:C852003 C917534:C917539 C983070:C983075" xr:uid="{D4397946-80EC-4859-A384-F55317457074}">
      <formula1>"Home Loan, LAP,Vehicle Loan,CVL, Personal Loan,Business Loan, CC/OD,Term Loan,Machinery Loan,Education Loan"</formula1>
    </dataValidation>
    <dataValidation type="whole" allowBlank="1" showInputMessage="1" showErrorMessage="1" errorTitle="Error" error="Not a valid Date" promptTitle="Date" prompt="Insert a date (DD)" sqref="S65566:S65571 S131102:S131107 S196638:S196643 S262174:S262179 S327710:S327715 S393246:S393251 S458782:S458787 S524318:S524323 S589854:S589859 S655390:S655395 S720926:S720931 S786462:S786467 S851998:S852003 S917534:S917539 S983070:S983075 V65566:V65571 V131102:V131107 V196638:V196643 V262174:V262179 V327710:V327715 V393246:V393251 V458782:V458787 V524318:V524323 V589854:V589859 V655390:V655395 V720926:V720931 V786462:V786467 V851998:V852003 V917534:V917539 V983070:V983075 Y65566:Y65571 Y131102:Y131107 Y196638:Y196643 Y262174:Y262179 Y327710:Y327715 Y393246:Y393251 Y458782:Y458787 Y524318:Y524323 Y589854:Y589859 Y655390:Y655395 Y720926:Y720931 Y786462:Y786467 Y851998:Y852003 Y917534:Y917539 Y983070:Y983075 AB65566:AB65571 AB131102:AB131107 AB196638:AB196643 AB262174:AB262179 AB327710:AB327715 AB393246:AB393251 AB458782:AB458787 AB524318:AB524323 AB589854:AB589859 AB655390:AB655395 AB720926:AB720931 AB786462:AB786467 AB851998:AB852003 AB917534:AB917539 AB983070:AB983075 AE65566:AE65571 AE131102:AE131107 AE196638:AE196643 AE262174:AE262179 AE327710:AE327715 AE393246:AE393251 AE458782:AE458787 AE524318:AE524323 AE589854:AE589859 AE655390:AE655395 AE720926:AE720931 AE786462:AE786467 AE851998:AE852003 AE917534:AE917539 AE983070:AE983075 AH65566:AH65571 AH131102:AH131107 AH196638:AH196643 AH262174:AH262179 AH327710:AH327715 AH393246:AH393251 AH458782:AH458787 AH524318:AH524323 AH589854:AH589859 AH655390:AH655395 AH720926:AH720931 AH786462:AH786467 AH851998:AH852003 AH917534:AH917539 AH983070:AH983075 AK65566:AK65571 AK131102:AK131107 AK196638:AK196643 AK262174:AK262179 AK327710:AK327715 AK393246:AK393251 AK458782:AK458787 AK524318:AK524323 AK589854:AK589859 AK655390:AK655395 AK720926:AK720931 AK786462:AK786467 AK851998:AK852003 AK917534:AK917539 AK983070:AK983075 AN65566:AN65571 AN131102:AN131107 AN196638:AN196643 AN262174:AN262179 AN327710:AN327715 AN393246:AN393251 AN458782:AN458787 AN524318:AN524323 AN589854:AN589859 AN655390:AN655395 AN720926:AN720931 AN786462:AN786467 AN851998:AN852003 AN917534:AN917539 AN983070:AN983075 AQ65566:AQ65571 AQ131102:AQ131107 AQ196638:AQ196643 AQ262174:AQ262179 AQ327710:AQ327715 AQ393246:AQ393251 AQ458782:AQ458787 AQ524318:AQ524323 AQ589854:AQ589859 AQ655390:AQ655395 AQ720926:AQ720931 AQ786462:AQ786467 AQ851998:AQ852003 AQ917534:AQ917539 AQ983070:AQ983075 AT65566:AT65571 AT131102:AT131107 AT196638:AT196643 AT262174:AT262179 AT327710:AT327715 AT393246:AT393251 AT458782:AT458787 AT524318:AT524323 AT589854:AT589859 AT655390:AT655395 AT720926:AT720931 AT786462:AT786467 AT851998:AT852003 AT917534:AT917539 AT983070:AT983075 AW65566:AW65571 AW131102:AW131107 AW196638:AW196643 AW262174:AW262179 AW327710:AW327715 AW393246:AW393251 AW458782:AW458787 AW524318:AW524323 AW589854:AW589859 AW655390:AW655395 AW720926:AW720931 AW786462:AW786467 AW851998:AW852003 AW917534:AW917539 AW983070:AW983075 AZ65566:AZ65571 AZ131102:AZ131107 AZ196638:AZ196643 AZ262174:AZ262179 AZ327710:AZ327715 AZ393246:AZ393251 AZ458782:AZ458787 AZ524318:AZ524323 AZ589854:AZ589859 AZ655390:AZ655395 AZ720926:AZ720931 AZ786462:AZ786467 AZ851998:AZ852003 AZ917534:AZ917539 AZ983070:AZ983075 AZ26:AZ35 AW26:AW35 AT26:AT35 AQ26:AQ35 AN26:AN35 AK26:AK35 AH26:AH35 AE26:AE35 AB26:AB35 Y26:Y35 V26:V35 S26:S35" xr:uid="{228FD282-4A57-4B9D-A37A-9921EFFCB459}">
      <formula1>1</formula1>
      <formula2>31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C40F-A650-42E4-8F27-82F63508AC6A}">
  <sheetPr codeName="Sheet21">
    <tabColor rgb="FFC00000"/>
  </sheetPr>
  <dimension ref="A1:JL61"/>
  <sheetViews>
    <sheetView tabSelected="1" zoomScaleNormal="100" workbookViewId="0"/>
  </sheetViews>
  <sheetFormatPr defaultColWidth="13" defaultRowHeight="12.75"/>
  <cols>
    <col min="1" max="1" width="10.140625" style="302" customWidth="1"/>
    <col min="2" max="6" width="15.7109375" style="302" customWidth="1"/>
    <col min="7" max="7" width="1.85546875" style="302" customWidth="1"/>
    <col min="8" max="8" width="2.140625" style="302" customWidth="1"/>
    <col min="9" max="9" width="8.42578125" style="302" customWidth="1"/>
    <col min="10" max="14" width="15.7109375" style="302" customWidth="1"/>
    <col min="15" max="16" width="13" style="302" customWidth="1"/>
    <col min="17" max="17" width="48.28515625" style="302" bestFit="1" customWidth="1"/>
    <col min="18" max="18" width="22.28515625" style="302" bestFit="1" customWidth="1"/>
    <col min="19" max="20" width="18" style="302" bestFit="1" customWidth="1"/>
    <col min="21" max="22" width="15.42578125" style="302" bestFit="1" customWidth="1"/>
    <col min="23" max="23" width="13" style="302" customWidth="1"/>
    <col min="24" max="24" width="37.5703125" style="302" customWidth="1"/>
    <col min="25" max="33" width="23.140625" style="302" customWidth="1"/>
    <col min="34" max="34" width="26.140625" style="302" customWidth="1"/>
    <col min="35" max="35" width="23.140625" style="302" customWidth="1"/>
    <col min="36" max="36" width="22.140625" style="302" customWidth="1"/>
    <col min="37" max="37" width="21.42578125" style="302" customWidth="1"/>
    <col min="38" max="38" width="15.85546875" style="302" customWidth="1"/>
    <col min="39" max="40" width="13" style="302" customWidth="1"/>
    <col min="41" max="41" width="15.140625" style="302" customWidth="1"/>
    <col min="42" max="66" width="13" style="302" customWidth="1"/>
    <col min="67" max="260" width="13" style="303" customWidth="1"/>
    <col min="261" max="272" width="13" style="304" customWidth="1"/>
    <col min="273" max="16384" width="13" style="303"/>
  </cols>
  <sheetData>
    <row r="1" spans="1:272" ht="38.25">
      <c r="A1" s="300" t="s">
        <v>938</v>
      </c>
      <c r="B1" s="301"/>
    </row>
    <row r="2" spans="1:272" ht="17.25" customHeight="1">
      <c r="Q2" s="302" t="s">
        <v>939</v>
      </c>
      <c r="R2" s="305">
        <v>12</v>
      </c>
      <c r="S2" s="305">
        <v>12</v>
      </c>
      <c r="T2" s="305">
        <v>12</v>
      </c>
      <c r="U2" s="305">
        <v>12</v>
      </c>
      <c r="V2" s="305"/>
    </row>
    <row r="3" spans="1:272" ht="28.5" customHeight="1">
      <c r="A3" s="837" t="s">
        <v>940</v>
      </c>
      <c r="B3" s="838"/>
      <c r="C3" s="838"/>
      <c r="D3" s="838"/>
      <c r="E3" s="838"/>
      <c r="F3" s="838"/>
      <c r="I3" s="837" t="s">
        <v>941</v>
      </c>
      <c r="J3" s="838"/>
      <c r="K3" s="838"/>
      <c r="L3" s="838"/>
      <c r="M3" s="838"/>
      <c r="N3" s="838"/>
      <c r="Q3" s="837" t="s">
        <v>942</v>
      </c>
      <c r="R3" s="838"/>
      <c r="S3" s="838"/>
      <c r="T3" s="838"/>
      <c r="U3" s="838"/>
      <c r="V3" s="838"/>
      <c r="BI3" s="303"/>
      <c r="BJ3" s="303"/>
      <c r="BK3" s="303"/>
      <c r="BL3" s="303"/>
      <c r="BM3" s="303"/>
      <c r="BN3" s="303"/>
      <c r="IU3" s="304"/>
      <c r="IV3" s="304"/>
      <c r="IW3" s="304"/>
      <c r="IX3" s="304"/>
      <c r="IY3" s="304"/>
      <c r="IZ3" s="304"/>
      <c r="JG3" s="303"/>
      <c r="JH3" s="303"/>
      <c r="JI3" s="303"/>
      <c r="JJ3" s="303"/>
      <c r="JK3" s="303"/>
      <c r="JL3" s="303"/>
    </row>
    <row r="4" spans="1:272" ht="51" customHeight="1">
      <c r="A4" s="306" t="s">
        <v>144</v>
      </c>
      <c r="B4" s="307" t="s">
        <v>949</v>
      </c>
      <c r="C4" s="307" t="s">
        <v>955</v>
      </c>
      <c r="D4" s="307" t="s">
        <v>957</v>
      </c>
      <c r="E4" s="307" t="s">
        <v>1170</v>
      </c>
      <c r="F4" s="307" t="s">
        <v>943</v>
      </c>
      <c r="I4" s="306" t="s">
        <v>144</v>
      </c>
      <c r="J4" s="307" t="s">
        <v>949</v>
      </c>
      <c r="K4" s="307" t="s">
        <v>955</v>
      </c>
      <c r="L4" s="307" t="s">
        <v>957</v>
      </c>
      <c r="M4" s="307" t="s">
        <v>1170</v>
      </c>
      <c r="N4" s="307" t="s">
        <v>943</v>
      </c>
      <c r="Q4" s="306" t="s">
        <v>144</v>
      </c>
      <c r="R4" s="307" t="s">
        <v>944</v>
      </c>
      <c r="S4" s="308" t="s">
        <v>945</v>
      </c>
      <c r="T4" s="308" t="s">
        <v>945</v>
      </c>
      <c r="U4" s="308" t="s">
        <v>945</v>
      </c>
      <c r="V4" s="308"/>
      <c r="BI4" s="303"/>
      <c r="BJ4" s="303"/>
      <c r="BK4" s="303"/>
      <c r="BL4" s="303"/>
      <c r="BM4" s="303"/>
      <c r="BN4" s="303"/>
      <c r="IU4" s="304"/>
      <c r="IV4" s="304"/>
      <c r="IW4" s="304"/>
      <c r="IX4" s="304"/>
      <c r="IY4" s="304"/>
      <c r="IZ4" s="304"/>
      <c r="JG4" s="303"/>
      <c r="JH4" s="303"/>
      <c r="JI4" s="303"/>
      <c r="JJ4" s="303"/>
      <c r="JK4" s="303"/>
      <c r="JL4" s="303"/>
    </row>
    <row r="5" spans="1:272" ht="17.25" customHeight="1">
      <c r="A5" s="309">
        <f t="shared" ref="A5:A14" si="0">EDATE(A6,-1)</f>
        <v>44166</v>
      </c>
      <c r="B5" s="301"/>
      <c r="C5" s="301"/>
      <c r="D5" s="301"/>
      <c r="E5" s="301"/>
      <c r="F5" s="301"/>
      <c r="I5" s="309">
        <f t="shared" ref="I5:I15" si="1">A5</f>
        <v>44166</v>
      </c>
      <c r="J5" s="301"/>
      <c r="K5" s="301"/>
      <c r="L5" s="301"/>
      <c r="M5" s="301"/>
      <c r="N5" s="301"/>
      <c r="Q5" s="309">
        <f t="shared" ref="Q5:Q15" si="2">A5</f>
        <v>44166</v>
      </c>
      <c r="R5" s="301"/>
      <c r="S5" s="301"/>
      <c r="T5" s="301"/>
      <c r="U5" s="301"/>
      <c r="V5" s="301"/>
      <c r="W5" s="302">
        <v>12</v>
      </c>
      <c r="AJ5" s="302">
        <v>6</v>
      </c>
      <c r="BI5" s="303"/>
      <c r="BJ5" s="303"/>
      <c r="BK5" s="303"/>
      <c r="BL5" s="303"/>
      <c r="BM5" s="303"/>
      <c r="BN5" s="303"/>
      <c r="IU5" s="304"/>
      <c r="IV5" s="304"/>
      <c r="IW5" s="304"/>
      <c r="IX5" s="304"/>
      <c r="IY5" s="304"/>
      <c r="IZ5" s="304"/>
      <c r="JG5" s="303"/>
      <c r="JH5" s="303"/>
      <c r="JI5" s="303"/>
      <c r="JJ5" s="303"/>
      <c r="JK5" s="303"/>
      <c r="JL5" s="303"/>
    </row>
    <row r="6" spans="1:272" ht="17.25" customHeight="1">
      <c r="A6" s="309">
        <f t="shared" si="0"/>
        <v>44197</v>
      </c>
      <c r="B6" s="301"/>
      <c r="C6" s="301"/>
      <c r="D6" s="301"/>
      <c r="E6" s="301"/>
      <c r="F6" s="301"/>
      <c r="I6" s="309">
        <f t="shared" si="1"/>
        <v>44197</v>
      </c>
      <c r="J6" s="301"/>
      <c r="K6" s="301"/>
      <c r="L6" s="301"/>
      <c r="M6" s="301"/>
      <c r="N6" s="301"/>
      <c r="Q6" s="309">
        <f t="shared" si="2"/>
        <v>44197</v>
      </c>
      <c r="R6" s="301"/>
      <c r="S6" s="301"/>
      <c r="T6" s="301"/>
      <c r="U6" s="301"/>
      <c r="V6" s="301"/>
      <c r="W6" s="302">
        <v>11</v>
      </c>
      <c r="AJ6" s="302">
        <v>7</v>
      </c>
      <c r="BI6" s="303"/>
      <c r="BJ6" s="303"/>
      <c r="BK6" s="303"/>
      <c r="BL6" s="303"/>
      <c r="BM6" s="303"/>
      <c r="BN6" s="303"/>
      <c r="IU6" s="304"/>
      <c r="IV6" s="304"/>
      <c r="IW6" s="304"/>
      <c r="IX6" s="304"/>
      <c r="IY6" s="304"/>
      <c r="IZ6" s="304"/>
      <c r="JG6" s="303"/>
      <c r="JH6" s="303"/>
      <c r="JI6" s="303"/>
      <c r="JJ6" s="303"/>
      <c r="JK6" s="303"/>
      <c r="JL6" s="303"/>
    </row>
    <row r="7" spans="1:272" ht="17.25" customHeight="1">
      <c r="A7" s="309">
        <f t="shared" si="0"/>
        <v>44228</v>
      </c>
      <c r="B7" s="301"/>
      <c r="C7" s="301"/>
      <c r="D7" s="301"/>
      <c r="E7" s="301"/>
      <c r="F7" s="301"/>
      <c r="I7" s="309">
        <f t="shared" si="1"/>
        <v>44228</v>
      </c>
      <c r="J7" s="301"/>
      <c r="K7" s="301"/>
      <c r="L7" s="301"/>
      <c r="M7" s="301"/>
      <c r="N7" s="301"/>
      <c r="Q7" s="309">
        <f t="shared" si="2"/>
        <v>44228</v>
      </c>
      <c r="R7" s="301"/>
      <c r="S7" s="301"/>
      <c r="T7" s="301"/>
      <c r="U7" s="301"/>
      <c r="V7" s="301"/>
      <c r="W7" s="302">
        <v>10</v>
      </c>
      <c r="AI7" s="302" t="s">
        <v>945</v>
      </c>
      <c r="AJ7" s="302">
        <v>8</v>
      </c>
      <c r="BI7" s="303"/>
      <c r="BJ7" s="303"/>
      <c r="BK7" s="303"/>
      <c r="BL7" s="303"/>
      <c r="BM7" s="303"/>
      <c r="BN7" s="303"/>
      <c r="IU7" s="304"/>
      <c r="IV7" s="304"/>
      <c r="IW7" s="304"/>
      <c r="IX7" s="304"/>
      <c r="IY7" s="304"/>
      <c r="IZ7" s="304"/>
      <c r="JG7" s="303"/>
      <c r="JH7" s="303"/>
      <c r="JI7" s="303"/>
      <c r="JJ7" s="303"/>
      <c r="JK7" s="303"/>
      <c r="JL7" s="303"/>
    </row>
    <row r="8" spans="1:272" ht="17.25" customHeight="1">
      <c r="A8" s="309">
        <f t="shared" si="0"/>
        <v>44256</v>
      </c>
      <c r="B8" s="301"/>
      <c r="C8" s="301"/>
      <c r="D8" s="301"/>
      <c r="E8" s="301"/>
      <c r="F8" s="301"/>
      <c r="I8" s="309">
        <f t="shared" si="1"/>
        <v>44256</v>
      </c>
      <c r="J8" s="301"/>
      <c r="K8" s="301"/>
      <c r="L8" s="301"/>
      <c r="M8" s="301"/>
      <c r="N8" s="301"/>
      <c r="Q8" s="309">
        <f t="shared" si="2"/>
        <v>44256</v>
      </c>
      <c r="R8" s="301"/>
      <c r="S8" s="301"/>
      <c r="T8" s="301"/>
      <c r="U8" s="301"/>
      <c r="V8" s="301"/>
      <c r="W8" s="302">
        <v>9</v>
      </c>
      <c r="AI8" s="302" t="s">
        <v>944</v>
      </c>
      <c r="AJ8" s="302">
        <v>9</v>
      </c>
      <c r="BI8" s="303"/>
      <c r="BJ8" s="303"/>
      <c r="BK8" s="303"/>
      <c r="BL8" s="303"/>
      <c r="BM8" s="303"/>
      <c r="BN8" s="303"/>
      <c r="IU8" s="304"/>
      <c r="IV8" s="304"/>
      <c r="IW8" s="304"/>
      <c r="IX8" s="304"/>
      <c r="IY8" s="304"/>
      <c r="IZ8" s="304"/>
      <c r="JG8" s="303"/>
      <c r="JH8" s="303"/>
      <c r="JI8" s="303"/>
      <c r="JJ8" s="303"/>
      <c r="JK8" s="303"/>
      <c r="JL8" s="303"/>
    </row>
    <row r="9" spans="1:272" ht="17.25" customHeight="1">
      <c r="A9" s="309">
        <f t="shared" si="0"/>
        <v>44287</v>
      </c>
      <c r="B9" s="301"/>
      <c r="C9" s="301"/>
      <c r="D9" s="301"/>
      <c r="E9" s="301"/>
      <c r="F9" s="301"/>
      <c r="I9" s="309">
        <f t="shared" si="1"/>
        <v>44287</v>
      </c>
      <c r="J9" s="301"/>
      <c r="K9" s="301"/>
      <c r="L9" s="301"/>
      <c r="M9" s="301"/>
      <c r="N9" s="301"/>
      <c r="Q9" s="309">
        <f t="shared" si="2"/>
        <v>44287</v>
      </c>
      <c r="R9" s="301"/>
      <c r="S9" s="301"/>
      <c r="T9" s="301"/>
      <c r="U9" s="301"/>
      <c r="V9" s="301"/>
      <c r="W9" s="302">
        <v>8</v>
      </c>
      <c r="AJ9" s="302">
        <v>10</v>
      </c>
      <c r="BI9" s="303"/>
      <c r="BJ9" s="303"/>
      <c r="BK9" s="303"/>
      <c r="BL9" s="303"/>
      <c r="BM9" s="303"/>
      <c r="BN9" s="303"/>
      <c r="IU9" s="304"/>
      <c r="IV9" s="304"/>
      <c r="IW9" s="304"/>
      <c r="IX9" s="304"/>
      <c r="IY9" s="304"/>
      <c r="IZ9" s="304"/>
      <c r="JG9" s="303"/>
      <c r="JH9" s="303"/>
      <c r="JI9" s="303"/>
      <c r="JJ9" s="303"/>
      <c r="JK9" s="303"/>
      <c r="JL9" s="303"/>
    </row>
    <row r="10" spans="1:272" ht="17.25" customHeight="1">
      <c r="A10" s="309">
        <f t="shared" si="0"/>
        <v>44317</v>
      </c>
      <c r="B10" s="301"/>
      <c r="C10" s="301"/>
      <c r="D10" s="301"/>
      <c r="E10" s="301"/>
      <c r="F10" s="301"/>
      <c r="I10" s="309">
        <f t="shared" si="1"/>
        <v>44317</v>
      </c>
      <c r="J10" s="301"/>
      <c r="K10" s="301"/>
      <c r="L10" s="301"/>
      <c r="M10" s="301"/>
      <c r="N10" s="301"/>
      <c r="Q10" s="309">
        <f t="shared" si="2"/>
        <v>44317</v>
      </c>
      <c r="R10" s="301"/>
      <c r="S10" s="301"/>
      <c r="T10" s="301"/>
      <c r="U10" s="301"/>
      <c r="V10" s="301"/>
      <c r="W10" s="302">
        <v>7</v>
      </c>
      <c r="AJ10" s="302">
        <v>11</v>
      </c>
      <c r="BI10" s="303"/>
      <c r="BJ10" s="303"/>
      <c r="BK10" s="303"/>
      <c r="BL10" s="303"/>
      <c r="BM10" s="303"/>
      <c r="BN10" s="303"/>
      <c r="IU10" s="304"/>
      <c r="IV10" s="304"/>
      <c r="IW10" s="304"/>
      <c r="IX10" s="304"/>
      <c r="IY10" s="304"/>
      <c r="IZ10" s="304"/>
      <c r="JG10" s="303"/>
      <c r="JH10" s="303"/>
      <c r="JI10" s="303"/>
      <c r="JJ10" s="303"/>
      <c r="JK10" s="303"/>
      <c r="JL10" s="303"/>
    </row>
    <row r="11" spans="1:272" ht="17.25" customHeight="1">
      <c r="A11" s="309">
        <f t="shared" si="0"/>
        <v>44348</v>
      </c>
      <c r="B11" s="301"/>
      <c r="C11" s="301"/>
      <c r="D11" s="301"/>
      <c r="E11" s="301"/>
      <c r="F11" s="301"/>
      <c r="I11" s="309">
        <f t="shared" si="1"/>
        <v>44348</v>
      </c>
      <c r="J11" s="301"/>
      <c r="K11" s="301"/>
      <c r="L11" s="301"/>
      <c r="M11" s="301"/>
      <c r="N11" s="301"/>
      <c r="Q11" s="309">
        <f t="shared" si="2"/>
        <v>44348</v>
      </c>
      <c r="R11" s="301"/>
      <c r="S11" s="301"/>
      <c r="T11" s="301"/>
      <c r="U11" s="301"/>
      <c r="V11" s="301"/>
      <c r="W11" s="302">
        <v>6</v>
      </c>
      <c r="AJ11" s="302">
        <v>12</v>
      </c>
      <c r="BI11" s="303"/>
      <c r="BJ11" s="303"/>
      <c r="BK11" s="303"/>
      <c r="BL11" s="303"/>
      <c r="BM11" s="303"/>
      <c r="BN11" s="303"/>
      <c r="IU11" s="304"/>
      <c r="IV11" s="304"/>
      <c r="IW11" s="304"/>
      <c r="IX11" s="304"/>
      <c r="IY11" s="304"/>
      <c r="IZ11" s="304"/>
      <c r="JG11" s="303"/>
      <c r="JH11" s="303"/>
      <c r="JI11" s="303"/>
      <c r="JJ11" s="303"/>
      <c r="JK11" s="303"/>
      <c r="JL11" s="303"/>
    </row>
    <row r="12" spans="1:272" ht="17.25" customHeight="1">
      <c r="A12" s="309">
        <f t="shared" si="0"/>
        <v>44378</v>
      </c>
      <c r="B12" s="301"/>
      <c r="C12" s="301"/>
      <c r="D12" s="301"/>
      <c r="E12" s="301"/>
      <c r="F12" s="301"/>
      <c r="I12" s="309">
        <f t="shared" si="1"/>
        <v>44378</v>
      </c>
      <c r="J12" s="301"/>
      <c r="K12" s="301"/>
      <c r="L12" s="301"/>
      <c r="M12" s="301"/>
      <c r="N12" s="301"/>
      <c r="Q12" s="309">
        <f t="shared" si="2"/>
        <v>44378</v>
      </c>
      <c r="R12" s="301"/>
      <c r="S12" s="301"/>
      <c r="T12" s="301"/>
      <c r="U12" s="301"/>
      <c r="V12" s="301"/>
      <c r="W12" s="302">
        <v>5</v>
      </c>
      <c r="BI12" s="303"/>
      <c r="BJ12" s="303"/>
      <c r="BK12" s="303"/>
      <c r="BL12" s="303"/>
      <c r="BM12" s="303"/>
      <c r="BN12" s="303"/>
      <c r="IU12" s="304"/>
      <c r="IV12" s="304"/>
      <c r="IW12" s="304"/>
      <c r="IX12" s="304"/>
      <c r="IY12" s="304"/>
      <c r="IZ12" s="304"/>
      <c r="JG12" s="303"/>
      <c r="JH12" s="303"/>
      <c r="JI12" s="303"/>
      <c r="JJ12" s="303"/>
      <c r="JK12" s="303"/>
      <c r="JL12" s="303"/>
    </row>
    <row r="13" spans="1:272" ht="17.25" customHeight="1">
      <c r="A13" s="309">
        <f t="shared" si="0"/>
        <v>44409</v>
      </c>
      <c r="B13" s="301"/>
      <c r="C13" s="301"/>
      <c r="D13" s="301"/>
      <c r="E13" s="301"/>
      <c r="F13" s="301"/>
      <c r="I13" s="309">
        <f t="shared" si="1"/>
        <v>44409</v>
      </c>
      <c r="J13" s="301"/>
      <c r="K13" s="301"/>
      <c r="L13" s="301"/>
      <c r="M13" s="301"/>
      <c r="N13" s="301"/>
      <c r="Q13" s="309">
        <f t="shared" si="2"/>
        <v>44409</v>
      </c>
      <c r="R13" s="301"/>
      <c r="S13" s="301"/>
      <c r="T13" s="301"/>
      <c r="U13" s="301"/>
      <c r="V13" s="301"/>
      <c r="W13" s="302">
        <v>4</v>
      </c>
      <c r="BI13" s="303"/>
      <c r="BJ13" s="303"/>
      <c r="BK13" s="303"/>
      <c r="BL13" s="303"/>
      <c r="BM13" s="303"/>
      <c r="BN13" s="303"/>
      <c r="IU13" s="304"/>
      <c r="IV13" s="304"/>
      <c r="IW13" s="304"/>
      <c r="IX13" s="304"/>
      <c r="IY13" s="304"/>
      <c r="IZ13" s="304"/>
      <c r="JG13" s="303"/>
      <c r="JH13" s="303"/>
      <c r="JI13" s="303"/>
      <c r="JJ13" s="303"/>
      <c r="JK13" s="303"/>
      <c r="JL13" s="303"/>
    </row>
    <row r="14" spans="1:272" ht="17.25" customHeight="1">
      <c r="A14" s="309">
        <f t="shared" si="0"/>
        <v>44440</v>
      </c>
      <c r="B14" s="301"/>
      <c r="C14" s="301"/>
      <c r="D14" s="301"/>
      <c r="E14" s="301"/>
      <c r="F14" s="301"/>
      <c r="I14" s="309">
        <f t="shared" si="1"/>
        <v>44440</v>
      </c>
      <c r="J14" s="301"/>
      <c r="K14" s="301"/>
      <c r="L14" s="301"/>
      <c r="M14" s="301"/>
      <c r="N14" s="301"/>
      <c r="Q14" s="309">
        <f t="shared" si="2"/>
        <v>44440</v>
      </c>
      <c r="R14" s="301"/>
      <c r="S14" s="301"/>
      <c r="T14" s="301"/>
      <c r="U14" s="301"/>
      <c r="V14" s="301"/>
      <c r="W14" s="302">
        <v>3</v>
      </c>
      <c r="BI14" s="303"/>
      <c r="BJ14" s="303"/>
      <c r="BK14" s="303"/>
      <c r="BL14" s="303"/>
      <c r="BM14" s="303"/>
      <c r="BN14" s="303"/>
      <c r="IU14" s="304"/>
      <c r="IV14" s="304"/>
      <c r="IW14" s="304"/>
      <c r="IX14" s="304"/>
      <c r="IY14" s="304"/>
      <c r="IZ14" s="304"/>
      <c r="JG14" s="303"/>
      <c r="JH14" s="303"/>
      <c r="JI14" s="303"/>
      <c r="JJ14" s="303"/>
      <c r="JK14" s="303"/>
      <c r="JL14" s="303"/>
    </row>
    <row r="15" spans="1:272" ht="17.25" customHeight="1">
      <c r="A15" s="309">
        <f>EDATE(A16,-1)</f>
        <v>44470</v>
      </c>
      <c r="B15" s="301"/>
      <c r="C15" s="301"/>
      <c r="D15" s="301"/>
      <c r="E15" s="301"/>
      <c r="F15" s="301"/>
      <c r="I15" s="309">
        <f t="shared" si="1"/>
        <v>44470</v>
      </c>
      <c r="J15" s="301"/>
      <c r="K15" s="301"/>
      <c r="L15" s="301"/>
      <c r="M15" s="301"/>
      <c r="N15" s="301"/>
      <c r="Q15" s="309">
        <f t="shared" si="2"/>
        <v>44470</v>
      </c>
      <c r="R15" s="301"/>
      <c r="S15" s="301"/>
      <c r="T15" s="301"/>
      <c r="U15" s="301"/>
      <c r="V15" s="301"/>
      <c r="W15" s="302">
        <v>2</v>
      </c>
      <c r="BI15" s="303"/>
      <c r="BJ15" s="303"/>
      <c r="BK15" s="303"/>
      <c r="BL15" s="303"/>
      <c r="BM15" s="303"/>
      <c r="BN15" s="303"/>
      <c r="IU15" s="304"/>
      <c r="IV15" s="304"/>
      <c r="IW15" s="304"/>
      <c r="IX15" s="304"/>
      <c r="IY15" s="304"/>
      <c r="IZ15" s="304"/>
      <c r="JG15" s="303"/>
      <c r="JH15" s="303"/>
      <c r="JI15" s="303"/>
      <c r="JJ15" s="303"/>
      <c r="JK15" s="303"/>
      <c r="JL15" s="303"/>
    </row>
    <row r="16" spans="1:272" ht="17.25" customHeight="1">
      <c r="A16" s="309">
        <f>'Analysis-Debit'!J3</f>
        <v>44501</v>
      </c>
      <c r="B16" s="301"/>
      <c r="C16" s="301"/>
      <c r="D16" s="301"/>
      <c r="E16" s="301"/>
      <c r="F16" s="301"/>
      <c r="I16" s="309">
        <f>A16</f>
        <v>44501</v>
      </c>
      <c r="J16" s="301"/>
      <c r="K16" s="301"/>
      <c r="L16" s="301"/>
      <c r="M16" s="301"/>
      <c r="N16" s="301"/>
      <c r="Q16" s="309">
        <f>A16</f>
        <v>44501</v>
      </c>
      <c r="R16" s="301"/>
      <c r="S16" s="301"/>
      <c r="T16" s="301"/>
      <c r="U16" s="301"/>
      <c r="V16" s="301"/>
      <c r="W16" s="302">
        <v>1</v>
      </c>
      <c r="BI16" s="303"/>
      <c r="BJ16" s="303"/>
      <c r="BK16" s="303"/>
      <c r="BL16" s="303"/>
      <c r="BM16" s="303"/>
      <c r="BN16" s="303"/>
      <c r="IU16" s="304"/>
      <c r="IV16" s="304"/>
      <c r="IW16" s="304"/>
      <c r="IX16" s="304"/>
      <c r="IY16" s="304"/>
      <c r="IZ16" s="304"/>
      <c r="JG16" s="303"/>
      <c r="JH16" s="303"/>
      <c r="JI16" s="303"/>
      <c r="JJ16" s="303"/>
      <c r="JK16" s="303"/>
      <c r="JL16" s="303"/>
    </row>
    <row r="17" spans="1:272" ht="17.25" customHeight="1">
      <c r="A17" s="306" t="s">
        <v>145</v>
      </c>
      <c r="B17" s="310">
        <f>SUM(B5:B16)</f>
        <v>0</v>
      </c>
      <c r="C17" s="310">
        <f>SUM(C5:C16)</f>
        <v>0</v>
      </c>
      <c r="D17" s="310">
        <f>SUM(D5:D16)</f>
        <v>0</v>
      </c>
      <c r="E17" s="310">
        <f>SUM(E5:E16)</f>
        <v>0</v>
      </c>
      <c r="F17" s="310">
        <f>SUM(F5:F16)</f>
        <v>0</v>
      </c>
      <c r="I17" s="306" t="s">
        <v>145</v>
      </c>
      <c r="J17" s="310">
        <f>SUM(J5:J16)</f>
        <v>0</v>
      </c>
      <c r="K17" s="310">
        <f>SUM(K5:K16)</f>
        <v>0</v>
      </c>
      <c r="L17" s="310">
        <f>SUM(L5:L16)</f>
        <v>0</v>
      </c>
      <c r="M17" s="310">
        <f>SUM(M5:M16)</f>
        <v>0</v>
      </c>
      <c r="N17" s="310">
        <f>SUM(N5:N16)</f>
        <v>0</v>
      </c>
      <c r="Q17" s="302" t="s">
        <v>946</v>
      </c>
      <c r="R17" s="302">
        <f>SUM(R5:R16)</f>
        <v>0</v>
      </c>
      <c r="S17" s="302">
        <f>SUMIFS(S5:S16,$W$5:$W$16,"&lt;="&amp;S2)</f>
        <v>0</v>
      </c>
      <c r="T17" s="302">
        <f t="shared" ref="T17:V17" si="3">SUMIFS(T5:T16,$W$5:$W$16,"&lt;="&amp;T2)</f>
        <v>0</v>
      </c>
      <c r="U17" s="302">
        <f t="shared" si="3"/>
        <v>0</v>
      </c>
      <c r="V17" s="302">
        <f t="shared" si="3"/>
        <v>0</v>
      </c>
      <c r="BI17" s="303"/>
      <c r="BJ17" s="303"/>
      <c r="BK17" s="303"/>
      <c r="BL17" s="303"/>
      <c r="BM17" s="303"/>
      <c r="BN17" s="303"/>
      <c r="IU17" s="304"/>
      <c r="IV17" s="304"/>
      <c r="IW17" s="304"/>
      <c r="IX17" s="304"/>
      <c r="IY17" s="304"/>
      <c r="IZ17" s="304"/>
      <c r="JG17" s="303"/>
      <c r="JH17" s="303"/>
      <c r="JI17" s="303"/>
      <c r="JJ17" s="303"/>
      <c r="JK17" s="303"/>
      <c r="JL17" s="303"/>
    </row>
    <row r="18" spans="1:272" ht="17.25" customHeight="1">
      <c r="A18" s="306" t="s">
        <v>947</v>
      </c>
      <c r="B18" s="310">
        <f>B17-J17</f>
        <v>0</v>
      </c>
      <c r="C18" s="310">
        <f>C17-K17</f>
        <v>0</v>
      </c>
      <c r="D18" s="310">
        <f>D17-L17</f>
        <v>0</v>
      </c>
      <c r="E18" s="310">
        <f>E17-M17</f>
        <v>0</v>
      </c>
      <c r="F18" s="310">
        <f>F17-N17</f>
        <v>0</v>
      </c>
      <c r="Q18" s="306" t="s">
        <v>145</v>
      </c>
      <c r="R18" s="310">
        <f>IF(SUM(R5:R16)&gt;=36,36,0)</f>
        <v>0</v>
      </c>
      <c r="S18" s="310">
        <f>IF(AND(S4="Savings Account",SUMIFS(S5:S16,$W$5:$W$16,"&lt;="&amp;S2)&gt;=S2*3),36,IF(AND(S4="Current Account",SUMIFS(S5:S16,$W$5:$W$16,"&lt;="&amp;S2)&gt;=S2),12,0))</f>
        <v>0</v>
      </c>
      <c r="T18" s="310">
        <f>IF(AND(T4="Savings Account",SUMIFS(T5:T16,$W$5:$W$16,"&lt;="&amp;T2)&gt;=T2*3),36,IF(AND(T4="Current Account",SUMIFS(T5:T16,$W$5:$W$16,"&lt;="&amp;T2)&gt;=T2),12,0))</f>
        <v>0</v>
      </c>
      <c r="U18" s="310">
        <f>IF(AND(U4="Savings Account",SUMIFS(U5:U16,$W$5:$W$16,"&lt;="&amp;U2)&gt;=U2*3),36,IF(AND(U4="Current Account",SUMIFS(U5:U16,$W$5:$W$16,"&lt;="&amp;U2)&gt;=U2),12,0))</f>
        <v>0</v>
      </c>
      <c r="V18" s="310">
        <f>IF(AND(V4="Savings Account",SUMIFS(V5:V16,$W$5:$W$16,"&lt;="&amp;V2)&gt;=V2*3),36,IF(AND(V4="Current Account",SUMIFS(V5:V16,$W$5:$W$16,"&lt;="&amp;V2)&gt;=V2),12,0))</f>
        <v>0</v>
      </c>
    </row>
    <row r="19" spans="1:272" ht="63.75">
      <c r="A19" s="311" t="s">
        <v>151</v>
      </c>
      <c r="B19" s="310">
        <f>SUM(B18:F18)</f>
        <v>0</v>
      </c>
    </row>
    <row r="21" spans="1:272">
      <c r="A21" s="303"/>
      <c r="B21" s="303"/>
      <c r="C21" s="303"/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03"/>
      <c r="T21" s="303"/>
      <c r="U21" s="303"/>
      <c r="V21" s="303"/>
      <c r="W21" s="303"/>
      <c r="X21" s="303"/>
      <c r="Y21" s="303"/>
      <c r="Z21" s="303"/>
      <c r="AA21" s="303"/>
      <c r="AB21" s="303"/>
      <c r="AC21" s="303"/>
      <c r="AD21" s="303"/>
      <c r="AE21" s="303"/>
      <c r="AF21" s="303"/>
      <c r="AG21" s="303"/>
      <c r="AH21" s="303"/>
      <c r="AI21" s="303"/>
      <c r="AJ21" s="303"/>
      <c r="AK21" s="303"/>
      <c r="AL21" s="303"/>
      <c r="AM21" s="303"/>
      <c r="AN21" s="303"/>
      <c r="AO21" s="303"/>
      <c r="AP21" s="303"/>
      <c r="AQ21" s="303"/>
      <c r="AR21" s="303"/>
      <c r="AS21" s="303"/>
      <c r="AT21" s="303"/>
      <c r="AU21" s="303"/>
      <c r="AV21" s="303"/>
      <c r="AW21" s="303"/>
      <c r="AX21" s="303"/>
      <c r="AY21" s="303"/>
      <c r="AZ21" s="303"/>
      <c r="BA21" s="303"/>
      <c r="BB21" s="303"/>
      <c r="BC21" s="303"/>
      <c r="BD21" s="303"/>
      <c r="BE21" s="303"/>
      <c r="BF21" s="303"/>
      <c r="BG21" s="303"/>
      <c r="BH21" s="303"/>
      <c r="BI21" s="303"/>
      <c r="BJ21" s="303"/>
      <c r="BK21" s="303"/>
      <c r="BL21" s="303"/>
      <c r="BM21" s="303"/>
      <c r="BN21" s="303"/>
      <c r="JA21" s="303"/>
      <c r="JB21" s="303"/>
      <c r="JC21" s="303"/>
      <c r="JD21" s="303"/>
      <c r="JE21" s="303"/>
      <c r="JF21" s="303"/>
      <c r="JG21" s="303"/>
      <c r="JH21" s="303"/>
      <c r="JI21" s="303"/>
      <c r="JJ21" s="303"/>
      <c r="JK21" s="303"/>
      <c r="JL21" s="303"/>
    </row>
    <row r="22" spans="1:272">
      <c r="A22" s="303"/>
      <c r="B22" s="303"/>
      <c r="C22" s="303"/>
      <c r="D22" s="303"/>
      <c r="E22" s="303"/>
      <c r="F22" s="303"/>
      <c r="G22" s="303"/>
      <c r="H22" s="303"/>
      <c r="I22" s="303"/>
      <c r="J22" s="303"/>
      <c r="K22" s="303"/>
      <c r="L22" s="303"/>
      <c r="M22" s="303"/>
      <c r="N22" s="303"/>
      <c r="O22" s="303"/>
      <c r="P22" s="303"/>
      <c r="Q22" s="303" t="s">
        <v>100</v>
      </c>
      <c r="R22" s="303"/>
      <c r="S22" s="303"/>
      <c r="T22" s="303"/>
      <c r="U22" s="303"/>
      <c r="V22" s="303"/>
      <c r="W22" s="303"/>
      <c r="X22" s="303"/>
      <c r="Y22" s="303"/>
      <c r="Z22" s="303"/>
      <c r="AA22" s="303"/>
      <c r="AB22" s="303"/>
      <c r="AC22" s="303"/>
      <c r="AD22" s="303"/>
      <c r="AE22" s="303"/>
      <c r="AF22" s="303"/>
      <c r="AG22" s="303"/>
      <c r="AH22" s="303"/>
      <c r="AI22" s="303"/>
      <c r="AJ22" s="303"/>
      <c r="AK22" s="303"/>
      <c r="AL22" s="303"/>
      <c r="AM22" s="303"/>
      <c r="AN22" s="303"/>
      <c r="AO22" s="303"/>
      <c r="AP22" s="303"/>
      <c r="AQ22" s="303"/>
      <c r="AR22" s="303"/>
      <c r="AS22" s="303"/>
      <c r="AT22" s="303"/>
      <c r="AU22" s="303"/>
      <c r="AV22" s="303"/>
      <c r="AW22" s="303"/>
      <c r="AX22" s="303"/>
      <c r="AY22" s="303"/>
      <c r="AZ22" s="303"/>
      <c r="BA22" s="303"/>
      <c r="BB22" s="303"/>
      <c r="BC22" s="303"/>
      <c r="BD22" s="303"/>
      <c r="BE22" s="303"/>
      <c r="BF22" s="303"/>
      <c r="BG22" s="303"/>
      <c r="BH22" s="303"/>
      <c r="BI22" s="303"/>
      <c r="BJ22" s="303"/>
      <c r="BK22" s="303"/>
      <c r="BL22" s="303"/>
      <c r="BM22" s="303"/>
      <c r="BN22" s="303"/>
      <c r="JA22" s="303"/>
      <c r="JB22" s="303"/>
      <c r="JC22" s="303"/>
      <c r="JD22" s="303"/>
      <c r="JE22" s="303"/>
      <c r="JF22" s="303"/>
      <c r="JG22" s="303"/>
      <c r="JH22" s="303"/>
      <c r="JI22" s="303"/>
      <c r="JJ22" s="303"/>
      <c r="JK22" s="303"/>
      <c r="JL22" s="303"/>
    </row>
    <row r="23" spans="1:272" ht="25.5">
      <c r="A23" s="303"/>
      <c r="B23" s="303"/>
      <c r="C23" s="303"/>
      <c r="D23" s="303"/>
      <c r="E23" s="303"/>
      <c r="F23" s="303"/>
      <c r="G23" s="303"/>
      <c r="H23" s="303"/>
      <c r="I23" s="303"/>
      <c r="J23" s="303"/>
      <c r="K23" s="303"/>
      <c r="L23" s="303"/>
      <c r="M23" s="303"/>
      <c r="N23" s="303"/>
      <c r="O23" s="303"/>
      <c r="P23" s="303"/>
      <c r="Q23" s="312" t="s">
        <v>948</v>
      </c>
      <c r="R23" s="312">
        <f>IF(R18&gt;=36,36,0)</f>
        <v>0</v>
      </c>
      <c r="S23" s="312">
        <f>IF(AND(OR(S4="Savings Account",S4=AI9),S18&gt;=36),36,IF(AND(OR(S4="Current Account",S4=AI10),S18&gt;=12),12,0))</f>
        <v>0</v>
      </c>
      <c r="T23" s="312">
        <f>IF(AND(OR(T4="Savings Account",T4=AI9),T18&gt;=36),36,IF(AND(OR(T4="Current Account",T4=AI10),T18&gt;=12),12,0))</f>
        <v>0</v>
      </c>
      <c r="U23" s="312">
        <f>IF(AND(OR(U4="Savings Account",U4=AI9),U18&gt;=36),36,IF(AND(OR(U4="Current Account",U4=AI10),U18&gt;=12),12,0))</f>
        <v>0</v>
      </c>
      <c r="V23" s="312">
        <f>IF(AND(OR(V4="Savings Account",V4=AI9),V18&gt;=36),36,IF(AND(OR(V4="Current Account",V4=AI10),V18&gt;=12),12,0))</f>
        <v>0</v>
      </c>
      <c r="W23" s="303"/>
      <c r="X23" s="303"/>
      <c r="Y23" s="303"/>
      <c r="Z23" s="303"/>
      <c r="AA23" s="303"/>
      <c r="AB23" s="303"/>
      <c r="AC23" s="303"/>
      <c r="AD23" s="303"/>
      <c r="AE23" s="303"/>
      <c r="AF23" s="303"/>
      <c r="AG23" s="303"/>
      <c r="AH23" s="303"/>
      <c r="AI23" s="303"/>
      <c r="AJ23" s="303"/>
      <c r="AK23" s="303"/>
      <c r="AL23" s="303"/>
      <c r="AM23" s="303"/>
      <c r="AN23" s="303"/>
      <c r="AO23" s="303"/>
      <c r="AP23" s="303"/>
      <c r="AQ23" s="303"/>
      <c r="AR23" s="303"/>
      <c r="AS23" s="303"/>
      <c r="AT23" s="303"/>
      <c r="AU23" s="303"/>
      <c r="AV23" s="303"/>
      <c r="AW23" s="303"/>
      <c r="AX23" s="303"/>
      <c r="AY23" s="303"/>
      <c r="AZ23" s="303"/>
      <c r="BA23" s="303"/>
      <c r="BB23" s="303"/>
      <c r="BC23" s="303"/>
      <c r="BD23" s="303"/>
      <c r="BE23" s="303"/>
      <c r="BF23" s="303"/>
      <c r="BG23" s="303"/>
      <c r="BH23" s="303"/>
      <c r="BI23" s="303"/>
      <c r="BJ23" s="303"/>
      <c r="BK23" s="303"/>
      <c r="BL23" s="303"/>
      <c r="BM23" s="303"/>
      <c r="BN23" s="303"/>
      <c r="IY23" s="303" t="s">
        <v>949</v>
      </c>
      <c r="IZ23" s="303">
        <f>COUNTIF(B24:Q26,0)</f>
        <v>0</v>
      </c>
      <c r="JA23" s="303" t="s">
        <v>950</v>
      </c>
      <c r="JB23" s="303" t="s">
        <v>951</v>
      </c>
      <c r="JC23" s="303" t="s">
        <v>952</v>
      </c>
      <c r="JD23" s="303"/>
      <c r="JE23" s="303" t="s">
        <v>953</v>
      </c>
      <c r="JF23" s="303"/>
      <c r="JG23" s="303"/>
      <c r="JH23" s="303"/>
      <c r="JI23" s="303"/>
      <c r="JJ23" s="303"/>
      <c r="JK23" s="303"/>
      <c r="JL23" s="303"/>
    </row>
    <row r="24" spans="1:272" ht="25.5">
      <c r="A24" s="303"/>
      <c r="B24" s="303"/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12" t="s">
        <v>954</v>
      </c>
      <c r="R24" s="312" t="str">
        <f>IF(AND(SUM(R5:R7)&gt;=9,SUM(R8:R10)&gt;=9,SUM(R11:R13)&gt;=9,SUM(R14:R16)&gt;=9),"Allowed","Not Allowed")</f>
        <v>Not Allowed</v>
      </c>
      <c r="S24" s="313">
        <f>IF(OR(S4="Current Account",S4=AI10),COUNTIFS(S5:S16,0,W5:W16,"&lt;="&amp;S2)+COUNTIFS(S5:S16,"",W5:W16,"&lt;="&amp;S2),IF(OR(S4="Savings Account",S4=AI9),COUNTIFS(S5:S16,2,W5:W16,"&lt;="&amp;S2)+COUNTIFS(S5:S16,"",W5:W16,"&lt;="&amp;S2)+COUNTIFS(S5:S16,1,W5:W16,"&lt;="&amp;S2)+COUNTIFS(S5:S16,0,W5:W16,"&lt;="&amp;S2),""))</f>
        <v>12</v>
      </c>
      <c r="T24" s="312">
        <f>IF(OR(T4="Current Account",T4=AI10),COUNTIF(T5:T16,0)+COUNTIF(T5:T16,""),IF(OR(T4="Savings Account",T4=AI9),COUNTIF(T5:T16,2)+COUNTIF(T5:T16,"")+COUNTIF(T5:T16,1)+COUNTIF(T5:T16,0),""))</f>
        <v>12</v>
      </c>
      <c r="U24" s="312">
        <f>IF(OR(U4="Current Account",U4=AI10),COUNTIF(U5:U16,0)+COUNTIF(U5:U16,""),IF(OR(U4="Savings Account",U4=AI9),COUNTIF(U5:U16,2)+COUNTIF(U5:U16,"")+COUNTIF(U5:U16,1)+COUNTIF(U5:U16,0),""))</f>
        <v>12</v>
      </c>
      <c r="V24" s="312">
        <f>IF(OR(V4="Current Account",V4=AI10),COUNTIF(V5:V16,0)+COUNTIF(V5:V16,""),IF(OR(V4="Savings Account",V4=AI9),COUNTIF(V5:V16,2)+COUNTIF(V5:V16,"")+COUNTIF(V5:V16,1)+COUNTIF(V5:V16,0),""))</f>
        <v>12</v>
      </c>
      <c r="W24" s="303"/>
      <c r="X24" s="303"/>
      <c r="Y24" s="303"/>
      <c r="Z24" s="303"/>
      <c r="AA24" s="303"/>
      <c r="AB24" s="303"/>
      <c r="AC24" s="303"/>
      <c r="AD24" s="303"/>
      <c r="AE24" s="303"/>
      <c r="AF24" s="303"/>
      <c r="AG24" s="303"/>
      <c r="AH24" s="303"/>
      <c r="AI24" s="303"/>
      <c r="AJ24" s="303"/>
      <c r="AK24" s="303"/>
      <c r="AL24" s="303"/>
      <c r="AM24" s="303"/>
      <c r="AN24" s="303"/>
      <c r="AO24" s="303"/>
      <c r="AP24" s="303"/>
      <c r="AQ24" s="303"/>
      <c r="AR24" s="303"/>
      <c r="AS24" s="303"/>
      <c r="AT24" s="303"/>
      <c r="AU24" s="303"/>
      <c r="AV24" s="303"/>
      <c r="AW24" s="303"/>
      <c r="AX24" s="303"/>
      <c r="AY24" s="303"/>
      <c r="AZ24" s="303"/>
      <c r="BA24" s="303"/>
      <c r="BB24" s="303"/>
      <c r="BC24" s="303"/>
      <c r="BD24" s="303"/>
      <c r="BE24" s="303"/>
      <c r="BF24" s="303"/>
      <c r="BG24" s="303"/>
      <c r="BH24" s="303"/>
      <c r="BI24" s="303"/>
      <c r="BJ24" s="303"/>
      <c r="BK24" s="303"/>
      <c r="BL24" s="303"/>
      <c r="BM24" s="303"/>
      <c r="BN24" s="303"/>
      <c r="IY24" s="303" t="s">
        <v>955</v>
      </c>
      <c r="IZ24" s="303">
        <f>COUNTIF(B29:Q31,0)</f>
        <v>0</v>
      </c>
      <c r="JA24" s="303" t="s">
        <v>956</v>
      </c>
      <c r="JB24" s="303"/>
      <c r="JC24" s="303">
        <f>COUNTIF(B24:Q26,0)</f>
        <v>0</v>
      </c>
      <c r="JD24" s="303"/>
      <c r="JE24" s="303">
        <f>SUM(B24:B26,D24:D26,F24:F26,Q24:Q26)</f>
        <v>0</v>
      </c>
      <c r="JF24" s="303"/>
      <c r="JG24" s="303"/>
      <c r="JH24" s="303"/>
      <c r="JI24" s="303"/>
      <c r="JJ24" s="303"/>
      <c r="JK24" s="303"/>
      <c r="JL24" s="303"/>
    </row>
    <row r="25" spans="1:272">
      <c r="A25" s="303"/>
      <c r="B25" s="303"/>
      <c r="C25" s="303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12" t="s">
        <v>104</v>
      </c>
      <c r="R25" s="312">
        <f>COUNTIF(R5:R16,0)+COUNTIF(R5:R16,"")</f>
        <v>12</v>
      </c>
      <c r="S25" s="313">
        <f>COUNTIFS(S5:S16,0,W5:W16,"&gt;="&amp;S2)+COUNTIFS(S5:S16,"",W5:W16,"&gt;="&amp;S2)</f>
        <v>1</v>
      </c>
      <c r="T25" s="312">
        <f>COUNTIF(T5:T16,0)+COUNTIF(T5:T16,"")</f>
        <v>12</v>
      </c>
      <c r="U25" s="312">
        <f>COUNTIF(U5:U16,0)+COUNTIF(U5:U16,"")</f>
        <v>12</v>
      </c>
      <c r="V25" s="312">
        <f>COUNTIF(V5:V16,0)+COUNTIF(V5:V16,"")</f>
        <v>12</v>
      </c>
      <c r="W25" s="303"/>
      <c r="X25" s="303"/>
      <c r="Y25" s="303"/>
      <c r="Z25" s="303"/>
      <c r="AA25" s="303"/>
      <c r="AB25" s="303"/>
      <c r="AC25" s="303"/>
      <c r="AD25" s="303"/>
      <c r="AE25" s="303"/>
      <c r="AF25" s="303"/>
      <c r="AG25" s="303"/>
      <c r="AH25" s="303"/>
      <c r="AI25" s="303"/>
      <c r="AJ25" s="303"/>
      <c r="AK25" s="303"/>
      <c r="AL25" s="303"/>
      <c r="AM25" s="303"/>
      <c r="AN25" s="303"/>
      <c r="AO25" s="303"/>
      <c r="AP25" s="303"/>
      <c r="AQ25" s="303"/>
      <c r="AR25" s="303"/>
      <c r="AS25" s="303"/>
      <c r="AT25" s="303"/>
      <c r="AU25" s="303"/>
      <c r="AV25" s="303"/>
      <c r="AW25" s="303"/>
      <c r="AX25" s="303"/>
      <c r="AY25" s="303"/>
      <c r="AZ25" s="303"/>
      <c r="BA25" s="303"/>
      <c r="BB25" s="303"/>
      <c r="BC25" s="303"/>
      <c r="BD25" s="303"/>
      <c r="BE25" s="303"/>
      <c r="BF25" s="303"/>
      <c r="BG25" s="303"/>
      <c r="BH25" s="303"/>
      <c r="BI25" s="303"/>
      <c r="BJ25" s="303"/>
      <c r="BK25" s="303"/>
      <c r="BL25" s="303"/>
      <c r="BM25" s="303"/>
      <c r="BN25" s="303"/>
      <c r="IY25" s="303" t="s">
        <v>957</v>
      </c>
      <c r="IZ25" s="303">
        <f>COUNTIF(B36:Q38,0)</f>
        <v>0</v>
      </c>
      <c r="JA25" s="303" t="s">
        <v>958</v>
      </c>
      <c r="JB25" s="303"/>
      <c r="JC25" s="303">
        <f>COUNTIF(B24:Q26,1)</f>
        <v>0</v>
      </c>
      <c r="JD25" s="303"/>
      <c r="JE25" s="303"/>
      <c r="JF25" s="303"/>
      <c r="JG25" s="303"/>
      <c r="JH25" s="303"/>
      <c r="JI25" s="303"/>
      <c r="JJ25" s="303"/>
      <c r="JK25" s="303"/>
      <c r="JL25" s="303"/>
    </row>
    <row r="26" spans="1:272">
      <c r="A26" s="303"/>
      <c r="B26" s="303"/>
      <c r="C26" s="303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12" t="s">
        <v>105</v>
      </c>
      <c r="R26" s="312" t="s">
        <v>959</v>
      </c>
      <c r="S26" s="312">
        <f>COUNTIF(S14:S16,"")+COUNTIF(S14:S16,0)</f>
        <v>3</v>
      </c>
      <c r="T26" s="312">
        <f>COUNTIF(T14:T16,"")+COUNTIF(T14:T16,0)</f>
        <v>3</v>
      </c>
      <c r="U26" s="312">
        <f>COUNTIF(U14:U16,"")+COUNTIF(U14:U16,0)</f>
        <v>3</v>
      </c>
      <c r="V26" s="312">
        <f>COUNTIF(V14:V16,"")+COUNTIF(V14:V16,0)</f>
        <v>3</v>
      </c>
      <c r="W26" s="303"/>
      <c r="X26" s="303"/>
      <c r="Y26" s="303"/>
      <c r="Z26" s="303"/>
      <c r="AA26" s="303"/>
      <c r="AB26" s="303"/>
      <c r="AC26" s="303"/>
      <c r="AD26" s="303"/>
      <c r="AE26" s="303"/>
      <c r="AF26" s="303"/>
      <c r="AG26" s="303"/>
      <c r="AH26" s="303"/>
      <c r="AI26" s="303"/>
      <c r="AJ26" s="303"/>
      <c r="AK26" s="303"/>
      <c r="AL26" s="303"/>
      <c r="AM26" s="303"/>
      <c r="AN26" s="303"/>
      <c r="AO26" s="303"/>
      <c r="AP26" s="303"/>
      <c r="AQ26" s="303"/>
      <c r="AR26" s="303"/>
      <c r="AS26" s="303"/>
      <c r="AT26" s="303"/>
      <c r="AU26" s="303"/>
      <c r="AV26" s="303"/>
      <c r="AW26" s="303"/>
      <c r="AX26" s="303"/>
      <c r="AY26" s="303"/>
      <c r="AZ26" s="303"/>
      <c r="BA26" s="303"/>
      <c r="BB26" s="303"/>
      <c r="BC26" s="303"/>
      <c r="BD26" s="303"/>
      <c r="BE26" s="303"/>
      <c r="BF26" s="303"/>
      <c r="BG26" s="303"/>
      <c r="BH26" s="303"/>
      <c r="BI26" s="303"/>
      <c r="BJ26" s="303"/>
      <c r="BK26" s="303"/>
      <c r="BL26" s="303"/>
      <c r="BM26" s="303"/>
      <c r="BN26" s="303"/>
      <c r="IZ26" s="303">
        <v>2</v>
      </c>
      <c r="JA26" s="303"/>
      <c r="JB26" s="303"/>
      <c r="JC26" s="303">
        <f>COUNTIF(B24:Q26,2)</f>
        <v>0</v>
      </c>
      <c r="JD26" s="303"/>
      <c r="JE26" s="303"/>
      <c r="JF26" s="303"/>
      <c r="JG26" s="303"/>
      <c r="JH26" s="303"/>
      <c r="JI26" s="303"/>
      <c r="JJ26" s="303"/>
      <c r="JK26" s="303"/>
      <c r="JL26" s="303"/>
    </row>
    <row r="27" spans="1:272">
      <c r="A27" s="303"/>
      <c r="B27" s="303"/>
      <c r="C27" s="303">
        <v>1</v>
      </c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3"/>
      <c r="Q27" s="312" t="s">
        <v>106</v>
      </c>
      <c r="R27" s="312">
        <f>COUNTIF(R14:R16,0)+COUNTIF(R14:R16,"")</f>
        <v>3</v>
      </c>
      <c r="S27" s="312">
        <f>COUNTIF(S14:S16,0)+COUNTIF(S14:S16,"")</f>
        <v>3</v>
      </c>
      <c r="T27" s="312">
        <f>COUNTIF(T14:T16,0)+COUNTIF(T14:T16,"")</f>
        <v>3</v>
      </c>
      <c r="U27" s="312">
        <f>COUNTIF(U14:U16,0)+COUNTIF(U14:U16,"")</f>
        <v>3</v>
      </c>
      <c r="V27" s="312">
        <f>COUNTIF(V14:V16,0)+COUNTIF(V14:V16,"")</f>
        <v>3</v>
      </c>
      <c r="W27" s="303"/>
      <c r="X27" s="303"/>
      <c r="Y27" s="303"/>
      <c r="Z27" s="303"/>
      <c r="AA27" s="303"/>
      <c r="AB27" s="303"/>
      <c r="AC27" s="303"/>
      <c r="AD27" s="303"/>
      <c r="AE27" s="303"/>
      <c r="AF27" s="303"/>
      <c r="AG27" s="303"/>
      <c r="AH27" s="303"/>
      <c r="AI27" s="303"/>
      <c r="AJ27" s="303"/>
      <c r="AK27" s="303"/>
      <c r="AL27" s="303"/>
      <c r="AM27" s="303"/>
      <c r="AN27" s="303"/>
      <c r="AO27" s="303"/>
      <c r="AP27" s="303"/>
      <c r="AQ27" s="303"/>
      <c r="AR27" s="303"/>
      <c r="AS27" s="303"/>
      <c r="AT27" s="303"/>
      <c r="AU27" s="303"/>
      <c r="AV27" s="303"/>
      <c r="AW27" s="303"/>
      <c r="AX27" s="303"/>
      <c r="AY27" s="303"/>
      <c r="AZ27" s="303"/>
      <c r="BA27" s="303"/>
      <c r="BB27" s="303"/>
      <c r="BC27" s="303"/>
      <c r="BD27" s="303"/>
      <c r="BE27" s="303"/>
      <c r="BF27" s="303"/>
      <c r="BG27" s="303"/>
      <c r="BH27" s="303"/>
      <c r="BI27" s="303"/>
      <c r="BJ27" s="303"/>
      <c r="BK27" s="303"/>
      <c r="BL27" s="303"/>
      <c r="BM27" s="303"/>
      <c r="BN27" s="303"/>
      <c r="JA27" s="303"/>
      <c r="JB27" s="303"/>
      <c r="JC27" s="303"/>
      <c r="JD27" s="303">
        <v>1</v>
      </c>
      <c r="JE27" s="314" t="str">
        <f>IF(JE24&lt;36,"Cannot be done under Banking product as sum of business entries is less than 36","ok")</f>
        <v>Cannot be done under Banking product as sum of business entries is less than 36</v>
      </c>
      <c r="JF27" s="303"/>
      <c r="JG27" s="303"/>
      <c r="JH27" s="303"/>
      <c r="JI27" s="303"/>
      <c r="JJ27" s="303"/>
      <c r="JK27" s="303"/>
      <c r="JL27" s="303"/>
    </row>
    <row r="28" spans="1:272" ht="25.5">
      <c r="A28" s="303"/>
      <c r="B28" s="303"/>
      <c r="C28" s="303">
        <v>2</v>
      </c>
      <c r="D28" s="303"/>
      <c r="E28" s="303"/>
      <c r="F28" s="303"/>
      <c r="G28" s="303"/>
      <c r="H28" s="303"/>
      <c r="I28" s="303"/>
      <c r="J28" s="303"/>
      <c r="K28" s="303"/>
      <c r="L28" s="303"/>
      <c r="M28" s="303"/>
      <c r="N28" s="303"/>
      <c r="O28" s="303"/>
      <c r="P28" s="303"/>
      <c r="Q28" s="303" t="s">
        <v>960</v>
      </c>
      <c r="R28" s="303" t="str">
        <f>IF(AND(SUM(R5:R7)&gt;=9,SUM(R8:R10)&gt;=9,SUM(R11:R13)&gt;=9,SUM(R14:R16)&gt;=9),"&gt;9","&lt;9")</f>
        <v>&lt;9</v>
      </c>
      <c r="S28" s="303"/>
      <c r="T28" s="303"/>
      <c r="U28" s="303"/>
      <c r="V28" s="303"/>
      <c r="W28" s="303"/>
      <c r="X28" s="303"/>
      <c r="Y28" s="303"/>
      <c r="Z28" s="303"/>
      <c r="AA28" s="303"/>
      <c r="AB28" s="303"/>
      <c r="AC28" s="303"/>
      <c r="AD28" s="303"/>
      <c r="AE28" s="303"/>
      <c r="AF28" s="303"/>
      <c r="AG28" s="303"/>
      <c r="AH28" s="303"/>
      <c r="AI28" s="303"/>
      <c r="AJ28" s="303"/>
      <c r="AK28" s="303"/>
      <c r="AL28" s="303"/>
      <c r="AM28" s="303"/>
      <c r="AN28" s="303"/>
      <c r="AO28" s="303"/>
      <c r="AP28" s="303"/>
      <c r="AQ28" s="303"/>
      <c r="AR28" s="303"/>
      <c r="AS28" s="303"/>
      <c r="AT28" s="303"/>
      <c r="AU28" s="303"/>
      <c r="AV28" s="303"/>
      <c r="AW28" s="303"/>
      <c r="AX28" s="303"/>
      <c r="AY28" s="303"/>
      <c r="AZ28" s="303"/>
      <c r="BA28" s="303"/>
      <c r="BB28" s="303"/>
      <c r="BC28" s="303"/>
      <c r="BD28" s="303"/>
      <c r="BE28" s="303"/>
      <c r="BF28" s="303"/>
      <c r="BG28" s="303"/>
      <c r="BH28" s="303"/>
      <c r="BI28" s="303"/>
      <c r="BJ28" s="303"/>
      <c r="BK28" s="303"/>
      <c r="BL28" s="303"/>
      <c r="BM28" s="303"/>
      <c r="BN28" s="303"/>
      <c r="JA28" s="303"/>
      <c r="JB28" s="303"/>
      <c r="JC28" s="303"/>
      <c r="JD28" s="303">
        <v>2</v>
      </c>
      <c r="JE28" s="303" t="s">
        <v>961</v>
      </c>
      <c r="JF28" s="303"/>
      <c r="JG28" s="314" t="s">
        <v>962</v>
      </c>
      <c r="JH28" s="303"/>
      <c r="JI28" s="303"/>
      <c r="JJ28" s="303"/>
      <c r="JK28" s="303"/>
      <c r="JL28" s="303"/>
    </row>
    <row r="29" spans="1:272">
      <c r="A29" s="303"/>
      <c r="B29" s="303"/>
      <c r="C29" s="303">
        <v>3</v>
      </c>
      <c r="D29" s="303"/>
      <c r="E29" s="303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 t="s">
        <v>963</v>
      </c>
      <c r="R29" s="303"/>
      <c r="S29" s="303"/>
      <c r="T29" s="303"/>
      <c r="U29" s="303"/>
      <c r="V29" s="303"/>
      <c r="W29" s="303"/>
      <c r="X29" s="303"/>
      <c r="Y29" s="303"/>
      <c r="Z29" s="303"/>
      <c r="AA29" s="303"/>
      <c r="AB29" s="303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3"/>
      <c r="AW29" s="303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JA29" s="303"/>
      <c r="JB29" s="303"/>
      <c r="JC29" s="303"/>
      <c r="JD29" s="303">
        <v>3</v>
      </c>
      <c r="JE29" s="303" t="s">
        <v>964</v>
      </c>
      <c r="JF29" s="303"/>
      <c r="JG29" s="303"/>
      <c r="JH29" s="303"/>
      <c r="JI29" s="303"/>
      <c r="JJ29" s="303"/>
      <c r="JK29" s="303"/>
      <c r="JL29" s="303"/>
    </row>
    <row r="30" spans="1:272" ht="127.5">
      <c r="A30" s="303"/>
      <c r="B30" s="303"/>
      <c r="C30" s="303">
        <v>4</v>
      </c>
      <c r="D30" s="303"/>
      <c r="E30" s="303"/>
      <c r="F30" s="303"/>
      <c r="G30" s="303"/>
      <c r="H30" s="303"/>
      <c r="I30" s="303"/>
      <c r="J30" s="303"/>
      <c r="K30" s="303"/>
      <c r="L30" s="303"/>
      <c r="M30" s="303"/>
      <c r="N30" s="303"/>
      <c r="O30" s="303"/>
      <c r="P30" s="303"/>
      <c r="Q30" s="312" t="s">
        <v>948</v>
      </c>
      <c r="R30" s="315" t="str">
        <f>IF(R23=36,"Allowed","Not Allowed")</f>
        <v>Not Allowed</v>
      </c>
      <c r="S30" s="315" t="str">
        <f>IF(S4="","",IF(OR(S23=12,S23=36),"Allowed","Not Allowed"))</f>
        <v>Not Allowed</v>
      </c>
      <c r="T30" s="315" t="str">
        <f>IF(T4="","",IF(OR(T23=12,T23=36),"Allowed","Not Allowed"))</f>
        <v>Not Allowed</v>
      </c>
      <c r="U30" s="315" t="str">
        <f>IF(U4="","",IF(OR(U23=12,U23=36),"Allowed","Not Allowed"))</f>
        <v>Not Allowed</v>
      </c>
      <c r="V30" s="315" t="str">
        <f>IF(V4="","",IF(OR(V23=12,V23=36),"Allowed","Not Allowed"))</f>
        <v/>
      </c>
      <c r="W30" s="303"/>
      <c r="X30" s="303"/>
      <c r="Y30" s="303"/>
      <c r="Z30" s="303"/>
      <c r="AA30" s="303"/>
      <c r="AB30" s="303"/>
      <c r="AC30" s="303"/>
      <c r="AD30" s="303"/>
      <c r="AE30" s="303"/>
      <c r="AF30" s="303"/>
      <c r="AG30" s="303"/>
      <c r="AH30" s="303"/>
      <c r="AI30" s="303"/>
      <c r="AJ30" s="303"/>
      <c r="AK30" s="303"/>
      <c r="AL30" s="303"/>
      <c r="AM30" s="303"/>
      <c r="AN30" s="303"/>
      <c r="AO30" s="303"/>
      <c r="AP30" s="303"/>
      <c r="AQ30" s="303"/>
      <c r="AR30" s="303"/>
      <c r="AS30" s="303"/>
      <c r="AT30" s="303"/>
      <c r="AU30" s="303"/>
      <c r="AV30" s="303"/>
      <c r="AW30" s="303"/>
      <c r="AX30" s="303"/>
      <c r="AY30" s="303"/>
      <c r="AZ30" s="303"/>
      <c r="BA30" s="303"/>
      <c r="BB30" s="303"/>
      <c r="BC30" s="303"/>
      <c r="BD30" s="303"/>
      <c r="BE30" s="303"/>
      <c r="BF30" s="303"/>
      <c r="BG30" s="303"/>
      <c r="BH30" s="303"/>
      <c r="BI30" s="303"/>
      <c r="BJ30" s="303"/>
      <c r="BK30" s="303"/>
      <c r="BL30" s="303"/>
      <c r="BM30" s="303"/>
      <c r="BN30" s="303"/>
      <c r="JA30" s="303"/>
      <c r="JB30" s="303"/>
      <c r="JC30" s="303"/>
      <c r="JD30" s="303"/>
      <c r="JE30" s="303" t="str">
        <f>CONCATENATE("1. ",JE28,"2. ",JE29,IF(JE27="ok","","3. "),IF(JE27="ok","",JE27))</f>
        <v>1. Cannot be done2. ok3. Cannot be done under Banking product as sum of business entries is less than 36</v>
      </c>
      <c r="JF30" s="303"/>
      <c r="JG30" s="303"/>
      <c r="JH30" s="303"/>
      <c r="JI30" s="303"/>
      <c r="JJ30" s="303"/>
      <c r="JK30" s="303"/>
      <c r="JL30" s="303"/>
    </row>
    <row r="31" spans="1:272" ht="25.5">
      <c r="A31" s="303"/>
      <c r="B31" s="303"/>
      <c r="C31" s="303">
        <v>5</v>
      </c>
      <c r="D31" s="303"/>
      <c r="E31" s="303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12" t="s">
        <v>954</v>
      </c>
      <c r="R31" s="316" t="str">
        <f>IF(AND(SUM(R5:R7)&gt;=9,SUM(R8:R10)&gt;=9,SUM(R11:R13)&gt;=9,SUM(R14:R16)&gt;=9),"Allowed","Not Allowed")</f>
        <v>Not Allowed</v>
      </c>
      <c r="S31" s="316" t="str">
        <f>IF(S4="","",IF(AND(S4="Savings Account",S23=36,S24&lt;=3),IF(S24=0,"Allowed","L1"),IF(AND(S4="Current Account",S23=12,S24&lt;=3),IF(S24=0,"Allowed","L1"),"Not Allowed")))</f>
        <v>Not Allowed</v>
      </c>
      <c r="T31" s="316" t="str">
        <f>IF(T4="","",IF(AND(S4="Savings Account",T23=36,T24&lt;=3),IF(T24=0,"Allowed","L1"),IF(AND(T4="Current Account",T23=12,T24&lt;=3),IF(T24=0,"Allowed","L1"),"Not Allowed")))</f>
        <v>Not Allowed</v>
      </c>
      <c r="U31" s="316" t="str">
        <f>IF(U4="","",IF(AND(S4="Savings Account",U23=36,U24&lt;=3),IF(U24=0,"Allowed","L1"),IF(AND(U4="Current Account",U23=12,U24&lt;=3),IF(U24=0,"Allowed","L1"),"Not Allowed")))</f>
        <v>Not Allowed</v>
      </c>
      <c r="V31" s="316" t="str">
        <f>IF(V4="","",IF(AND(S4="Savings Account",V23=36,V24&lt;=3),IF(V24=0,"Allowed","L1"),IF(AND(V4="Current Account",V23=12,V24&lt;=3),IF(V24=0,"Allowed","L1"),"Not Allowed")))</f>
        <v/>
      </c>
      <c r="W31" s="303"/>
      <c r="X31" s="303"/>
      <c r="Y31" s="303"/>
      <c r="Z31" s="303"/>
      <c r="AA31" s="303"/>
      <c r="AB31" s="303"/>
      <c r="AC31" s="303"/>
      <c r="AD31" s="303"/>
      <c r="AE31" s="303"/>
      <c r="AF31" s="303"/>
      <c r="AG31" s="303"/>
      <c r="AH31" s="303"/>
      <c r="AI31" s="303"/>
      <c r="AJ31" s="303"/>
      <c r="AK31" s="303"/>
      <c r="AL31" s="303"/>
      <c r="AM31" s="303"/>
      <c r="AN31" s="303"/>
      <c r="AO31" s="303"/>
      <c r="AP31" s="303"/>
      <c r="AQ31" s="303"/>
      <c r="AR31" s="303"/>
      <c r="AS31" s="303"/>
      <c r="AT31" s="303"/>
      <c r="AU31" s="303"/>
      <c r="AV31" s="303"/>
      <c r="AW31" s="303"/>
      <c r="AX31" s="303"/>
      <c r="AY31" s="303"/>
      <c r="AZ31" s="303"/>
      <c r="BA31" s="303"/>
      <c r="BB31" s="303"/>
      <c r="BC31" s="303"/>
      <c r="BD31" s="303"/>
      <c r="BE31" s="303"/>
      <c r="BF31" s="303"/>
      <c r="BG31" s="303"/>
      <c r="BH31" s="303"/>
      <c r="BI31" s="303"/>
      <c r="BJ31" s="303"/>
      <c r="BK31" s="303"/>
      <c r="BL31" s="303"/>
      <c r="BM31" s="303"/>
      <c r="BN31" s="303"/>
      <c r="JA31" s="303"/>
      <c r="JB31" s="303"/>
      <c r="JC31" s="303"/>
      <c r="JD31" s="303"/>
      <c r="JE31" s="303"/>
      <c r="JF31" s="303"/>
      <c r="JG31" s="303"/>
      <c r="JH31" s="303"/>
      <c r="JI31" s="303"/>
      <c r="JJ31" s="303"/>
      <c r="JK31" s="303"/>
      <c r="JL31" s="303"/>
    </row>
    <row r="32" spans="1:272">
      <c r="A32" s="303"/>
      <c r="B32" s="303"/>
      <c r="C32" s="303"/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12" t="s">
        <v>104</v>
      </c>
      <c r="R32" s="316" t="str">
        <f>IF(R25=0,"Allowed",IF(R25&lt;=1,"Head Secured Credit","Not Allowed"))</f>
        <v>Not Allowed</v>
      </c>
      <c r="S32" s="316" t="str">
        <f>IF(S4="","",IF(OR(S31="Allowed",S31="L1"),S31,"Not Allowed"))</f>
        <v>Not Allowed</v>
      </c>
      <c r="T32" s="316" t="str">
        <f t="shared" ref="T32:V32" si="4">IF(T4="","",IF(OR(T31="Allowed",T31="L1"),T31,"Not Allowed"))</f>
        <v>Not Allowed</v>
      </c>
      <c r="U32" s="316" t="str">
        <f t="shared" si="4"/>
        <v>Not Allowed</v>
      </c>
      <c r="V32" s="316" t="str">
        <f t="shared" si="4"/>
        <v/>
      </c>
      <c r="W32" s="303"/>
      <c r="X32" s="303"/>
      <c r="Y32" s="303"/>
      <c r="Z32" s="303"/>
      <c r="AA32" s="303"/>
      <c r="AB32" s="303"/>
      <c r="AC32" s="303"/>
      <c r="AD32" s="303"/>
      <c r="AE32" s="303"/>
      <c r="AF32" s="303"/>
      <c r="AG32" s="303"/>
      <c r="AH32" s="303"/>
      <c r="AI32" s="303"/>
      <c r="AJ32" s="303"/>
      <c r="AK32" s="303"/>
      <c r="AL32" s="303"/>
      <c r="AM32" s="303"/>
      <c r="AN32" s="303"/>
      <c r="AO32" s="303"/>
      <c r="AP32" s="303"/>
      <c r="AQ32" s="303"/>
      <c r="AR32" s="303"/>
      <c r="AS32" s="303"/>
      <c r="AT32" s="303"/>
      <c r="AU32" s="303"/>
      <c r="AV32" s="303"/>
      <c r="AW32" s="303"/>
      <c r="AX32" s="303"/>
      <c r="AY32" s="303"/>
      <c r="AZ32" s="303"/>
      <c r="BA32" s="303"/>
      <c r="BB32" s="303"/>
      <c r="BC32" s="303"/>
      <c r="BD32" s="303"/>
      <c r="BE32" s="303"/>
      <c r="BF32" s="303"/>
      <c r="BG32" s="303"/>
      <c r="BH32" s="303"/>
      <c r="BI32" s="303"/>
      <c r="BJ32" s="303"/>
      <c r="BK32" s="303"/>
      <c r="BL32" s="303"/>
      <c r="BM32" s="303"/>
      <c r="BN32" s="303"/>
      <c r="JA32" s="303"/>
      <c r="JB32" s="303"/>
      <c r="JC32" s="303"/>
      <c r="JD32" s="303"/>
      <c r="JE32" s="303"/>
      <c r="JF32" s="303"/>
      <c r="JG32" s="303"/>
      <c r="JH32" s="303"/>
      <c r="JI32" s="303"/>
      <c r="JJ32" s="303"/>
      <c r="JK32" s="303"/>
      <c r="JL32" s="303"/>
    </row>
    <row r="33" spans="6:22" s="303" customFormat="1">
      <c r="Q33" s="312" t="s">
        <v>105</v>
      </c>
      <c r="R33" s="315" t="s">
        <v>965</v>
      </c>
      <c r="S33" s="315" t="str">
        <f>IF(OR(S4="Current Account",S4=AI10),IF(S26&gt;0,"Not Allowed","Allowed"),IF(OR(S4="Savings Account",S4=AI9),"Allowed",""))</f>
        <v>Allowed</v>
      </c>
      <c r="T33" s="315" t="str">
        <f>IF(T4="Current Account",IF(T26&gt;0,"Not Allowed","Allowed"),IF(T4="Savings Account","Allowed",""))</f>
        <v>Allowed</v>
      </c>
      <c r="U33" s="315" t="str">
        <f>IF(U4="Current Account",IF(U26&gt;0,"Not Allowed","Allowed"),IF(U4="Savings Account","Allowed",""))</f>
        <v>Allowed</v>
      </c>
      <c r="V33" s="315" t="str">
        <f>IF(V4="Current Account",IF(V26&gt;0,"Not Allowed","Allowed"),IF(V4="Savings Account","Allowed",""))</f>
        <v/>
      </c>
    </row>
    <row r="34" spans="6:22" s="303" customFormat="1">
      <c r="Q34" s="312" t="s">
        <v>106</v>
      </c>
      <c r="R34" s="315" t="str">
        <f>IF(R27&gt;0,"Not Allowed","Allowed")</f>
        <v>Not Allowed</v>
      </c>
      <c r="S34" s="315" t="str">
        <f>IF(OR(S4="Current Account",S4=AI10),IF(S27&gt;0,"Not Allowed","Allowed"),IF(OR(S4="Savings Account",S4=AI9),"Allowed",""))</f>
        <v>Allowed</v>
      </c>
      <c r="T34" s="315" t="str">
        <f>IF(T4="Current Account",IF(T27&gt;0,"Not Allowed","Allowed"),IF(T4="Savings Account","Allowed",""))</f>
        <v>Allowed</v>
      </c>
      <c r="U34" s="315" t="str">
        <f>IF(U4="Current Account",IF(U27&gt;0,"Not Allowed","Allowed"),IF(U4="Savings Account","Allowed",""))</f>
        <v>Allowed</v>
      </c>
      <c r="V34" s="315" t="str">
        <f>IF(V4="Current Account",IF(V27&gt;0,"Not Allowed","Allowed"),IF(V4="Savings Account","Allowed",""))</f>
        <v/>
      </c>
    </row>
    <row r="35" spans="6:22" s="303" customFormat="1" ht="25.5">
      <c r="Q35" s="303" t="s">
        <v>966</v>
      </c>
      <c r="R35" s="303" t="str">
        <f>IF($B$1&gt;=1,"Consider","Not to be considered")</f>
        <v>Not to be considered</v>
      </c>
      <c r="S35" s="303" t="str">
        <f>IF($B$1&gt;=2,"Consider","Not to be considered")</f>
        <v>Not to be considered</v>
      </c>
      <c r="T35" s="303" t="str">
        <f>IF($B$1&gt;=3,"Consider","Not to be considered")</f>
        <v>Not to be considered</v>
      </c>
      <c r="U35" s="303" t="str">
        <f>IF($B$1&gt;=4,"Consider","Not to be considered")</f>
        <v>Not to be considered</v>
      </c>
      <c r="V35" s="303" t="str">
        <f>IF($B$1&gt;=5,"Consider","Not to be considered")</f>
        <v>Not to be considered</v>
      </c>
    </row>
    <row r="36" spans="6:22" s="303" customFormat="1">
      <c r="Q36" s="303" t="s">
        <v>967</v>
      </c>
      <c r="R36" s="303" t="str">
        <f>IF(R35="consider",COUNTIF(R30:R34,"Not Allowed"),"not")</f>
        <v>not</v>
      </c>
      <c r="S36" s="303" t="str">
        <f>IF(S35="consider",COUNTIF(S30:S34,"Not Allowed"),"not Consider")</f>
        <v>not Consider</v>
      </c>
      <c r="T36" s="303" t="str">
        <f t="shared" ref="T36:V36" si="5">IF(T35="consider",COUNTIF(T30:T34,"Not Allowed"),"not Consider")</f>
        <v>not Consider</v>
      </c>
      <c r="U36" s="303" t="str">
        <f t="shared" si="5"/>
        <v>not Consider</v>
      </c>
      <c r="V36" s="303" t="str">
        <f t="shared" si="5"/>
        <v>not Consider</v>
      </c>
    </row>
    <row r="37" spans="6:22" s="303" customFormat="1">
      <c r="Q37" s="303" t="s">
        <v>968</v>
      </c>
      <c r="R37" s="303" t="str">
        <f>IF(R35="consider",COUNTIF(R30:R34,"allowed"),"not consider")</f>
        <v>not consider</v>
      </c>
      <c r="S37" s="303" t="str">
        <f>IF(S35="consider",COUNTIF(S30:S34,"allowed"),"not consider")</f>
        <v>not consider</v>
      </c>
      <c r="T37" s="303" t="str">
        <f t="shared" ref="T37:V37" si="6">IF(T35="consider",COUNTIF(T30:T34,"allowed"),"not consider")</f>
        <v>not consider</v>
      </c>
      <c r="U37" s="303" t="str">
        <f t="shared" si="6"/>
        <v>not consider</v>
      </c>
      <c r="V37" s="303" t="str">
        <f t="shared" si="6"/>
        <v>not consider</v>
      </c>
    </row>
    <row r="38" spans="6:22" s="303" customFormat="1">
      <c r="R38" s="303" t="str">
        <f>IF(R37=5,"RAAC","Not RAAC")</f>
        <v>Not RAAC</v>
      </c>
      <c r="S38" s="303" t="str">
        <f>IF(OR(S37=5,S37="not consider"),"RAAC","Not RAAC")</f>
        <v>RAAC</v>
      </c>
      <c r="T38" s="303" t="str">
        <f>IF(OR(T37=5,T37="not consider"),"RAAC","Not RAAC")</f>
        <v>RAAC</v>
      </c>
      <c r="U38" s="303" t="str">
        <f>IF(OR(U37=5,U37="not consider"),"RAAC","Not RAAC")</f>
        <v>RAAC</v>
      </c>
      <c r="V38" s="303" t="str">
        <f>IF(OR(V37=5,V37="not consider"),"RAAC","Not RAAC")</f>
        <v>RAAC</v>
      </c>
    </row>
    <row r="39" spans="6:22" s="303" customFormat="1">
      <c r="S39" s="302"/>
    </row>
    <row r="40" spans="6:22" s="303" customFormat="1">
      <c r="Q40" s="303" t="s">
        <v>969</v>
      </c>
      <c r="R40" s="303">
        <f>COUNTIF(R33:V34,"Not Allowed")</f>
        <v>1</v>
      </c>
      <c r="S40" s="303">
        <f>COUNTIF(S31:V32,"L1")+COUNTIF(R31,U1)</f>
        <v>0</v>
      </c>
    </row>
    <row r="41" spans="6:22" s="303" customFormat="1" ht="15">
      <c r="F41" s="302"/>
      <c r="G41" s="317"/>
      <c r="H41" s="317"/>
      <c r="I41" s="317"/>
      <c r="J41" s="317"/>
      <c r="K41" s="317"/>
      <c r="L41" s="317"/>
      <c r="M41" s="317"/>
      <c r="N41" s="317"/>
      <c r="O41" s="317"/>
      <c r="P41" s="317"/>
      <c r="Q41" s="318" t="s">
        <v>970</v>
      </c>
      <c r="R41" s="302" t="str">
        <f>IF(R40&gt;0,"Cannot be Done",IF(COUNTIF(R38:V38,"RAAC")=5,"RAAC","Not a RAAC"))</f>
        <v>Cannot be Done</v>
      </c>
    </row>
    <row r="42" spans="6:22" s="303" customFormat="1" ht="15">
      <c r="F42" s="302"/>
      <c r="Q42" s="318" t="s">
        <v>971</v>
      </c>
      <c r="R42" s="302" t="str">
        <f>IF(R40&gt;0,"Cannot be Done",IF(AND(R31="ZCH",R37=4,COUNTIF(S38:V38,"RAAC")=4),"ZCH","Not at ZCH Level"))</f>
        <v>Cannot be Done</v>
      </c>
    </row>
    <row r="43" spans="6:22" s="303" customFormat="1" ht="15">
      <c r="F43" s="302"/>
      <c r="Q43" s="318" t="s">
        <v>972</v>
      </c>
      <c r="R43" s="302" t="str">
        <f>IF(R40&gt;0,"Cannot be Done",IF(OR(AND(S40&gt;0,R37&gt;=4),AND(R31="L1",R37=4)),"L1","Not at L1 Level"))</f>
        <v>Cannot be Done</v>
      </c>
    </row>
    <row r="44" spans="6:22" s="303" customFormat="1" ht="15"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8" t="s">
        <v>973</v>
      </c>
      <c r="R44" s="302" t="str">
        <f>IF(R40&gt;0,"Cannot be Done",IF(AND(R32="Head Secured Credit",R37&gt;=3),"Head Secured Credit","Not at Head Secured Credit Level"))</f>
        <v>Cannot be Done</v>
      </c>
    </row>
    <row r="45" spans="6:22" s="303" customFormat="1" ht="15">
      <c r="F45" s="302"/>
      <c r="Q45" s="318" t="s">
        <v>974</v>
      </c>
      <c r="R45" s="302" t="str">
        <f>IF(R40&gt;0,"Cannot be Done",IF(AND(R32="Head-CPG",R37&gt;=3),"Head-CPG","Not at Head-CPG"))</f>
        <v>Cannot be Done</v>
      </c>
    </row>
    <row r="46" spans="6:22" s="303" customFormat="1"/>
    <row r="47" spans="6:22" s="303" customFormat="1"/>
    <row r="48" spans="6:22" s="303" customFormat="1">
      <c r="Q48" s="312"/>
      <c r="R48" s="312"/>
      <c r="S48" s="312"/>
      <c r="T48" s="312"/>
      <c r="U48" s="312"/>
      <c r="V48" s="312"/>
    </row>
    <row r="49" spans="1:272">
      <c r="A49" s="303"/>
      <c r="B49" s="303"/>
      <c r="C49" s="303"/>
      <c r="D49" s="303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12"/>
      <c r="R49" s="312"/>
      <c r="S49" s="312"/>
      <c r="T49" s="312"/>
      <c r="U49" s="312"/>
      <c r="V49" s="312"/>
      <c r="W49" s="303"/>
      <c r="X49" s="303"/>
      <c r="Y49" s="303"/>
      <c r="Z49" s="303"/>
      <c r="AA49" s="303"/>
      <c r="AB49" s="303"/>
      <c r="AC49" s="303"/>
      <c r="AD49" s="303"/>
      <c r="AE49" s="303"/>
      <c r="AF49" s="303"/>
      <c r="AG49" s="303"/>
      <c r="AH49" s="303"/>
      <c r="AI49" s="303"/>
      <c r="AJ49" s="303"/>
      <c r="AK49" s="303"/>
      <c r="AL49" s="303"/>
      <c r="AM49" s="303"/>
      <c r="AN49" s="303"/>
      <c r="AO49" s="303"/>
      <c r="AP49" s="303"/>
      <c r="AQ49" s="303"/>
      <c r="AR49" s="303"/>
      <c r="AS49" s="303"/>
      <c r="AT49" s="303"/>
      <c r="AU49" s="303"/>
      <c r="AV49" s="303"/>
      <c r="AW49" s="303"/>
      <c r="AX49" s="303"/>
      <c r="AY49" s="303"/>
      <c r="AZ49" s="303"/>
      <c r="BA49" s="303"/>
      <c r="BB49" s="303"/>
      <c r="BC49" s="303"/>
      <c r="BD49" s="303"/>
      <c r="BE49" s="303"/>
      <c r="BF49" s="303"/>
      <c r="BG49" s="303"/>
      <c r="BH49" s="303"/>
      <c r="BI49" s="303"/>
      <c r="BJ49" s="303"/>
      <c r="BK49" s="303"/>
      <c r="BL49" s="303"/>
      <c r="BM49" s="303"/>
      <c r="BN49" s="303"/>
      <c r="JA49" s="303"/>
      <c r="JB49" s="303"/>
      <c r="JC49" s="303"/>
      <c r="JD49" s="303"/>
      <c r="JE49" s="303"/>
      <c r="JF49" s="303"/>
      <c r="JG49" s="303"/>
      <c r="JH49" s="303"/>
      <c r="JI49" s="303"/>
      <c r="JJ49" s="303"/>
      <c r="JK49" s="303"/>
      <c r="JL49" s="303"/>
    </row>
    <row r="50" spans="1:272">
      <c r="A50" s="303"/>
      <c r="B50" s="303"/>
      <c r="C50" s="303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3"/>
      <c r="S50" s="303"/>
      <c r="T50" s="303"/>
      <c r="U50" s="303"/>
      <c r="V50" s="303"/>
      <c r="W50" s="303"/>
      <c r="X50" s="303"/>
      <c r="Y50" s="303"/>
      <c r="Z50" s="303"/>
      <c r="AA50" s="303"/>
      <c r="AB50" s="303"/>
      <c r="AC50" s="303"/>
      <c r="AD50" s="303"/>
      <c r="AE50" s="303"/>
      <c r="AF50" s="303"/>
      <c r="AG50" s="303"/>
      <c r="AH50" s="303"/>
      <c r="AI50" s="303"/>
      <c r="AJ50" s="303"/>
      <c r="AK50" s="303"/>
      <c r="AL50" s="303"/>
      <c r="AM50" s="303"/>
      <c r="AN50" s="303"/>
      <c r="AO50" s="303"/>
      <c r="AP50" s="303"/>
      <c r="AQ50" s="303"/>
      <c r="AR50" s="303"/>
      <c r="AS50" s="303"/>
      <c r="AT50" s="303"/>
      <c r="AU50" s="303"/>
      <c r="AV50" s="303"/>
      <c r="AW50" s="303"/>
      <c r="AX50" s="303"/>
      <c r="AY50" s="303"/>
      <c r="AZ50" s="303"/>
      <c r="BA50" s="303"/>
      <c r="BB50" s="303"/>
      <c r="BC50" s="303"/>
      <c r="BD50" s="303"/>
      <c r="BE50" s="303"/>
      <c r="BF50" s="303"/>
      <c r="BG50" s="303"/>
      <c r="BH50" s="303"/>
      <c r="BI50" s="303"/>
      <c r="BJ50" s="303"/>
      <c r="BK50" s="303"/>
      <c r="BL50" s="303"/>
      <c r="BM50" s="303"/>
      <c r="BN50" s="303"/>
      <c r="JA50" s="303"/>
      <c r="JB50" s="303"/>
      <c r="JC50" s="303"/>
      <c r="JD50" s="303"/>
      <c r="JE50" s="303"/>
      <c r="JF50" s="303"/>
      <c r="JG50" s="303"/>
      <c r="JH50" s="303"/>
      <c r="JI50" s="303"/>
      <c r="JJ50" s="303"/>
      <c r="JK50" s="303"/>
      <c r="JL50" s="303"/>
    </row>
    <row r="51" spans="1:272">
      <c r="A51" s="303"/>
      <c r="B51" s="303"/>
      <c r="C51" s="303"/>
      <c r="D51" s="303"/>
      <c r="E51" s="303"/>
      <c r="F51" s="303"/>
      <c r="G51" s="303"/>
      <c r="H51" s="303"/>
      <c r="I51" s="303"/>
      <c r="J51" s="303"/>
      <c r="K51" s="303"/>
      <c r="L51" s="303"/>
      <c r="M51" s="303"/>
      <c r="N51" s="303"/>
      <c r="O51" s="303"/>
      <c r="P51" s="303"/>
      <c r="Q51" s="320" t="s">
        <v>975</v>
      </c>
      <c r="R51" s="320"/>
      <c r="S51" s="320"/>
      <c r="T51" s="320"/>
      <c r="U51" s="320"/>
      <c r="V51" s="320"/>
      <c r="W51" s="303"/>
      <c r="X51" s="303"/>
      <c r="Y51" s="303"/>
      <c r="Z51" s="303"/>
      <c r="AA51" s="303"/>
      <c r="AB51" s="303"/>
      <c r="AC51" s="303"/>
      <c r="AD51" s="303"/>
      <c r="AE51" s="303"/>
      <c r="AF51" s="303"/>
      <c r="AG51" s="303"/>
      <c r="AH51" s="303"/>
      <c r="AI51" s="303"/>
      <c r="AJ51" s="303"/>
      <c r="AK51" s="303"/>
      <c r="AL51" s="303"/>
      <c r="AM51" s="303"/>
      <c r="AN51" s="303"/>
      <c r="AO51" s="303"/>
      <c r="AP51" s="303"/>
      <c r="AQ51" s="303"/>
      <c r="AR51" s="303"/>
      <c r="AS51" s="303"/>
      <c r="AT51" s="303"/>
      <c r="AU51" s="303"/>
      <c r="AV51" s="303"/>
      <c r="AW51" s="303"/>
      <c r="AX51" s="303"/>
      <c r="AY51" s="303"/>
      <c r="AZ51" s="303"/>
      <c r="BA51" s="303"/>
      <c r="BB51" s="303"/>
      <c r="BC51" s="303"/>
      <c r="BD51" s="303"/>
      <c r="BE51" s="303"/>
      <c r="BF51" s="303"/>
      <c r="BG51" s="303"/>
      <c r="BH51" s="303"/>
      <c r="BI51" s="303"/>
      <c r="BJ51" s="303"/>
      <c r="BK51" s="303"/>
      <c r="BL51" s="303"/>
      <c r="BM51" s="303"/>
      <c r="BN51" s="303"/>
      <c r="JA51" s="303"/>
      <c r="JB51" s="303"/>
      <c r="JC51" s="303"/>
      <c r="JD51" s="303"/>
      <c r="JE51" s="303"/>
      <c r="JF51" s="303"/>
      <c r="JG51" s="303"/>
      <c r="JH51" s="303"/>
      <c r="JI51" s="303"/>
      <c r="JJ51" s="303"/>
      <c r="JK51" s="303"/>
      <c r="JL51" s="303"/>
    </row>
    <row r="52" spans="1:272">
      <c r="A52" s="303"/>
      <c r="B52" s="303"/>
      <c r="C52" s="303"/>
      <c r="D52" s="303"/>
      <c r="E52" s="303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3"/>
      <c r="Q52" s="312" t="s">
        <v>948</v>
      </c>
      <c r="R52" s="315" t="str">
        <f>IF(R23=36,"Allowed"," L1")</f>
        <v xml:space="preserve"> L1</v>
      </c>
      <c r="S52" s="315" t="str">
        <f>IF(S23&gt;=12,"Allowed",IF(S4="Current Account","L2P","L2"))</f>
        <v>L2</v>
      </c>
      <c r="T52" s="315" t="str">
        <f>IF(T23&gt;=12,"Allowed",IF(T4="Current Account","L2P","L2"))</f>
        <v>L2</v>
      </c>
      <c r="U52" s="315" t="str">
        <f>IF(U23&gt;=12,"Allowed",IF(U4="Current Account","L2P","L2"))</f>
        <v>L2</v>
      </c>
      <c r="V52" s="315" t="str">
        <f>IF(V23&gt;=12,"Allowed",IF(V4="Current Account","L2P","L2"))</f>
        <v>L2</v>
      </c>
      <c r="W52" s="303"/>
      <c r="X52" s="303"/>
      <c r="Y52" s="303"/>
      <c r="Z52" s="303"/>
      <c r="AA52" s="303"/>
      <c r="AB52" s="303"/>
      <c r="AC52" s="303"/>
      <c r="AD52" s="303"/>
      <c r="AE52" s="303"/>
      <c r="AF52" s="303"/>
      <c r="AG52" s="303"/>
      <c r="AH52" s="303"/>
      <c r="AI52" s="303"/>
      <c r="AJ52" s="303"/>
      <c r="AK52" s="303"/>
      <c r="AL52" s="303"/>
      <c r="AM52" s="303"/>
      <c r="AN52" s="303"/>
      <c r="AO52" s="303"/>
      <c r="AP52" s="303"/>
      <c r="AQ52" s="303"/>
      <c r="AR52" s="303"/>
      <c r="AS52" s="303"/>
      <c r="AT52" s="303"/>
      <c r="AU52" s="303"/>
      <c r="AV52" s="303"/>
      <c r="AW52" s="303"/>
      <c r="AX52" s="303"/>
      <c r="AY52" s="303"/>
      <c r="AZ52" s="303"/>
      <c r="BA52" s="303"/>
      <c r="BB52" s="303"/>
      <c r="BC52" s="303"/>
      <c r="BD52" s="303"/>
      <c r="BE52" s="303"/>
      <c r="BF52" s="303"/>
      <c r="BG52" s="303"/>
      <c r="BH52" s="303"/>
      <c r="BI52" s="303"/>
      <c r="BJ52" s="303"/>
      <c r="BK52" s="303"/>
      <c r="BL52" s="303"/>
      <c r="BM52" s="303"/>
      <c r="BN52" s="303"/>
      <c r="JA52" s="303"/>
      <c r="JB52" s="303"/>
      <c r="JC52" s="303"/>
      <c r="JD52" s="303"/>
      <c r="JE52" s="303"/>
      <c r="JF52" s="303"/>
      <c r="JG52" s="303"/>
      <c r="JH52" s="303"/>
      <c r="JI52" s="303"/>
      <c r="JJ52" s="303"/>
      <c r="JK52" s="303"/>
      <c r="JL52" s="303"/>
    </row>
    <row r="53" spans="1:272" ht="25.5">
      <c r="A53" s="303"/>
      <c r="B53" s="303"/>
      <c r="C53" s="303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12" t="s">
        <v>954</v>
      </c>
      <c r="R53" s="315">
        <f>IF(R31="Allowed","Allowed""L1",)</f>
        <v>0</v>
      </c>
      <c r="S53" s="315" t="str">
        <f>IF(S24=0,"Allowed",IF(S4="Current Account","L2P","L2"))</f>
        <v>L2</v>
      </c>
      <c r="T53" s="315" t="str">
        <f>IF(T24=0,"Allowed",IF(T4="Current Account","L2P","L2"))</f>
        <v>L2</v>
      </c>
      <c r="U53" s="315" t="str">
        <f>IF(U24=0,"Allowed",IF(U4="Current Account","L2P","L2"))</f>
        <v>L2</v>
      </c>
      <c r="V53" s="315" t="str">
        <f>IF(V24=0,"Allowed",IF(V4="Current Account","L2P","L2"))</f>
        <v>L2</v>
      </c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3"/>
      <c r="AS53" s="303"/>
      <c r="AT53" s="303"/>
      <c r="AU53" s="303"/>
      <c r="AV53" s="303"/>
      <c r="AW53" s="303"/>
      <c r="AX53" s="303"/>
      <c r="AY53" s="303"/>
      <c r="AZ53" s="303"/>
      <c r="BA53" s="303"/>
      <c r="BB53" s="303"/>
      <c r="BC53" s="303"/>
      <c r="BD53" s="303"/>
      <c r="BE53" s="303"/>
      <c r="BF53" s="303"/>
      <c r="BG53" s="303"/>
      <c r="BH53" s="303"/>
      <c r="BI53" s="303"/>
      <c r="BJ53" s="303"/>
      <c r="BK53" s="303"/>
      <c r="BL53" s="303"/>
      <c r="BM53" s="303"/>
      <c r="BN53" s="303"/>
      <c r="JA53" s="303"/>
      <c r="JB53" s="303"/>
      <c r="JC53" s="303"/>
      <c r="JD53" s="303"/>
      <c r="JE53" s="303"/>
      <c r="JF53" s="303"/>
      <c r="JG53" s="303"/>
      <c r="JH53" s="303"/>
      <c r="JI53" s="303"/>
      <c r="JJ53" s="303"/>
      <c r="JK53" s="303"/>
      <c r="JL53" s="303"/>
    </row>
    <row r="54" spans="1:272">
      <c r="A54" s="303"/>
      <c r="B54" s="303"/>
      <c r="C54" s="303"/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  <c r="P54" s="303"/>
      <c r="Q54" s="312"/>
      <c r="R54" s="315"/>
      <c r="S54" s="315"/>
      <c r="T54" s="315"/>
      <c r="U54" s="315"/>
      <c r="V54" s="315"/>
      <c r="W54" s="303"/>
      <c r="X54" s="303"/>
      <c r="Y54" s="303"/>
      <c r="Z54" s="303"/>
      <c r="AA54" s="303"/>
      <c r="AB54" s="303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3"/>
      <c r="AW54" s="303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JA54" s="303"/>
      <c r="JB54" s="303"/>
      <c r="JC54" s="303"/>
      <c r="JD54" s="303"/>
      <c r="JE54" s="303"/>
      <c r="JF54" s="303"/>
      <c r="JG54" s="303"/>
      <c r="JH54" s="303"/>
      <c r="JI54" s="303"/>
      <c r="JJ54" s="303"/>
      <c r="JK54" s="303"/>
      <c r="JL54" s="303"/>
    </row>
    <row r="55" spans="1:272">
      <c r="Q55" s="302" t="s">
        <v>976</v>
      </c>
      <c r="R55" s="302" t="str">
        <f>IF(COUNTIF(R52:R54,"L1")&gt;=1,"L1","RAAC")</f>
        <v>RAAC</v>
      </c>
      <c r="S55" s="302" t="str">
        <f>IF(S35="Consider",IF(COUNTIF(S52:S53,"L2P")&gt;=1,"L2P",IF(COUNTIF(S52:S53,"L2")&gt;=1,"L2","RAAC")),"RAAC")</f>
        <v>RAAC</v>
      </c>
      <c r="T55" s="302" t="str">
        <f>IF(T35="Consider",IF(COUNTIF(T52:T53,"L2P")&gt;=1,"L2P",IF(COUNTIF(T52:T53,"L2")&gt;=1,"L2","RAAC")),"RAAC")</f>
        <v>RAAC</v>
      </c>
      <c r="U55" s="302" t="str">
        <f>IF(U35="Consider",IF(COUNTIF(U52:U53,"L2P")&gt;=1,"L2P",IF(COUNTIF(U52:U53,"L2")&gt;=1,"L2","RAAC")),"RAAC")</f>
        <v>RAAC</v>
      </c>
      <c r="V55" s="302" t="str">
        <f>IF(V35="Consider",IF(COUNTIF(V52:V53,"L2P")&gt;=1,"L2P",IF(COUNTIF(V52:V53,"L2")&gt;=1,"L2","RAAC")),"RAAC")</f>
        <v>RAAC</v>
      </c>
    </row>
    <row r="57" spans="1:272">
      <c r="Q57" s="839" t="s">
        <v>975</v>
      </c>
      <c r="R57" s="839"/>
    </row>
    <row r="58" spans="1:272" ht="15">
      <c r="Q58" s="318" t="s">
        <v>970</v>
      </c>
      <c r="R58" s="317" t="str">
        <f>IF(COUNTIF(R55:V55,"RAAC")=5,"RAAC","Not at RAAC")</f>
        <v>RAAC</v>
      </c>
    </row>
    <row r="59" spans="1:272" ht="15">
      <c r="Q59" s="318" t="s">
        <v>977</v>
      </c>
      <c r="R59" s="303" t="str">
        <f>IF(OR(COUNTIF(R55:V55,"L1")&gt;=1,COUNTIF(R55:V55,"L2P")&gt;=1),"Not at L2",IF(COUNTIF(R55:V55,"L2")&gt;=1,"L2","Not at L2"))</f>
        <v>Not at L2</v>
      </c>
    </row>
    <row r="60" spans="1:272" ht="15">
      <c r="Q60" s="318" t="s">
        <v>971</v>
      </c>
      <c r="R60" s="303" t="str">
        <f>IF(OR(COUNTIF(R55:V55,"L1")&gt;=1,COUNTIF(R55:V55,"L2")&gt;=1),"Not at L2P",IF(COUNTIF(R55:V55,"L2P")&gt;=1,"L2P","Not at L2P"))</f>
        <v>Not at L2P</v>
      </c>
    </row>
    <row r="61" spans="1:272" ht="15">
      <c r="Q61" s="318" t="s">
        <v>972</v>
      </c>
      <c r="R61" s="302" t="str">
        <f>IF(COUNTIF(R55:V55,"L1")&gt;=1,"L1","Not at L1")</f>
        <v>Not at L1</v>
      </c>
    </row>
  </sheetData>
  <sheetProtection algorithmName="SHA-512" hashValue="ZMqiPg6QfeKEN1Mv8K/u/egnkNPE1ERxO1VlkrJRSS0PuAGOOe4fbZeKPv/I6r9aLM5PYh8QAUY61qdNSP0YIg==" saltValue="pfIZIONnirFbPKk2qZorww==" spinCount="100000" sheet="1" objects="1" scenarios="1" formatCells="0" formatColumns="0" formatRows="0"/>
  <mergeCells count="4">
    <mergeCell ref="A3:F3"/>
    <mergeCell ref="I3:N3"/>
    <mergeCell ref="Q3:V3"/>
    <mergeCell ref="Q57:R57"/>
  </mergeCells>
  <phoneticPr fontId="73" type="noConversion"/>
  <conditionalFormatting sqref="S5">
    <cfRule type="expression" dxfId="17" priority="8">
      <formula>$S$2&lt;W5</formula>
    </cfRule>
  </conditionalFormatting>
  <conditionalFormatting sqref="S6:S16">
    <cfRule type="expression" dxfId="16" priority="7">
      <formula>$S$2&lt;W6</formula>
    </cfRule>
  </conditionalFormatting>
  <conditionalFormatting sqref="T16">
    <cfRule type="expression" dxfId="15" priority="6">
      <formula>$T$2&lt;W16</formula>
    </cfRule>
  </conditionalFormatting>
  <conditionalFormatting sqref="T5:T15">
    <cfRule type="expression" dxfId="14" priority="5">
      <formula>$T$2&lt;W5</formula>
    </cfRule>
  </conditionalFormatting>
  <conditionalFormatting sqref="U16">
    <cfRule type="expression" dxfId="13" priority="4">
      <formula>$U$2&lt;W16</formula>
    </cfRule>
  </conditionalFormatting>
  <conditionalFormatting sqref="V16">
    <cfRule type="expression" dxfId="12" priority="3">
      <formula>$V$2&lt;W16</formula>
    </cfRule>
  </conditionalFormatting>
  <conditionalFormatting sqref="U5:U15">
    <cfRule type="expression" dxfId="11" priority="2">
      <formula>$U$2&lt;W5</formula>
    </cfRule>
  </conditionalFormatting>
  <conditionalFormatting sqref="V5:V15">
    <cfRule type="expression" dxfId="10" priority="1">
      <formula>$V$2&lt;W5</formula>
    </cfRule>
  </conditionalFormatting>
  <dataValidations count="7">
    <dataValidation type="list" allowBlank="1" showInputMessage="1" showErrorMessage="1" sqref="S2:V2" xr:uid="{8FC0432B-1777-45D8-A5F9-CD6E271E7AE0}">
      <formula1>$AJ$5:$AJ$11</formula1>
    </dataValidation>
    <dataValidation type="list" allowBlank="1" showInputMessage="1" showErrorMessage="1" sqref="U4:V4" xr:uid="{F10033EA-A86B-4DE6-BBFA-ED976D4C921B}">
      <formula1>IF($B$1&gt;3,$AI$7:$AI$8,$X$6)</formula1>
    </dataValidation>
    <dataValidation type="list" allowBlank="1" showInputMessage="1" showErrorMessage="1" sqref="T4" xr:uid="{3B13B564-6A02-4789-A26C-959FA9CD942E}">
      <formula1>IF($B$1&gt;2,$AI$7:$AI$8,$X$6)</formula1>
    </dataValidation>
    <dataValidation type="list" allowBlank="1" showInputMessage="1" showErrorMessage="1" sqref="S4" xr:uid="{8B09AA1E-BC2E-4E73-AFEC-8A172FAAC604}">
      <formula1>IF($B$1&gt;1,$AI$7:$AI$8,$X$6)</formula1>
    </dataValidation>
    <dataValidation type="list" allowBlank="1" showInputMessage="1" showErrorMessage="1" sqref="B1" xr:uid="{A460EA87-9E68-494A-9A50-46E850FCACFA}">
      <formula1>$C$27:$C$31</formula1>
    </dataValidation>
    <dataValidation type="whole" allowBlank="1" showInputMessage="1" showErrorMessage="1" errorTitle="Error" error="Value has to be Whole number only." sqref="B24:B26 D24:D26 F24:F26 B29 F29 D29" xr:uid="{4FAE50CF-F45B-4C5D-BBCF-36FCA351542F}">
      <formula1>0</formula1>
      <formula2>5000</formula2>
    </dataValidation>
    <dataValidation allowBlank="1" showInputMessage="1" showErrorMessage="1" errorTitle="Error" error="Value has to be Whole number only." sqref="Q66:Q65536 Q55:Q57 Q46 A30:E65536 F46:P65536 F30:P40" xr:uid="{9F18A231-E18C-4754-AFFC-C421B0A15CA1}"/>
  </dataValidation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156E-F7BD-4F0A-83F1-0D719E35ED7F}">
  <sheetPr codeName="Sheet22">
    <tabColor theme="3" tint="-0.499984740745262"/>
  </sheetPr>
  <dimension ref="A1:AH23"/>
  <sheetViews>
    <sheetView workbookViewId="0">
      <selection activeCell="A12" sqref="A12"/>
    </sheetView>
  </sheetViews>
  <sheetFormatPr defaultRowHeight="12.75"/>
  <cols>
    <col min="1" max="1" width="3" style="321" customWidth="1"/>
    <col min="2" max="2" width="3.5703125" style="322" customWidth="1"/>
    <col min="3" max="3" width="10.140625" style="322" bestFit="1" customWidth="1"/>
    <col min="4" max="4" width="30.7109375" style="322" customWidth="1"/>
    <col min="5" max="5" width="12.7109375" style="322" customWidth="1"/>
    <col min="6" max="6" width="15.5703125" style="322" customWidth="1"/>
    <col min="7" max="7" width="23.5703125" style="322" customWidth="1"/>
    <col min="8" max="8" width="6.28515625" style="322" bestFit="1" customWidth="1"/>
    <col min="9" max="9" width="12.140625" style="322" customWidth="1"/>
    <col min="10" max="10" width="6.28515625" style="322" bestFit="1" customWidth="1"/>
    <col min="11" max="11" width="12.140625" style="322" customWidth="1"/>
    <col min="12" max="12" width="6.28515625" style="322" bestFit="1" customWidth="1"/>
    <col min="13" max="13" width="12.140625" style="322" customWidth="1"/>
    <col min="14" max="14" width="6.28515625" style="322" bestFit="1" customWidth="1"/>
    <col min="15" max="15" width="12.140625" style="322" customWidth="1"/>
    <col min="16" max="16" width="6.28515625" style="322" bestFit="1" customWidth="1"/>
    <col min="17" max="17" width="12.140625" style="322" customWidth="1"/>
    <col min="18" max="18" width="6.28515625" style="322" bestFit="1" customWidth="1"/>
    <col min="19" max="19" width="12.140625" style="322" customWidth="1"/>
    <col min="20" max="20" width="6.28515625" style="322" bestFit="1" customWidth="1"/>
    <col min="21" max="21" width="12.140625" style="322" customWidth="1"/>
    <col min="22" max="22" width="6.28515625" style="322" customWidth="1"/>
    <col min="23" max="23" width="12.140625" style="322" customWidth="1"/>
    <col min="24" max="24" width="6.28515625" style="322" customWidth="1"/>
    <col min="25" max="25" width="12.140625" style="322" customWidth="1"/>
    <col min="26" max="26" width="6.28515625" style="322" customWidth="1"/>
    <col min="27" max="27" width="12.140625" style="322" customWidth="1"/>
    <col min="28" max="28" width="6.28515625" style="322" customWidth="1"/>
    <col min="29" max="29" width="12.140625" style="322" customWidth="1"/>
    <col min="30" max="30" width="6.28515625" style="322" customWidth="1"/>
    <col min="31" max="31" width="12.140625" style="322" customWidth="1"/>
    <col min="32" max="32" width="6.28515625" style="322" customWidth="1"/>
    <col min="33" max="33" width="12.140625" style="322" customWidth="1"/>
    <col min="34" max="34" width="37.7109375" style="322" customWidth="1"/>
    <col min="35" max="237" width="9.140625" style="322"/>
    <col min="238" max="238" width="1.7109375" style="322" customWidth="1"/>
    <col min="239" max="239" width="3.5703125" style="322" customWidth="1"/>
    <col min="240" max="240" width="11" style="322" customWidth="1"/>
    <col min="241" max="241" width="20.7109375" style="322" customWidth="1"/>
    <col min="242" max="243" width="11.7109375" style="322" customWidth="1"/>
    <col min="244" max="244" width="9.7109375" style="322" customWidth="1"/>
    <col min="245" max="245" width="10.140625" style="322" bestFit="1" customWidth="1"/>
    <col min="246" max="247" width="7.7109375" style="322" customWidth="1"/>
    <col min="248" max="248" width="4" style="322" customWidth="1"/>
    <col min="249" max="249" width="9.7109375" style="322" customWidth="1"/>
    <col min="250" max="250" width="15.140625" style="322" customWidth="1"/>
    <col min="251" max="251" width="5.140625" style="322" customWidth="1"/>
    <col min="252" max="252" width="9.7109375" style="322" customWidth="1"/>
    <col min="253" max="253" width="13.7109375" style="322" customWidth="1"/>
    <col min="254" max="254" width="5.140625" style="322" customWidth="1"/>
    <col min="255" max="255" width="9.7109375" style="322" customWidth="1"/>
    <col min="256" max="256" width="12.5703125" style="322" customWidth="1"/>
    <col min="257" max="257" width="5.140625" style="322" customWidth="1"/>
    <col min="258" max="258" width="9.7109375" style="322" customWidth="1"/>
    <col min="259" max="259" width="12.7109375" style="322" customWidth="1"/>
    <col min="260" max="260" width="5.140625" style="322" customWidth="1"/>
    <col min="261" max="261" width="9.7109375" style="322" customWidth="1"/>
    <col min="262" max="262" width="12.7109375" style="322" customWidth="1"/>
    <col min="263" max="263" width="5.140625" style="322" customWidth="1"/>
    <col min="264" max="264" width="9.7109375" style="322" customWidth="1"/>
    <col min="265" max="265" width="12.7109375" style="322" customWidth="1"/>
    <col min="266" max="266" width="5.140625" style="322" customWidth="1"/>
    <col min="267" max="267" width="9.7109375" style="322" customWidth="1"/>
    <col min="268" max="268" width="12.7109375" style="322" customWidth="1"/>
    <col min="269" max="269" width="5.140625" style="322" customWidth="1"/>
    <col min="270" max="270" width="9.7109375" style="322" customWidth="1"/>
    <col min="271" max="271" width="12.7109375" style="322" customWidth="1"/>
    <col min="272" max="272" width="5.140625" style="322" customWidth="1"/>
    <col min="273" max="273" width="9.7109375" style="322" customWidth="1"/>
    <col min="274" max="274" width="12.7109375" style="322" customWidth="1"/>
    <col min="275" max="275" width="5.140625" style="322" customWidth="1"/>
    <col min="276" max="276" width="9.7109375" style="322" customWidth="1"/>
    <col min="277" max="277" width="12.7109375" style="322" customWidth="1"/>
    <col min="278" max="278" width="5.140625" style="322" customWidth="1"/>
    <col min="279" max="279" width="9.7109375" style="322" customWidth="1"/>
    <col min="280" max="280" width="12.7109375" style="322" customWidth="1"/>
    <col min="281" max="281" width="5.140625" style="322" customWidth="1"/>
    <col min="282" max="282" width="9.7109375" style="322" customWidth="1"/>
    <col min="283" max="283" width="12.7109375" style="322" customWidth="1"/>
    <col min="284" max="284" width="5.140625" style="322" customWidth="1"/>
    <col min="285" max="285" width="9.7109375" style="322" customWidth="1"/>
    <col min="286" max="286" width="12.7109375" style="322" customWidth="1"/>
    <col min="287" max="287" width="5.140625" style="322" customWidth="1"/>
    <col min="288" max="288" width="9.7109375" style="322" customWidth="1"/>
    <col min="289" max="289" width="12.7109375" style="322" customWidth="1"/>
    <col min="290" max="290" width="37.7109375" style="322" customWidth="1"/>
    <col min="291" max="493" width="9.140625" style="322"/>
    <col min="494" max="494" width="1.7109375" style="322" customWidth="1"/>
    <col min="495" max="495" width="3.5703125" style="322" customWidth="1"/>
    <col min="496" max="496" width="11" style="322" customWidth="1"/>
    <col min="497" max="497" width="20.7109375" style="322" customWidth="1"/>
    <col min="498" max="499" width="11.7109375" style="322" customWidth="1"/>
    <col min="500" max="500" width="9.7109375" style="322" customWidth="1"/>
    <col min="501" max="501" width="10.140625" style="322" bestFit="1" customWidth="1"/>
    <col min="502" max="503" width="7.7109375" style="322" customWidth="1"/>
    <col min="504" max="504" width="4" style="322" customWidth="1"/>
    <col min="505" max="505" width="9.7109375" style="322" customWidth="1"/>
    <col min="506" max="506" width="15.140625" style="322" customWidth="1"/>
    <col min="507" max="507" width="5.140625" style="322" customWidth="1"/>
    <col min="508" max="508" width="9.7109375" style="322" customWidth="1"/>
    <col min="509" max="509" width="13.7109375" style="322" customWidth="1"/>
    <col min="510" max="510" width="5.140625" style="322" customWidth="1"/>
    <col min="511" max="511" width="9.7109375" style="322" customWidth="1"/>
    <col min="512" max="512" width="12.5703125" style="322" customWidth="1"/>
    <col min="513" max="513" width="5.140625" style="322" customWidth="1"/>
    <col min="514" max="514" width="9.7109375" style="322" customWidth="1"/>
    <col min="515" max="515" width="12.7109375" style="322" customWidth="1"/>
    <col min="516" max="516" width="5.140625" style="322" customWidth="1"/>
    <col min="517" max="517" width="9.7109375" style="322" customWidth="1"/>
    <col min="518" max="518" width="12.7109375" style="322" customWidth="1"/>
    <col min="519" max="519" width="5.140625" style="322" customWidth="1"/>
    <col min="520" max="520" width="9.7109375" style="322" customWidth="1"/>
    <col min="521" max="521" width="12.7109375" style="322" customWidth="1"/>
    <col min="522" max="522" width="5.140625" style="322" customWidth="1"/>
    <col min="523" max="523" width="9.7109375" style="322" customWidth="1"/>
    <col min="524" max="524" width="12.7109375" style="322" customWidth="1"/>
    <col min="525" max="525" width="5.140625" style="322" customWidth="1"/>
    <col min="526" max="526" width="9.7109375" style="322" customWidth="1"/>
    <col min="527" max="527" width="12.7109375" style="322" customWidth="1"/>
    <col min="528" max="528" width="5.140625" style="322" customWidth="1"/>
    <col min="529" max="529" width="9.7109375" style="322" customWidth="1"/>
    <col min="530" max="530" width="12.7109375" style="322" customWidth="1"/>
    <col min="531" max="531" width="5.140625" style="322" customWidth="1"/>
    <col min="532" max="532" width="9.7109375" style="322" customWidth="1"/>
    <col min="533" max="533" width="12.7109375" style="322" customWidth="1"/>
    <col min="534" max="534" width="5.140625" style="322" customWidth="1"/>
    <col min="535" max="535" width="9.7109375" style="322" customWidth="1"/>
    <col min="536" max="536" width="12.7109375" style="322" customWidth="1"/>
    <col min="537" max="537" width="5.140625" style="322" customWidth="1"/>
    <col min="538" max="538" width="9.7109375" style="322" customWidth="1"/>
    <col min="539" max="539" width="12.7109375" style="322" customWidth="1"/>
    <col min="540" max="540" width="5.140625" style="322" customWidth="1"/>
    <col min="541" max="541" width="9.7109375" style="322" customWidth="1"/>
    <col min="542" max="542" width="12.7109375" style="322" customWidth="1"/>
    <col min="543" max="543" width="5.140625" style="322" customWidth="1"/>
    <col min="544" max="544" width="9.7109375" style="322" customWidth="1"/>
    <col min="545" max="545" width="12.7109375" style="322" customWidth="1"/>
    <col min="546" max="546" width="37.7109375" style="322" customWidth="1"/>
    <col min="547" max="749" width="9.140625" style="322"/>
    <col min="750" max="750" width="1.7109375" style="322" customWidth="1"/>
    <col min="751" max="751" width="3.5703125" style="322" customWidth="1"/>
    <col min="752" max="752" width="11" style="322" customWidth="1"/>
    <col min="753" max="753" width="20.7109375" style="322" customWidth="1"/>
    <col min="754" max="755" width="11.7109375" style="322" customWidth="1"/>
    <col min="756" max="756" width="9.7109375" style="322" customWidth="1"/>
    <col min="757" max="757" width="10.140625" style="322" bestFit="1" customWidth="1"/>
    <col min="758" max="759" width="7.7109375" style="322" customWidth="1"/>
    <col min="760" max="760" width="4" style="322" customWidth="1"/>
    <col min="761" max="761" width="9.7109375" style="322" customWidth="1"/>
    <col min="762" max="762" width="15.140625" style="322" customWidth="1"/>
    <col min="763" max="763" width="5.140625" style="322" customWidth="1"/>
    <col min="764" max="764" width="9.7109375" style="322" customWidth="1"/>
    <col min="765" max="765" width="13.7109375" style="322" customWidth="1"/>
    <col min="766" max="766" width="5.140625" style="322" customWidth="1"/>
    <col min="767" max="767" width="9.7109375" style="322" customWidth="1"/>
    <col min="768" max="768" width="12.5703125" style="322" customWidth="1"/>
    <col min="769" max="769" width="5.140625" style="322" customWidth="1"/>
    <col min="770" max="770" width="9.7109375" style="322" customWidth="1"/>
    <col min="771" max="771" width="12.7109375" style="322" customWidth="1"/>
    <col min="772" max="772" width="5.140625" style="322" customWidth="1"/>
    <col min="773" max="773" width="9.7109375" style="322" customWidth="1"/>
    <col min="774" max="774" width="12.7109375" style="322" customWidth="1"/>
    <col min="775" max="775" width="5.140625" style="322" customWidth="1"/>
    <col min="776" max="776" width="9.7109375" style="322" customWidth="1"/>
    <col min="777" max="777" width="12.7109375" style="322" customWidth="1"/>
    <col min="778" max="778" width="5.140625" style="322" customWidth="1"/>
    <col min="779" max="779" width="9.7109375" style="322" customWidth="1"/>
    <col min="780" max="780" width="12.7109375" style="322" customWidth="1"/>
    <col min="781" max="781" width="5.140625" style="322" customWidth="1"/>
    <col min="782" max="782" width="9.7109375" style="322" customWidth="1"/>
    <col min="783" max="783" width="12.7109375" style="322" customWidth="1"/>
    <col min="784" max="784" width="5.140625" style="322" customWidth="1"/>
    <col min="785" max="785" width="9.7109375" style="322" customWidth="1"/>
    <col min="786" max="786" width="12.7109375" style="322" customWidth="1"/>
    <col min="787" max="787" width="5.140625" style="322" customWidth="1"/>
    <col min="788" max="788" width="9.7109375" style="322" customWidth="1"/>
    <col min="789" max="789" width="12.7109375" style="322" customWidth="1"/>
    <col min="790" max="790" width="5.140625" style="322" customWidth="1"/>
    <col min="791" max="791" width="9.7109375" style="322" customWidth="1"/>
    <col min="792" max="792" width="12.7109375" style="322" customWidth="1"/>
    <col min="793" max="793" width="5.140625" style="322" customWidth="1"/>
    <col min="794" max="794" width="9.7109375" style="322" customWidth="1"/>
    <col min="795" max="795" width="12.7109375" style="322" customWidth="1"/>
    <col min="796" max="796" width="5.140625" style="322" customWidth="1"/>
    <col min="797" max="797" width="9.7109375" style="322" customWidth="1"/>
    <col min="798" max="798" width="12.7109375" style="322" customWidth="1"/>
    <col min="799" max="799" width="5.140625" style="322" customWidth="1"/>
    <col min="800" max="800" width="9.7109375" style="322" customWidth="1"/>
    <col min="801" max="801" width="12.7109375" style="322" customWidth="1"/>
    <col min="802" max="802" width="37.7109375" style="322" customWidth="1"/>
    <col min="803" max="1005" width="9.140625" style="322"/>
    <col min="1006" max="1006" width="1.7109375" style="322" customWidth="1"/>
    <col min="1007" max="1007" width="3.5703125" style="322" customWidth="1"/>
    <col min="1008" max="1008" width="11" style="322" customWidth="1"/>
    <col min="1009" max="1009" width="20.7109375" style="322" customWidth="1"/>
    <col min="1010" max="1011" width="11.7109375" style="322" customWidth="1"/>
    <col min="1012" max="1012" width="9.7109375" style="322" customWidth="1"/>
    <col min="1013" max="1013" width="10.140625" style="322" bestFit="1" customWidth="1"/>
    <col min="1014" max="1015" width="7.7109375" style="322" customWidth="1"/>
    <col min="1016" max="1016" width="4" style="322" customWidth="1"/>
    <col min="1017" max="1017" width="9.7109375" style="322" customWidth="1"/>
    <col min="1018" max="1018" width="15.140625" style="322" customWidth="1"/>
    <col min="1019" max="1019" width="5.140625" style="322" customWidth="1"/>
    <col min="1020" max="1020" width="9.7109375" style="322" customWidth="1"/>
    <col min="1021" max="1021" width="13.7109375" style="322" customWidth="1"/>
    <col min="1022" max="1022" width="5.140625" style="322" customWidth="1"/>
    <col min="1023" max="1023" width="9.7109375" style="322" customWidth="1"/>
    <col min="1024" max="1024" width="12.5703125" style="322" customWidth="1"/>
    <col min="1025" max="1025" width="5.140625" style="322" customWidth="1"/>
    <col min="1026" max="1026" width="9.7109375" style="322" customWidth="1"/>
    <col min="1027" max="1027" width="12.7109375" style="322" customWidth="1"/>
    <col min="1028" max="1028" width="5.140625" style="322" customWidth="1"/>
    <col min="1029" max="1029" width="9.7109375" style="322" customWidth="1"/>
    <col min="1030" max="1030" width="12.7109375" style="322" customWidth="1"/>
    <col min="1031" max="1031" width="5.140625" style="322" customWidth="1"/>
    <col min="1032" max="1032" width="9.7109375" style="322" customWidth="1"/>
    <col min="1033" max="1033" width="12.7109375" style="322" customWidth="1"/>
    <col min="1034" max="1034" width="5.140625" style="322" customWidth="1"/>
    <col min="1035" max="1035" width="9.7109375" style="322" customWidth="1"/>
    <col min="1036" max="1036" width="12.7109375" style="322" customWidth="1"/>
    <col min="1037" max="1037" width="5.140625" style="322" customWidth="1"/>
    <col min="1038" max="1038" width="9.7109375" style="322" customWidth="1"/>
    <col min="1039" max="1039" width="12.7109375" style="322" customWidth="1"/>
    <col min="1040" max="1040" width="5.140625" style="322" customWidth="1"/>
    <col min="1041" max="1041" width="9.7109375" style="322" customWidth="1"/>
    <col min="1042" max="1042" width="12.7109375" style="322" customWidth="1"/>
    <col min="1043" max="1043" width="5.140625" style="322" customWidth="1"/>
    <col min="1044" max="1044" width="9.7109375" style="322" customWidth="1"/>
    <col min="1045" max="1045" width="12.7109375" style="322" customWidth="1"/>
    <col min="1046" max="1046" width="5.140625" style="322" customWidth="1"/>
    <col min="1047" max="1047" width="9.7109375" style="322" customWidth="1"/>
    <col min="1048" max="1048" width="12.7109375" style="322" customWidth="1"/>
    <col min="1049" max="1049" width="5.140625" style="322" customWidth="1"/>
    <col min="1050" max="1050" width="9.7109375" style="322" customWidth="1"/>
    <col min="1051" max="1051" width="12.7109375" style="322" customWidth="1"/>
    <col min="1052" max="1052" width="5.140625" style="322" customWidth="1"/>
    <col min="1053" max="1053" width="9.7109375" style="322" customWidth="1"/>
    <col min="1054" max="1054" width="12.7109375" style="322" customWidth="1"/>
    <col min="1055" max="1055" width="5.140625" style="322" customWidth="1"/>
    <col min="1056" max="1056" width="9.7109375" style="322" customWidth="1"/>
    <col min="1057" max="1057" width="12.7109375" style="322" customWidth="1"/>
    <col min="1058" max="1058" width="37.7109375" style="322" customWidth="1"/>
    <col min="1059" max="1261" width="9.140625" style="322"/>
    <col min="1262" max="1262" width="1.7109375" style="322" customWidth="1"/>
    <col min="1263" max="1263" width="3.5703125" style="322" customWidth="1"/>
    <col min="1264" max="1264" width="11" style="322" customWidth="1"/>
    <col min="1265" max="1265" width="20.7109375" style="322" customWidth="1"/>
    <col min="1266" max="1267" width="11.7109375" style="322" customWidth="1"/>
    <col min="1268" max="1268" width="9.7109375" style="322" customWidth="1"/>
    <col min="1269" max="1269" width="10.140625" style="322" bestFit="1" customWidth="1"/>
    <col min="1270" max="1271" width="7.7109375" style="322" customWidth="1"/>
    <col min="1272" max="1272" width="4" style="322" customWidth="1"/>
    <col min="1273" max="1273" width="9.7109375" style="322" customWidth="1"/>
    <col min="1274" max="1274" width="15.140625" style="322" customWidth="1"/>
    <col min="1275" max="1275" width="5.140625" style="322" customWidth="1"/>
    <col min="1276" max="1276" width="9.7109375" style="322" customWidth="1"/>
    <col min="1277" max="1277" width="13.7109375" style="322" customWidth="1"/>
    <col min="1278" max="1278" width="5.140625" style="322" customWidth="1"/>
    <col min="1279" max="1279" width="9.7109375" style="322" customWidth="1"/>
    <col min="1280" max="1280" width="12.5703125" style="322" customWidth="1"/>
    <col min="1281" max="1281" width="5.140625" style="322" customWidth="1"/>
    <col min="1282" max="1282" width="9.7109375" style="322" customWidth="1"/>
    <col min="1283" max="1283" width="12.7109375" style="322" customWidth="1"/>
    <col min="1284" max="1284" width="5.140625" style="322" customWidth="1"/>
    <col min="1285" max="1285" width="9.7109375" style="322" customWidth="1"/>
    <col min="1286" max="1286" width="12.7109375" style="322" customWidth="1"/>
    <col min="1287" max="1287" width="5.140625" style="322" customWidth="1"/>
    <col min="1288" max="1288" width="9.7109375" style="322" customWidth="1"/>
    <col min="1289" max="1289" width="12.7109375" style="322" customWidth="1"/>
    <col min="1290" max="1290" width="5.140625" style="322" customWidth="1"/>
    <col min="1291" max="1291" width="9.7109375" style="322" customWidth="1"/>
    <col min="1292" max="1292" width="12.7109375" style="322" customWidth="1"/>
    <col min="1293" max="1293" width="5.140625" style="322" customWidth="1"/>
    <col min="1294" max="1294" width="9.7109375" style="322" customWidth="1"/>
    <col min="1295" max="1295" width="12.7109375" style="322" customWidth="1"/>
    <col min="1296" max="1296" width="5.140625" style="322" customWidth="1"/>
    <col min="1297" max="1297" width="9.7109375" style="322" customWidth="1"/>
    <col min="1298" max="1298" width="12.7109375" style="322" customWidth="1"/>
    <col min="1299" max="1299" width="5.140625" style="322" customWidth="1"/>
    <col min="1300" max="1300" width="9.7109375" style="322" customWidth="1"/>
    <col min="1301" max="1301" width="12.7109375" style="322" customWidth="1"/>
    <col min="1302" max="1302" width="5.140625" style="322" customWidth="1"/>
    <col min="1303" max="1303" width="9.7109375" style="322" customWidth="1"/>
    <col min="1304" max="1304" width="12.7109375" style="322" customWidth="1"/>
    <col min="1305" max="1305" width="5.140625" style="322" customWidth="1"/>
    <col min="1306" max="1306" width="9.7109375" style="322" customWidth="1"/>
    <col min="1307" max="1307" width="12.7109375" style="322" customWidth="1"/>
    <col min="1308" max="1308" width="5.140625" style="322" customWidth="1"/>
    <col min="1309" max="1309" width="9.7109375" style="322" customWidth="1"/>
    <col min="1310" max="1310" width="12.7109375" style="322" customWidth="1"/>
    <col min="1311" max="1311" width="5.140625" style="322" customWidth="1"/>
    <col min="1312" max="1312" width="9.7109375" style="322" customWidth="1"/>
    <col min="1313" max="1313" width="12.7109375" style="322" customWidth="1"/>
    <col min="1314" max="1314" width="37.7109375" style="322" customWidth="1"/>
    <col min="1315" max="1517" width="9.140625" style="322"/>
    <col min="1518" max="1518" width="1.7109375" style="322" customWidth="1"/>
    <col min="1519" max="1519" width="3.5703125" style="322" customWidth="1"/>
    <col min="1520" max="1520" width="11" style="322" customWidth="1"/>
    <col min="1521" max="1521" width="20.7109375" style="322" customWidth="1"/>
    <col min="1522" max="1523" width="11.7109375" style="322" customWidth="1"/>
    <col min="1524" max="1524" width="9.7109375" style="322" customWidth="1"/>
    <col min="1525" max="1525" width="10.140625" style="322" bestFit="1" customWidth="1"/>
    <col min="1526" max="1527" width="7.7109375" style="322" customWidth="1"/>
    <col min="1528" max="1528" width="4" style="322" customWidth="1"/>
    <col min="1529" max="1529" width="9.7109375" style="322" customWidth="1"/>
    <col min="1530" max="1530" width="15.140625" style="322" customWidth="1"/>
    <col min="1531" max="1531" width="5.140625" style="322" customWidth="1"/>
    <col min="1532" max="1532" width="9.7109375" style="322" customWidth="1"/>
    <col min="1533" max="1533" width="13.7109375" style="322" customWidth="1"/>
    <col min="1534" max="1534" width="5.140625" style="322" customWidth="1"/>
    <col min="1535" max="1535" width="9.7109375" style="322" customWidth="1"/>
    <col min="1536" max="1536" width="12.5703125" style="322" customWidth="1"/>
    <col min="1537" max="1537" width="5.140625" style="322" customWidth="1"/>
    <col min="1538" max="1538" width="9.7109375" style="322" customWidth="1"/>
    <col min="1539" max="1539" width="12.7109375" style="322" customWidth="1"/>
    <col min="1540" max="1540" width="5.140625" style="322" customWidth="1"/>
    <col min="1541" max="1541" width="9.7109375" style="322" customWidth="1"/>
    <col min="1542" max="1542" width="12.7109375" style="322" customWidth="1"/>
    <col min="1543" max="1543" width="5.140625" style="322" customWidth="1"/>
    <col min="1544" max="1544" width="9.7109375" style="322" customWidth="1"/>
    <col min="1545" max="1545" width="12.7109375" style="322" customWidth="1"/>
    <col min="1546" max="1546" width="5.140625" style="322" customWidth="1"/>
    <col min="1547" max="1547" width="9.7109375" style="322" customWidth="1"/>
    <col min="1548" max="1548" width="12.7109375" style="322" customWidth="1"/>
    <col min="1549" max="1549" width="5.140625" style="322" customWidth="1"/>
    <col min="1550" max="1550" width="9.7109375" style="322" customWidth="1"/>
    <col min="1551" max="1551" width="12.7109375" style="322" customWidth="1"/>
    <col min="1552" max="1552" width="5.140625" style="322" customWidth="1"/>
    <col min="1553" max="1553" width="9.7109375" style="322" customWidth="1"/>
    <col min="1554" max="1554" width="12.7109375" style="322" customWidth="1"/>
    <col min="1555" max="1555" width="5.140625" style="322" customWidth="1"/>
    <col min="1556" max="1556" width="9.7109375" style="322" customWidth="1"/>
    <col min="1557" max="1557" width="12.7109375" style="322" customWidth="1"/>
    <col min="1558" max="1558" width="5.140625" style="322" customWidth="1"/>
    <col min="1559" max="1559" width="9.7109375" style="322" customWidth="1"/>
    <col min="1560" max="1560" width="12.7109375" style="322" customWidth="1"/>
    <col min="1561" max="1561" width="5.140625" style="322" customWidth="1"/>
    <col min="1562" max="1562" width="9.7109375" style="322" customWidth="1"/>
    <col min="1563" max="1563" width="12.7109375" style="322" customWidth="1"/>
    <col min="1564" max="1564" width="5.140625" style="322" customWidth="1"/>
    <col min="1565" max="1565" width="9.7109375" style="322" customWidth="1"/>
    <col min="1566" max="1566" width="12.7109375" style="322" customWidth="1"/>
    <col min="1567" max="1567" width="5.140625" style="322" customWidth="1"/>
    <col min="1568" max="1568" width="9.7109375" style="322" customWidth="1"/>
    <col min="1569" max="1569" width="12.7109375" style="322" customWidth="1"/>
    <col min="1570" max="1570" width="37.7109375" style="322" customWidth="1"/>
    <col min="1571" max="1773" width="9.140625" style="322"/>
    <col min="1774" max="1774" width="1.7109375" style="322" customWidth="1"/>
    <col min="1775" max="1775" width="3.5703125" style="322" customWidth="1"/>
    <col min="1776" max="1776" width="11" style="322" customWidth="1"/>
    <col min="1777" max="1777" width="20.7109375" style="322" customWidth="1"/>
    <col min="1778" max="1779" width="11.7109375" style="322" customWidth="1"/>
    <col min="1780" max="1780" width="9.7109375" style="322" customWidth="1"/>
    <col min="1781" max="1781" width="10.140625" style="322" bestFit="1" customWidth="1"/>
    <col min="1782" max="1783" width="7.7109375" style="322" customWidth="1"/>
    <col min="1784" max="1784" width="4" style="322" customWidth="1"/>
    <col min="1785" max="1785" width="9.7109375" style="322" customWidth="1"/>
    <col min="1786" max="1786" width="15.140625" style="322" customWidth="1"/>
    <col min="1787" max="1787" width="5.140625" style="322" customWidth="1"/>
    <col min="1788" max="1788" width="9.7109375" style="322" customWidth="1"/>
    <col min="1789" max="1789" width="13.7109375" style="322" customWidth="1"/>
    <col min="1790" max="1790" width="5.140625" style="322" customWidth="1"/>
    <col min="1791" max="1791" width="9.7109375" style="322" customWidth="1"/>
    <col min="1792" max="1792" width="12.5703125" style="322" customWidth="1"/>
    <col min="1793" max="1793" width="5.140625" style="322" customWidth="1"/>
    <col min="1794" max="1794" width="9.7109375" style="322" customWidth="1"/>
    <col min="1795" max="1795" width="12.7109375" style="322" customWidth="1"/>
    <col min="1796" max="1796" width="5.140625" style="322" customWidth="1"/>
    <col min="1797" max="1797" width="9.7109375" style="322" customWidth="1"/>
    <col min="1798" max="1798" width="12.7109375" style="322" customWidth="1"/>
    <col min="1799" max="1799" width="5.140625" style="322" customWidth="1"/>
    <col min="1800" max="1800" width="9.7109375" style="322" customWidth="1"/>
    <col min="1801" max="1801" width="12.7109375" style="322" customWidth="1"/>
    <col min="1802" max="1802" width="5.140625" style="322" customWidth="1"/>
    <col min="1803" max="1803" width="9.7109375" style="322" customWidth="1"/>
    <col min="1804" max="1804" width="12.7109375" style="322" customWidth="1"/>
    <col min="1805" max="1805" width="5.140625" style="322" customWidth="1"/>
    <col min="1806" max="1806" width="9.7109375" style="322" customWidth="1"/>
    <col min="1807" max="1807" width="12.7109375" style="322" customWidth="1"/>
    <col min="1808" max="1808" width="5.140625" style="322" customWidth="1"/>
    <col min="1809" max="1809" width="9.7109375" style="322" customWidth="1"/>
    <col min="1810" max="1810" width="12.7109375" style="322" customWidth="1"/>
    <col min="1811" max="1811" width="5.140625" style="322" customWidth="1"/>
    <col min="1812" max="1812" width="9.7109375" style="322" customWidth="1"/>
    <col min="1813" max="1813" width="12.7109375" style="322" customWidth="1"/>
    <col min="1814" max="1814" width="5.140625" style="322" customWidth="1"/>
    <col min="1815" max="1815" width="9.7109375" style="322" customWidth="1"/>
    <col min="1816" max="1816" width="12.7109375" style="322" customWidth="1"/>
    <col min="1817" max="1817" width="5.140625" style="322" customWidth="1"/>
    <col min="1818" max="1818" width="9.7109375" style="322" customWidth="1"/>
    <col min="1819" max="1819" width="12.7109375" style="322" customWidth="1"/>
    <col min="1820" max="1820" width="5.140625" style="322" customWidth="1"/>
    <col min="1821" max="1821" width="9.7109375" style="322" customWidth="1"/>
    <col min="1822" max="1822" width="12.7109375" style="322" customWidth="1"/>
    <col min="1823" max="1823" width="5.140625" style="322" customWidth="1"/>
    <col min="1824" max="1824" width="9.7109375" style="322" customWidth="1"/>
    <col min="1825" max="1825" width="12.7109375" style="322" customWidth="1"/>
    <col min="1826" max="1826" width="37.7109375" style="322" customWidth="1"/>
    <col min="1827" max="2029" width="9.140625" style="322"/>
    <col min="2030" max="2030" width="1.7109375" style="322" customWidth="1"/>
    <col min="2031" max="2031" width="3.5703125" style="322" customWidth="1"/>
    <col min="2032" max="2032" width="11" style="322" customWidth="1"/>
    <col min="2033" max="2033" width="20.7109375" style="322" customWidth="1"/>
    <col min="2034" max="2035" width="11.7109375" style="322" customWidth="1"/>
    <col min="2036" max="2036" width="9.7109375" style="322" customWidth="1"/>
    <col min="2037" max="2037" width="10.140625" style="322" bestFit="1" customWidth="1"/>
    <col min="2038" max="2039" width="7.7109375" style="322" customWidth="1"/>
    <col min="2040" max="2040" width="4" style="322" customWidth="1"/>
    <col min="2041" max="2041" width="9.7109375" style="322" customWidth="1"/>
    <col min="2042" max="2042" width="15.140625" style="322" customWidth="1"/>
    <col min="2043" max="2043" width="5.140625" style="322" customWidth="1"/>
    <col min="2044" max="2044" width="9.7109375" style="322" customWidth="1"/>
    <col min="2045" max="2045" width="13.7109375" style="322" customWidth="1"/>
    <col min="2046" max="2046" width="5.140625" style="322" customWidth="1"/>
    <col min="2047" max="2047" width="9.7109375" style="322" customWidth="1"/>
    <col min="2048" max="2048" width="12.5703125" style="322" customWidth="1"/>
    <col min="2049" max="2049" width="5.140625" style="322" customWidth="1"/>
    <col min="2050" max="2050" width="9.7109375" style="322" customWidth="1"/>
    <col min="2051" max="2051" width="12.7109375" style="322" customWidth="1"/>
    <col min="2052" max="2052" width="5.140625" style="322" customWidth="1"/>
    <col min="2053" max="2053" width="9.7109375" style="322" customWidth="1"/>
    <col min="2054" max="2054" width="12.7109375" style="322" customWidth="1"/>
    <col min="2055" max="2055" width="5.140625" style="322" customWidth="1"/>
    <col min="2056" max="2056" width="9.7109375" style="322" customWidth="1"/>
    <col min="2057" max="2057" width="12.7109375" style="322" customWidth="1"/>
    <col min="2058" max="2058" width="5.140625" style="322" customWidth="1"/>
    <col min="2059" max="2059" width="9.7109375" style="322" customWidth="1"/>
    <col min="2060" max="2060" width="12.7109375" style="322" customWidth="1"/>
    <col min="2061" max="2061" width="5.140625" style="322" customWidth="1"/>
    <col min="2062" max="2062" width="9.7109375" style="322" customWidth="1"/>
    <col min="2063" max="2063" width="12.7109375" style="322" customWidth="1"/>
    <col min="2064" max="2064" width="5.140625" style="322" customWidth="1"/>
    <col min="2065" max="2065" width="9.7109375" style="322" customWidth="1"/>
    <col min="2066" max="2066" width="12.7109375" style="322" customWidth="1"/>
    <col min="2067" max="2067" width="5.140625" style="322" customWidth="1"/>
    <col min="2068" max="2068" width="9.7109375" style="322" customWidth="1"/>
    <col min="2069" max="2069" width="12.7109375" style="322" customWidth="1"/>
    <col min="2070" max="2070" width="5.140625" style="322" customWidth="1"/>
    <col min="2071" max="2071" width="9.7109375" style="322" customWidth="1"/>
    <col min="2072" max="2072" width="12.7109375" style="322" customWidth="1"/>
    <col min="2073" max="2073" width="5.140625" style="322" customWidth="1"/>
    <col min="2074" max="2074" width="9.7109375" style="322" customWidth="1"/>
    <col min="2075" max="2075" width="12.7109375" style="322" customWidth="1"/>
    <col min="2076" max="2076" width="5.140625" style="322" customWidth="1"/>
    <col min="2077" max="2077" width="9.7109375" style="322" customWidth="1"/>
    <col min="2078" max="2078" width="12.7109375" style="322" customWidth="1"/>
    <col min="2079" max="2079" width="5.140625" style="322" customWidth="1"/>
    <col min="2080" max="2080" width="9.7109375" style="322" customWidth="1"/>
    <col min="2081" max="2081" width="12.7109375" style="322" customWidth="1"/>
    <col min="2082" max="2082" width="37.7109375" style="322" customWidth="1"/>
    <col min="2083" max="2285" width="9.140625" style="322"/>
    <col min="2286" max="2286" width="1.7109375" style="322" customWidth="1"/>
    <col min="2287" max="2287" width="3.5703125" style="322" customWidth="1"/>
    <col min="2288" max="2288" width="11" style="322" customWidth="1"/>
    <col min="2289" max="2289" width="20.7109375" style="322" customWidth="1"/>
    <col min="2290" max="2291" width="11.7109375" style="322" customWidth="1"/>
    <col min="2292" max="2292" width="9.7109375" style="322" customWidth="1"/>
    <col min="2293" max="2293" width="10.140625" style="322" bestFit="1" customWidth="1"/>
    <col min="2294" max="2295" width="7.7109375" style="322" customWidth="1"/>
    <col min="2296" max="2296" width="4" style="322" customWidth="1"/>
    <col min="2297" max="2297" width="9.7109375" style="322" customWidth="1"/>
    <col min="2298" max="2298" width="15.140625" style="322" customWidth="1"/>
    <col min="2299" max="2299" width="5.140625" style="322" customWidth="1"/>
    <col min="2300" max="2300" width="9.7109375" style="322" customWidth="1"/>
    <col min="2301" max="2301" width="13.7109375" style="322" customWidth="1"/>
    <col min="2302" max="2302" width="5.140625" style="322" customWidth="1"/>
    <col min="2303" max="2303" width="9.7109375" style="322" customWidth="1"/>
    <col min="2304" max="2304" width="12.5703125" style="322" customWidth="1"/>
    <col min="2305" max="2305" width="5.140625" style="322" customWidth="1"/>
    <col min="2306" max="2306" width="9.7109375" style="322" customWidth="1"/>
    <col min="2307" max="2307" width="12.7109375" style="322" customWidth="1"/>
    <col min="2308" max="2308" width="5.140625" style="322" customWidth="1"/>
    <col min="2309" max="2309" width="9.7109375" style="322" customWidth="1"/>
    <col min="2310" max="2310" width="12.7109375" style="322" customWidth="1"/>
    <col min="2311" max="2311" width="5.140625" style="322" customWidth="1"/>
    <col min="2312" max="2312" width="9.7109375" style="322" customWidth="1"/>
    <col min="2313" max="2313" width="12.7109375" style="322" customWidth="1"/>
    <col min="2314" max="2314" width="5.140625" style="322" customWidth="1"/>
    <col min="2315" max="2315" width="9.7109375" style="322" customWidth="1"/>
    <col min="2316" max="2316" width="12.7109375" style="322" customWidth="1"/>
    <col min="2317" max="2317" width="5.140625" style="322" customWidth="1"/>
    <col min="2318" max="2318" width="9.7109375" style="322" customWidth="1"/>
    <col min="2319" max="2319" width="12.7109375" style="322" customWidth="1"/>
    <col min="2320" max="2320" width="5.140625" style="322" customWidth="1"/>
    <col min="2321" max="2321" width="9.7109375" style="322" customWidth="1"/>
    <col min="2322" max="2322" width="12.7109375" style="322" customWidth="1"/>
    <col min="2323" max="2323" width="5.140625" style="322" customWidth="1"/>
    <col min="2324" max="2324" width="9.7109375" style="322" customWidth="1"/>
    <col min="2325" max="2325" width="12.7109375" style="322" customWidth="1"/>
    <col min="2326" max="2326" width="5.140625" style="322" customWidth="1"/>
    <col min="2327" max="2327" width="9.7109375" style="322" customWidth="1"/>
    <col min="2328" max="2328" width="12.7109375" style="322" customWidth="1"/>
    <col min="2329" max="2329" width="5.140625" style="322" customWidth="1"/>
    <col min="2330" max="2330" width="9.7109375" style="322" customWidth="1"/>
    <col min="2331" max="2331" width="12.7109375" style="322" customWidth="1"/>
    <col min="2332" max="2332" width="5.140625" style="322" customWidth="1"/>
    <col min="2333" max="2333" width="9.7109375" style="322" customWidth="1"/>
    <col min="2334" max="2334" width="12.7109375" style="322" customWidth="1"/>
    <col min="2335" max="2335" width="5.140625" style="322" customWidth="1"/>
    <col min="2336" max="2336" width="9.7109375" style="322" customWidth="1"/>
    <col min="2337" max="2337" width="12.7109375" style="322" customWidth="1"/>
    <col min="2338" max="2338" width="37.7109375" style="322" customWidth="1"/>
    <col min="2339" max="2541" width="9.140625" style="322"/>
    <col min="2542" max="2542" width="1.7109375" style="322" customWidth="1"/>
    <col min="2543" max="2543" width="3.5703125" style="322" customWidth="1"/>
    <col min="2544" max="2544" width="11" style="322" customWidth="1"/>
    <col min="2545" max="2545" width="20.7109375" style="322" customWidth="1"/>
    <col min="2546" max="2547" width="11.7109375" style="322" customWidth="1"/>
    <col min="2548" max="2548" width="9.7109375" style="322" customWidth="1"/>
    <col min="2549" max="2549" width="10.140625" style="322" bestFit="1" customWidth="1"/>
    <col min="2550" max="2551" width="7.7109375" style="322" customWidth="1"/>
    <col min="2552" max="2552" width="4" style="322" customWidth="1"/>
    <col min="2553" max="2553" width="9.7109375" style="322" customWidth="1"/>
    <col min="2554" max="2554" width="15.140625" style="322" customWidth="1"/>
    <col min="2555" max="2555" width="5.140625" style="322" customWidth="1"/>
    <col min="2556" max="2556" width="9.7109375" style="322" customWidth="1"/>
    <col min="2557" max="2557" width="13.7109375" style="322" customWidth="1"/>
    <col min="2558" max="2558" width="5.140625" style="322" customWidth="1"/>
    <col min="2559" max="2559" width="9.7109375" style="322" customWidth="1"/>
    <col min="2560" max="2560" width="12.5703125" style="322" customWidth="1"/>
    <col min="2561" max="2561" width="5.140625" style="322" customWidth="1"/>
    <col min="2562" max="2562" width="9.7109375" style="322" customWidth="1"/>
    <col min="2563" max="2563" width="12.7109375" style="322" customWidth="1"/>
    <col min="2564" max="2564" width="5.140625" style="322" customWidth="1"/>
    <col min="2565" max="2565" width="9.7109375" style="322" customWidth="1"/>
    <col min="2566" max="2566" width="12.7109375" style="322" customWidth="1"/>
    <col min="2567" max="2567" width="5.140625" style="322" customWidth="1"/>
    <col min="2568" max="2568" width="9.7109375" style="322" customWidth="1"/>
    <col min="2569" max="2569" width="12.7109375" style="322" customWidth="1"/>
    <col min="2570" max="2570" width="5.140625" style="322" customWidth="1"/>
    <col min="2571" max="2571" width="9.7109375" style="322" customWidth="1"/>
    <col min="2572" max="2572" width="12.7109375" style="322" customWidth="1"/>
    <col min="2573" max="2573" width="5.140625" style="322" customWidth="1"/>
    <col min="2574" max="2574" width="9.7109375" style="322" customWidth="1"/>
    <col min="2575" max="2575" width="12.7109375" style="322" customWidth="1"/>
    <col min="2576" max="2576" width="5.140625" style="322" customWidth="1"/>
    <col min="2577" max="2577" width="9.7109375" style="322" customWidth="1"/>
    <col min="2578" max="2578" width="12.7109375" style="322" customWidth="1"/>
    <col min="2579" max="2579" width="5.140625" style="322" customWidth="1"/>
    <col min="2580" max="2580" width="9.7109375" style="322" customWidth="1"/>
    <col min="2581" max="2581" width="12.7109375" style="322" customWidth="1"/>
    <col min="2582" max="2582" width="5.140625" style="322" customWidth="1"/>
    <col min="2583" max="2583" width="9.7109375" style="322" customWidth="1"/>
    <col min="2584" max="2584" width="12.7109375" style="322" customWidth="1"/>
    <col min="2585" max="2585" width="5.140625" style="322" customWidth="1"/>
    <col min="2586" max="2586" width="9.7109375" style="322" customWidth="1"/>
    <col min="2587" max="2587" width="12.7109375" style="322" customWidth="1"/>
    <col min="2588" max="2588" width="5.140625" style="322" customWidth="1"/>
    <col min="2589" max="2589" width="9.7109375" style="322" customWidth="1"/>
    <col min="2590" max="2590" width="12.7109375" style="322" customWidth="1"/>
    <col min="2591" max="2591" width="5.140625" style="322" customWidth="1"/>
    <col min="2592" max="2592" width="9.7109375" style="322" customWidth="1"/>
    <col min="2593" max="2593" width="12.7109375" style="322" customWidth="1"/>
    <col min="2594" max="2594" width="37.7109375" style="322" customWidth="1"/>
    <col min="2595" max="2797" width="9.140625" style="322"/>
    <col min="2798" max="2798" width="1.7109375" style="322" customWidth="1"/>
    <col min="2799" max="2799" width="3.5703125" style="322" customWidth="1"/>
    <col min="2800" max="2800" width="11" style="322" customWidth="1"/>
    <col min="2801" max="2801" width="20.7109375" style="322" customWidth="1"/>
    <col min="2802" max="2803" width="11.7109375" style="322" customWidth="1"/>
    <col min="2804" max="2804" width="9.7109375" style="322" customWidth="1"/>
    <col min="2805" max="2805" width="10.140625" style="322" bestFit="1" customWidth="1"/>
    <col min="2806" max="2807" width="7.7109375" style="322" customWidth="1"/>
    <col min="2808" max="2808" width="4" style="322" customWidth="1"/>
    <col min="2809" max="2809" width="9.7109375" style="322" customWidth="1"/>
    <col min="2810" max="2810" width="15.140625" style="322" customWidth="1"/>
    <col min="2811" max="2811" width="5.140625" style="322" customWidth="1"/>
    <col min="2812" max="2812" width="9.7109375" style="322" customWidth="1"/>
    <col min="2813" max="2813" width="13.7109375" style="322" customWidth="1"/>
    <col min="2814" max="2814" width="5.140625" style="322" customWidth="1"/>
    <col min="2815" max="2815" width="9.7109375" style="322" customWidth="1"/>
    <col min="2816" max="2816" width="12.5703125" style="322" customWidth="1"/>
    <col min="2817" max="2817" width="5.140625" style="322" customWidth="1"/>
    <col min="2818" max="2818" width="9.7109375" style="322" customWidth="1"/>
    <col min="2819" max="2819" width="12.7109375" style="322" customWidth="1"/>
    <col min="2820" max="2820" width="5.140625" style="322" customWidth="1"/>
    <col min="2821" max="2821" width="9.7109375" style="322" customWidth="1"/>
    <col min="2822" max="2822" width="12.7109375" style="322" customWidth="1"/>
    <col min="2823" max="2823" width="5.140625" style="322" customWidth="1"/>
    <col min="2824" max="2824" width="9.7109375" style="322" customWidth="1"/>
    <col min="2825" max="2825" width="12.7109375" style="322" customWidth="1"/>
    <col min="2826" max="2826" width="5.140625" style="322" customWidth="1"/>
    <col min="2827" max="2827" width="9.7109375" style="322" customWidth="1"/>
    <col min="2828" max="2828" width="12.7109375" style="322" customWidth="1"/>
    <col min="2829" max="2829" width="5.140625" style="322" customWidth="1"/>
    <col min="2830" max="2830" width="9.7109375" style="322" customWidth="1"/>
    <col min="2831" max="2831" width="12.7109375" style="322" customWidth="1"/>
    <col min="2832" max="2832" width="5.140625" style="322" customWidth="1"/>
    <col min="2833" max="2833" width="9.7109375" style="322" customWidth="1"/>
    <col min="2834" max="2834" width="12.7109375" style="322" customWidth="1"/>
    <col min="2835" max="2835" width="5.140625" style="322" customWidth="1"/>
    <col min="2836" max="2836" width="9.7109375" style="322" customWidth="1"/>
    <col min="2837" max="2837" width="12.7109375" style="322" customWidth="1"/>
    <col min="2838" max="2838" width="5.140625" style="322" customWidth="1"/>
    <col min="2839" max="2839" width="9.7109375" style="322" customWidth="1"/>
    <col min="2840" max="2840" width="12.7109375" style="322" customWidth="1"/>
    <col min="2841" max="2841" width="5.140625" style="322" customWidth="1"/>
    <col min="2842" max="2842" width="9.7109375" style="322" customWidth="1"/>
    <col min="2843" max="2843" width="12.7109375" style="322" customWidth="1"/>
    <col min="2844" max="2844" width="5.140625" style="322" customWidth="1"/>
    <col min="2845" max="2845" width="9.7109375" style="322" customWidth="1"/>
    <col min="2846" max="2846" width="12.7109375" style="322" customWidth="1"/>
    <col min="2847" max="2847" width="5.140625" style="322" customWidth="1"/>
    <col min="2848" max="2848" width="9.7109375" style="322" customWidth="1"/>
    <col min="2849" max="2849" width="12.7109375" style="322" customWidth="1"/>
    <col min="2850" max="2850" width="37.7109375" style="322" customWidth="1"/>
    <col min="2851" max="3053" width="9.140625" style="322"/>
    <col min="3054" max="3054" width="1.7109375" style="322" customWidth="1"/>
    <col min="3055" max="3055" width="3.5703125" style="322" customWidth="1"/>
    <col min="3056" max="3056" width="11" style="322" customWidth="1"/>
    <col min="3057" max="3057" width="20.7109375" style="322" customWidth="1"/>
    <col min="3058" max="3059" width="11.7109375" style="322" customWidth="1"/>
    <col min="3060" max="3060" width="9.7109375" style="322" customWidth="1"/>
    <col min="3061" max="3061" width="10.140625" style="322" bestFit="1" customWidth="1"/>
    <col min="3062" max="3063" width="7.7109375" style="322" customWidth="1"/>
    <col min="3064" max="3064" width="4" style="322" customWidth="1"/>
    <col min="3065" max="3065" width="9.7109375" style="322" customWidth="1"/>
    <col min="3066" max="3066" width="15.140625" style="322" customWidth="1"/>
    <col min="3067" max="3067" width="5.140625" style="322" customWidth="1"/>
    <col min="3068" max="3068" width="9.7109375" style="322" customWidth="1"/>
    <col min="3069" max="3069" width="13.7109375" style="322" customWidth="1"/>
    <col min="3070" max="3070" width="5.140625" style="322" customWidth="1"/>
    <col min="3071" max="3071" width="9.7109375" style="322" customWidth="1"/>
    <col min="3072" max="3072" width="12.5703125" style="322" customWidth="1"/>
    <col min="3073" max="3073" width="5.140625" style="322" customWidth="1"/>
    <col min="3074" max="3074" width="9.7109375" style="322" customWidth="1"/>
    <col min="3075" max="3075" width="12.7109375" style="322" customWidth="1"/>
    <col min="3076" max="3076" width="5.140625" style="322" customWidth="1"/>
    <col min="3077" max="3077" width="9.7109375" style="322" customWidth="1"/>
    <col min="3078" max="3078" width="12.7109375" style="322" customWidth="1"/>
    <col min="3079" max="3079" width="5.140625" style="322" customWidth="1"/>
    <col min="3080" max="3080" width="9.7109375" style="322" customWidth="1"/>
    <col min="3081" max="3081" width="12.7109375" style="322" customWidth="1"/>
    <col min="3082" max="3082" width="5.140625" style="322" customWidth="1"/>
    <col min="3083" max="3083" width="9.7109375" style="322" customWidth="1"/>
    <col min="3084" max="3084" width="12.7109375" style="322" customWidth="1"/>
    <col min="3085" max="3085" width="5.140625" style="322" customWidth="1"/>
    <col min="3086" max="3086" width="9.7109375" style="322" customWidth="1"/>
    <col min="3087" max="3087" width="12.7109375" style="322" customWidth="1"/>
    <col min="3088" max="3088" width="5.140625" style="322" customWidth="1"/>
    <col min="3089" max="3089" width="9.7109375" style="322" customWidth="1"/>
    <col min="3090" max="3090" width="12.7109375" style="322" customWidth="1"/>
    <col min="3091" max="3091" width="5.140625" style="322" customWidth="1"/>
    <col min="3092" max="3092" width="9.7109375" style="322" customWidth="1"/>
    <col min="3093" max="3093" width="12.7109375" style="322" customWidth="1"/>
    <col min="3094" max="3094" width="5.140625" style="322" customWidth="1"/>
    <col min="3095" max="3095" width="9.7109375" style="322" customWidth="1"/>
    <col min="3096" max="3096" width="12.7109375" style="322" customWidth="1"/>
    <col min="3097" max="3097" width="5.140625" style="322" customWidth="1"/>
    <col min="3098" max="3098" width="9.7109375" style="322" customWidth="1"/>
    <col min="3099" max="3099" width="12.7109375" style="322" customWidth="1"/>
    <col min="3100" max="3100" width="5.140625" style="322" customWidth="1"/>
    <col min="3101" max="3101" width="9.7109375" style="322" customWidth="1"/>
    <col min="3102" max="3102" width="12.7109375" style="322" customWidth="1"/>
    <col min="3103" max="3103" width="5.140625" style="322" customWidth="1"/>
    <col min="3104" max="3104" width="9.7109375" style="322" customWidth="1"/>
    <col min="3105" max="3105" width="12.7109375" style="322" customWidth="1"/>
    <col min="3106" max="3106" width="37.7109375" style="322" customWidth="1"/>
    <col min="3107" max="3309" width="9.140625" style="322"/>
    <col min="3310" max="3310" width="1.7109375" style="322" customWidth="1"/>
    <col min="3311" max="3311" width="3.5703125" style="322" customWidth="1"/>
    <col min="3312" max="3312" width="11" style="322" customWidth="1"/>
    <col min="3313" max="3313" width="20.7109375" style="322" customWidth="1"/>
    <col min="3314" max="3315" width="11.7109375" style="322" customWidth="1"/>
    <col min="3316" max="3316" width="9.7109375" style="322" customWidth="1"/>
    <col min="3317" max="3317" width="10.140625" style="322" bestFit="1" customWidth="1"/>
    <col min="3318" max="3319" width="7.7109375" style="322" customWidth="1"/>
    <col min="3320" max="3320" width="4" style="322" customWidth="1"/>
    <col min="3321" max="3321" width="9.7109375" style="322" customWidth="1"/>
    <col min="3322" max="3322" width="15.140625" style="322" customWidth="1"/>
    <col min="3323" max="3323" width="5.140625" style="322" customWidth="1"/>
    <col min="3324" max="3324" width="9.7109375" style="322" customWidth="1"/>
    <col min="3325" max="3325" width="13.7109375" style="322" customWidth="1"/>
    <col min="3326" max="3326" width="5.140625" style="322" customWidth="1"/>
    <col min="3327" max="3327" width="9.7109375" style="322" customWidth="1"/>
    <col min="3328" max="3328" width="12.5703125" style="322" customWidth="1"/>
    <col min="3329" max="3329" width="5.140625" style="322" customWidth="1"/>
    <col min="3330" max="3330" width="9.7109375" style="322" customWidth="1"/>
    <col min="3331" max="3331" width="12.7109375" style="322" customWidth="1"/>
    <col min="3332" max="3332" width="5.140625" style="322" customWidth="1"/>
    <col min="3333" max="3333" width="9.7109375" style="322" customWidth="1"/>
    <col min="3334" max="3334" width="12.7109375" style="322" customWidth="1"/>
    <col min="3335" max="3335" width="5.140625" style="322" customWidth="1"/>
    <col min="3336" max="3336" width="9.7109375" style="322" customWidth="1"/>
    <col min="3337" max="3337" width="12.7109375" style="322" customWidth="1"/>
    <col min="3338" max="3338" width="5.140625" style="322" customWidth="1"/>
    <col min="3339" max="3339" width="9.7109375" style="322" customWidth="1"/>
    <col min="3340" max="3340" width="12.7109375" style="322" customWidth="1"/>
    <col min="3341" max="3341" width="5.140625" style="322" customWidth="1"/>
    <col min="3342" max="3342" width="9.7109375" style="322" customWidth="1"/>
    <col min="3343" max="3343" width="12.7109375" style="322" customWidth="1"/>
    <col min="3344" max="3344" width="5.140625" style="322" customWidth="1"/>
    <col min="3345" max="3345" width="9.7109375" style="322" customWidth="1"/>
    <col min="3346" max="3346" width="12.7109375" style="322" customWidth="1"/>
    <col min="3347" max="3347" width="5.140625" style="322" customWidth="1"/>
    <col min="3348" max="3348" width="9.7109375" style="322" customWidth="1"/>
    <col min="3349" max="3349" width="12.7109375" style="322" customWidth="1"/>
    <col min="3350" max="3350" width="5.140625" style="322" customWidth="1"/>
    <col min="3351" max="3351" width="9.7109375" style="322" customWidth="1"/>
    <col min="3352" max="3352" width="12.7109375" style="322" customWidth="1"/>
    <col min="3353" max="3353" width="5.140625" style="322" customWidth="1"/>
    <col min="3354" max="3354" width="9.7109375" style="322" customWidth="1"/>
    <col min="3355" max="3355" width="12.7109375" style="322" customWidth="1"/>
    <col min="3356" max="3356" width="5.140625" style="322" customWidth="1"/>
    <col min="3357" max="3357" width="9.7109375" style="322" customWidth="1"/>
    <col min="3358" max="3358" width="12.7109375" style="322" customWidth="1"/>
    <col min="3359" max="3359" width="5.140625" style="322" customWidth="1"/>
    <col min="3360" max="3360" width="9.7109375" style="322" customWidth="1"/>
    <col min="3361" max="3361" width="12.7109375" style="322" customWidth="1"/>
    <col min="3362" max="3362" width="37.7109375" style="322" customWidth="1"/>
    <col min="3363" max="3565" width="9.140625" style="322"/>
    <col min="3566" max="3566" width="1.7109375" style="322" customWidth="1"/>
    <col min="3567" max="3567" width="3.5703125" style="322" customWidth="1"/>
    <col min="3568" max="3568" width="11" style="322" customWidth="1"/>
    <col min="3569" max="3569" width="20.7109375" style="322" customWidth="1"/>
    <col min="3570" max="3571" width="11.7109375" style="322" customWidth="1"/>
    <col min="3572" max="3572" width="9.7109375" style="322" customWidth="1"/>
    <col min="3573" max="3573" width="10.140625" style="322" bestFit="1" customWidth="1"/>
    <col min="3574" max="3575" width="7.7109375" style="322" customWidth="1"/>
    <col min="3576" max="3576" width="4" style="322" customWidth="1"/>
    <col min="3577" max="3577" width="9.7109375" style="322" customWidth="1"/>
    <col min="3578" max="3578" width="15.140625" style="322" customWidth="1"/>
    <col min="3579" max="3579" width="5.140625" style="322" customWidth="1"/>
    <col min="3580" max="3580" width="9.7109375" style="322" customWidth="1"/>
    <col min="3581" max="3581" width="13.7109375" style="322" customWidth="1"/>
    <col min="3582" max="3582" width="5.140625" style="322" customWidth="1"/>
    <col min="3583" max="3583" width="9.7109375" style="322" customWidth="1"/>
    <col min="3584" max="3584" width="12.5703125" style="322" customWidth="1"/>
    <col min="3585" max="3585" width="5.140625" style="322" customWidth="1"/>
    <col min="3586" max="3586" width="9.7109375" style="322" customWidth="1"/>
    <col min="3587" max="3587" width="12.7109375" style="322" customWidth="1"/>
    <col min="3588" max="3588" width="5.140625" style="322" customWidth="1"/>
    <col min="3589" max="3589" width="9.7109375" style="322" customWidth="1"/>
    <col min="3590" max="3590" width="12.7109375" style="322" customWidth="1"/>
    <col min="3591" max="3591" width="5.140625" style="322" customWidth="1"/>
    <col min="3592" max="3592" width="9.7109375" style="322" customWidth="1"/>
    <col min="3593" max="3593" width="12.7109375" style="322" customWidth="1"/>
    <col min="3594" max="3594" width="5.140625" style="322" customWidth="1"/>
    <col min="3595" max="3595" width="9.7109375" style="322" customWidth="1"/>
    <col min="3596" max="3596" width="12.7109375" style="322" customWidth="1"/>
    <col min="3597" max="3597" width="5.140625" style="322" customWidth="1"/>
    <col min="3598" max="3598" width="9.7109375" style="322" customWidth="1"/>
    <col min="3599" max="3599" width="12.7109375" style="322" customWidth="1"/>
    <col min="3600" max="3600" width="5.140625" style="322" customWidth="1"/>
    <col min="3601" max="3601" width="9.7109375" style="322" customWidth="1"/>
    <col min="3602" max="3602" width="12.7109375" style="322" customWidth="1"/>
    <col min="3603" max="3603" width="5.140625" style="322" customWidth="1"/>
    <col min="3604" max="3604" width="9.7109375" style="322" customWidth="1"/>
    <col min="3605" max="3605" width="12.7109375" style="322" customWidth="1"/>
    <col min="3606" max="3606" width="5.140625" style="322" customWidth="1"/>
    <col min="3607" max="3607" width="9.7109375" style="322" customWidth="1"/>
    <col min="3608" max="3608" width="12.7109375" style="322" customWidth="1"/>
    <col min="3609" max="3609" width="5.140625" style="322" customWidth="1"/>
    <col min="3610" max="3610" width="9.7109375" style="322" customWidth="1"/>
    <col min="3611" max="3611" width="12.7109375" style="322" customWidth="1"/>
    <col min="3612" max="3612" width="5.140625" style="322" customWidth="1"/>
    <col min="3613" max="3613" width="9.7109375" style="322" customWidth="1"/>
    <col min="3614" max="3614" width="12.7109375" style="322" customWidth="1"/>
    <col min="3615" max="3615" width="5.140625" style="322" customWidth="1"/>
    <col min="3616" max="3616" width="9.7109375" style="322" customWidth="1"/>
    <col min="3617" max="3617" width="12.7109375" style="322" customWidth="1"/>
    <col min="3618" max="3618" width="37.7109375" style="322" customWidth="1"/>
    <col min="3619" max="3821" width="9.140625" style="322"/>
    <col min="3822" max="3822" width="1.7109375" style="322" customWidth="1"/>
    <col min="3823" max="3823" width="3.5703125" style="322" customWidth="1"/>
    <col min="3824" max="3824" width="11" style="322" customWidth="1"/>
    <col min="3825" max="3825" width="20.7109375" style="322" customWidth="1"/>
    <col min="3826" max="3827" width="11.7109375" style="322" customWidth="1"/>
    <col min="3828" max="3828" width="9.7109375" style="322" customWidth="1"/>
    <col min="3829" max="3829" width="10.140625" style="322" bestFit="1" customWidth="1"/>
    <col min="3830" max="3831" width="7.7109375" style="322" customWidth="1"/>
    <col min="3832" max="3832" width="4" style="322" customWidth="1"/>
    <col min="3833" max="3833" width="9.7109375" style="322" customWidth="1"/>
    <col min="3834" max="3834" width="15.140625" style="322" customWidth="1"/>
    <col min="3835" max="3835" width="5.140625" style="322" customWidth="1"/>
    <col min="3836" max="3836" width="9.7109375" style="322" customWidth="1"/>
    <col min="3837" max="3837" width="13.7109375" style="322" customWidth="1"/>
    <col min="3838" max="3838" width="5.140625" style="322" customWidth="1"/>
    <col min="3839" max="3839" width="9.7109375" style="322" customWidth="1"/>
    <col min="3840" max="3840" width="12.5703125" style="322" customWidth="1"/>
    <col min="3841" max="3841" width="5.140625" style="322" customWidth="1"/>
    <col min="3842" max="3842" width="9.7109375" style="322" customWidth="1"/>
    <col min="3843" max="3843" width="12.7109375" style="322" customWidth="1"/>
    <col min="3844" max="3844" width="5.140625" style="322" customWidth="1"/>
    <col min="3845" max="3845" width="9.7109375" style="322" customWidth="1"/>
    <col min="3846" max="3846" width="12.7109375" style="322" customWidth="1"/>
    <col min="3847" max="3847" width="5.140625" style="322" customWidth="1"/>
    <col min="3848" max="3848" width="9.7109375" style="322" customWidth="1"/>
    <col min="3849" max="3849" width="12.7109375" style="322" customWidth="1"/>
    <col min="3850" max="3850" width="5.140625" style="322" customWidth="1"/>
    <col min="3851" max="3851" width="9.7109375" style="322" customWidth="1"/>
    <col min="3852" max="3852" width="12.7109375" style="322" customWidth="1"/>
    <col min="3853" max="3853" width="5.140625" style="322" customWidth="1"/>
    <col min="3854" max="3854" width="9.7109375" style="322" customWidth="1"/>
    <col min="3855" max="3855" width="12.7109375" style="322" customWidth="1"/>
    <col min="3856" max="3856" width="5.140625" style="322" customWidth="1"/>
    <col min="3857" max="3857" width="9.7109375" style="322" customWidth="1"/>
    <col min="3858" max="3858" width="12.7109375" style="322" customWidth="1"/>
    <col min="3859" max="3859" width="5.140625" style="322" customWidth="1"/>
    <col min="3860" max="3860" width="9.7109375" style="322" customWidth="1"/>
    <col min="3861" max="3861" width="12.7109375" style="322" customWidth="1"/>
    <col min="3862" max="3862" width="5.140625" style="322" customWidth="1"/>
    <col min="3863" max="3863" width="9.7109375" style="322" customWidth="1"/>
    <col min="3864" max="3864" width="12.7109375" style="322" customWidth="1"/>
    <col min="3865" max="3865" width="5.140625" style="322" customWidth="1"/>
    <col min="3866" max="3866" width="9.7109375" style="322" customWidth="1"/>
    <col min="3867" max="3867" width="12.7109375" style="322" customWidth="1"/>
    <col min="3868" max="3868" width="5.140625" style="322" customWidth="1"/>
    <col min="3869" max="3869" width="9.7109375" style="322" customWidth="1"/>
    <col min="3870" max="3870" width="12.7109375" style="322" customWidth="1"/>
    <col min="3871" max="3871" width="5.140625" style="322" customWidth="1"/>
    <col min="3872" max="3872" width="9.7109375" style="322" customWidth="1"/>
    <col min="3873" max="3873" width="12.7109375" style="322" customWidth="1"/>
    <col min="3874" max="3874" width="37.7109375" style="322" customWidth="1"/>
    <col min="3875" max="4077" width="9.140625" style="322"/>
    <col min="4078" max="4078" width="1.7109375" style="322" customWidth="1"/>
    <col min="4079" max="4079" width="3.5703125" style="322" customWidth="1"/>
    <col min="4080" max="4080" width="11" style="322" customWidth="1"/>
    <col min="4081" max="4081" width="20.7109375" style="322" customWidth="1"/>
    <col min="4082" max="4083" width="11.7109375" style="322" customWidth="1"/>
    <col min="4084" max="4084" width="9.7109375" style="322" customWidth="1"/>
    <col min="4085" max="4085" width="10.140625" style="322" bestFit="1" customWidth="1"/>
    <col min="4086" max="4087" width="7.7109375" style="322" customWidth="1"/>
    <col min="4088" max="4088" width="4" style="322" customWidth="1"/>
    <col min="4089" max="4089" width="9.7109375" style="322" customWidth="1"/>
    <col min="4090" max="4090" width="15.140625" style="322" customWidth="1"/>
    <col min="4091" max="4091" width="5.140625" style="322" customWidth="1"/>
    <col min="4092" max="4092" width="9.7109375" style="322" customWidth="1"/>
    <col min="4093" max="4093" width="13.7109375" style="322" customWidth="1"/>
    <col min="4094" max="4094" width="5.140625" style="322" customWidth="1"/>
    <col min="4095" max="4095" width="9.7109375" style="322" customWidth="1"/>
    <col min="4096" max="4096" width="12.5703125" style="322" customWidth="1"/>
    <col min="4097" max="4097" width="5.140625" style="322" customWidth="1"/>
    <col min="4098" max="4098" width="9.7109375" style="322" customWidth="1"/>
    <col min="4099" max="4099" width="12.7109375" style="322" customWidth="1"/>
    <col min="4100" max="4100" width="5.140625" style="322" customWidth="1"/>
    <col min="4101" max="4101" width="9.7109375" style="322" customWidth="1"/>
    <col min="4102" max="4102" width="12.7109375" style="322" customWidth="1"/>
    <col min="4103" max="4103" width="5.140625" style="322" customWidth="1"/>
    <col min="4104" max="4104" width="9.7109375" style="322" customWidth="1"/>
    <col min="4105" max="4105" width="12.7109375" style="322" customWidth="1"/>
    <col min="4106" max="4106" width="5.140625" style="322" customWidth="1"/>
    <col min="4107" max="4107" width="9.7109375" style="322" customWidth="1"/>
    <col min="4108" max="4108" width="12.7109375" style="322" customWidth="1"/>
    <col min="4109" max="4109" width="5.140625" style="322" customWidth="1"/>
    <col min="4110" max="4110" width="9.7109375" style="322" customWidth="1"/>
    <col min="4111" max="4111" width="12.7109375" style="322" customWidth="1"/>
    <col min="4112" max="4112" width="5.140625" style="322" customWidth="1"/>
    <col min="4113" max="4113" width="9.7109375" style="322" customWidth="1"/>
    <col min="4114" max="4114" width="12.7109375" style="322" customWidth="1"/>
    <col min="4115" max="4115" width="5.140625" style="322" customWidth="1"/>
    <col min="4116" max="4116" width="9.7109375" style="322" customWidth="1"/>
    <col min="4117" max="4117" width="12.7109375" style="322" customWidth="1"/>
    <col min="4118" max="4118" width="5.140625" style="322" customWidth="1"/>
    <col min="4119" max="4119" width="9.7109375" style="322" customWidth="1"/>
    <col min="4120" max="4120" width="12.7109375" style="322" customWidth="1"/>
    <col min="4121" max="4121" width="5.140625" style="322" customWidth="1"/>
    <col min="4122" max="4122" width="9.7109375" style="322" customWidth="1"/>
    <col min="4123" max="4123" width="12.7109375" style="322" customWidth="1"/>
    <col min="4124" max="4124" width="5.140625" style="322" customWidth="1"/>
    <col min="4125" max="4125" width="9.7109375" style="322" customWidth="1"/>
    <col min="4126" max="4126" width="12.7109375" style="322" customWidth="1"/>
    <col min="4127" max="4127" width="5.140625" style="322" customWidth="1"/>
    <col min="4128" max="4128" width="9.7109375" style="322" customWidth="1"/>
    <col min="4129" max="4129" width="12.7109375" style="322" customWidth="1"/>
    <col min="4130" max="4130" width="37.7109375" style="322" customWidth="1"/>
    <col min="4131" max="4333" width="9.140625" style="322"/>
    <col min="4334" max="4334" width="1.7109375" style="322" customWidth="1"/>
    <col min="4335" max="4335" width="3.5703125" style="322" customWidth="1"/>
    <col min="4336" max="4336" width="11" style="322" customWidth="1"/>
    <col min="4337" max="4337" width="20.7109375" style="322" customWidth="1"/>
    <col min="4338" max="4339" width="11.7109375" style="322" customWidth="1"/>
    <col min="4340" max="4340" width="9.7109375" style="322" customWidth="1"/>
    <col min="4341" max="4341" width="10.140625" style="322" bestFit="1" customWidth="1"/>
    <col min="4342" max="4343" width="7.7109375" style="322" customWidth="1"/>
    <col min="4344" max="4344" width="4" style="322" customWidth="1"/>
    <col min="4345" max="4345" width="9.7109375" style="322" customWidth="1"/>
    <col min="4346" max="4346" width="15.140625" style="322" customWidth="1"/>
    <col min="4347" max="4347" width="5.140625" style="322" customWidth="1"/>
    <col min="4348" max="4348" width="9.7109375" style="322" customWidth="1"/>
    <col min="4349" max="4349" width="13.7109375" style="322" customWidth="1"/>
    <col min="4350" max="4350" width="5.140625" style="322" customWidth="1"/>
    <col min="4351" max="4351" width="9.7109375" style="322" customWidth="1"/>
    <col min="4352" max="4352" width="12.5703125" style="322" customWidth="1"/>
    <col min="4353" max="4353" width="5.140625" style="322" customWidth="1"/>
    <col min="4354" max="4354" width="9.7109375" style="322" customWidth="1"/>
    <col min="4355" max="4355" width="12.7109375" style="322" customWidth="1"/>
    <col min="4356" max="4356" width="5.140625" style="322" customWidth="1"/>
    <col min="4357" max="4357" width="9.7109375" style="322" customWidth="1"/>
    <col min="4358" max="4358" width="12.7109375" style="322" customWidth="1"/>
    <col min="4359" max="4359" width="5.140625" style="322" customWidth="1"/>
    <col min="4360" max="4360" width="9.7109375" style="322" customWidth="1"/>
    <col min="4361" max="4361" width="12.7109375" style="322" customWidth="1"/>
    <col min="4362" max="4362" width="5.140625" style="322" customWidth="1"/>
    <col min="4363" max="4363" width="9.7109375" style="322" customWidth="1"/>
    <col min="4364" max="4364" width="12.7109375" style="322" customWidth="1"/>
    <col min="4365" max="4365" width="5.140625" style="322" customWidth="1"/>
    <col min="4366" max="4366" width="9.7109375" style="322" customWidth="1"/>
    <col min="4367" max="4367" width="12.7109375" style="322" customWidth="1"/>
    <col min="4368" max="4368" width="5.140625" style="322" customWidth="1"/>
    <col min="4369" max="4369" width="9.7109375" style="322" customWidth="1"/>
    <col min="4370" max="4370" width="12.7109375" style="322" customWidth="1"/>
    <col min="4371" max="4371" width="5.140625" style="322" customWidth="1"/>
    <col min="4372" max="4372" width="9.7109375" style="322" customWidth="1"/>
    <col min="4373" max="4373" width="12.7109375" style="322" customWidth="1"/>
    <col min="4374" max="4374" width="5.140625" style="322" customWidth="1"/>
    <col min="4375" max="4375" width="9.7109375" style="322" customWidth="1"/>
    <col min="4376" max="4376" width="12.7109375" style="322" customWidth="1"/>
    <col min="4377" max="4377" width="5.140625" style="322" customWidth="1"/>
    <col min="4378" max="4378" width="9.7109375" style="322" customWidth="1"/>
    <col min="4379" max="4379" width="12.7109375" style="322" customWidth="1"/>
    <col min="4380" max="4380" width="5.140625" style="322" customWidth="1"/>
    <col min="4381" max="4381" width="9.7109375" style="322" customWidth="1"/>
    <col min="4382" max="4382" width="12.7109375" style="322" customWidth="1"/>
    <col min="4383" max="4383" width="5.140625" style="322" customWidth="1"/>
    <col min="4384" max="4384" width="9.7109375" style="322" customWidth="1"/>
    <col min="4385" max="4385" width="12.7109375" style="322" customWidth="1"/>
    <col min="4386" max="4386" width="37.7109375" style="322" customWidth="1"/>
    <col min="4387" max="4589" width="9.140625" style="322"/>
    <col min="4590" max="4590" width="1.7109375" style="322" customWidth="1"/>
    <col min="4591" max="4591" width="3.5703125" style="322" customWidth="1"/>
    <col min="4592" max="4592" width="11" style="322" customWidth="1"/>
    <col min="4593" max="4593" width="20.7109375" style="322" customWidth="1"/>
    <col min="4594" max="4595" width="11.7109375" style="322" customWidth="1"/>
    <col min="4596" max="4596" width="9.7109375" style="322" customWidth="1"/>
    <col min="4597" max="4597" width="10.140625" style="322" bestFit="1" customWidth="1"/>
    <col min="4598" max="4599" width="7.7109375" style="322" customWidth="1"/>
    <col min="4600" max="4600" width="4" style="322" customWidth="1"/>
    <col min="4601" max="4601" width="9.7109375" style="322" customWidth="1"/>
    <col min="4602" max="4602" width="15.140625" style="322" customWidth="1"/>
    <col min="4603" max="4603" width="5.140625" style="322" customWidth="1"/>
    <col min="4604" max="4604" width="9.7109375" style="322" customWidth="1"/>
    <col min="4605" max="4605" width="13.7109375" style="322" customWidth="1"/>
    <col min="4606" max="4606" width="5.140625" style="322" customWidth="1"/>
    <col min="4607" max="4607" width="9.7109375" style="322" customWidth="1"/>
    <col min="4608" max="4608" width="12.5703125" style="322" customWidth="1"/>
    <col min="4609" max="4609" width="5.140625" style="322" customWidth="1"/>
    <col min="4610" max="4610" width="9.7109375" style="322" customWidth="1"/>
    <col min="4611" max="4611" width="12.7109375" style="322" customWidth="1"/>
    <col min="4612" max="4612" width="5.140625" style="322" customWidth="1"/>
    <col min="4613" max="4613" width="9.7109375" style="322" customWidth="1"/>
    <col min="4614" max="4614" width="12.7109375" style="322" customWidth="1"/>
    <col min="4615" max="4615" width="5.140625" style="322" customWidth="1"/>
    <col min="4616" max="4616" width="9.7109375" style="322" customWidth="1"/>
    <col min="4617" max="4617" width="12.7109375" style="322" customWidth="1"/>
    <col min="4618" max="4618" width="5.140625" style="322" customWidth="1"/>
    <col min="4619" max="4619" width="9.7109375" style="322" customWidth="1"/>
    <col min="4620" max="4620" width="12.7109375" style="322" customWidth="1"/>
    <col min="4621" max="4621" width="5.140625" style="322" customWidth="1"/>
    <col min="4622" max="4622" width="9.7109375" style="322" customWidth="1"/>
    <col min="4623" max="4623" width="12.7109375" style="322" customWidth="1"/>
    <col min="4624" max="4624" width="5.140625" style="322" customWidth="1"/>
    <col min="4625" max="4625" width="9.7109375" style="322" customWidth="1"/>
    <col min="4626" max="4626" width="12.7109375" style="322" customWidth="1"/>
    <col min="4627" max="4627" width="5.140625" style="322" customWidth="1"/>
    <col min="4628" max="4628" width="9.7109375" style="322" customWidth="1"/>
    <col min="4629" max="4629" width="12.7109375" style="322" customWidth="1"/>
    <col min="4630" max="4630" width="5.140625" style="322" customWidth="1"/>
    <col min="4631" max="4631" width="9.7109375" style="322" customWidth="1"/>
    <col min="4632" max="4632" width="12.7109375" style="322" customWidth="1"/>
    <col min="4633" max="4633" width="5.140625" style="322" customWidth="1"/>
    <col min="4634" max="4634" width="9.7109375" style="322" customWidth="1"/>
    <col min="4635" max="4635" width="12.7109375" style="322" customWidth="1"/>
    <col min="4636" max="4636" width="5.140625" style="322" customWidth="1"/>
    <col min="4637" max="4637" width="9.7109375" style="322" customWidth="1"/>
    <col min="4638" max="4638" width="12.7109375" style="322" customWidth="1"/>
    <col min="4639" max="4639" width="5.140625" style="322" customWidth="1"/>
    <col min="4640" max="4640" width="9.7109375" style="322" customWidth="1"/>
    <col min="4641" max="4641" width="12.7109375" style="322" customWidth="1"/>
    <col min="4642" max="4642" width="37.7109375" style="322" customWidth="1"/>
    <col min="4643" max="4845" width="9.140625" style="322"/>
    <col min="4846" max="4846" width="1.7109375" style="322" customWidth="1"/>
    <col min="4847" max="4847" width="3.5703125" style="322" customWidth="1"/>
    <col min="4848" max="4848" width="11" style="322" customWidth="1"/>
    <col min="4849" max="4849" width="20.7109375" style="322" customWidth="1"/>
    <col min="4850" max="4851" width="11.7109375" style="322" customWidth="1"/>
    <col min="4852" max="4852" width="9.7109375" style="322" customWidth="1"/>
    <col min="4853" max="4853" width="10.140625" style="322" bestFit="1" customWidth="1"/>
    <col min="4854" max="4855" width="7.7109375" style="322" customWidth="1"/>
    <col min="4856" max="4856" width="4" style="322" customWidth="1"/>
    <col min="4857" max="4857" width="9.7109375" style="322" customWidth="1"/>
    <col min="4858" max="4858" width="15.140625" style="322" customWidth="1"/>
    <col min="4859" max="4859" width="5.140625" style="322" customWidth="1"/>
    <col min="4860" max="4860" width="9.7109375" style="322" customWidth="1"/>
    <col min="4861" max="4861" width="13.7109375" style="322" customWidth="1"/>
    <col min="4862" max="4862" width="5.140625" style="322" customWidth="1"/>
    <col min="4863" max="4863" width="9.7109375" style="322" customWidth="1"/>
    <col min="4864" max="4864" width="12.5703125" style="322" customWidth="1"/>
    <col min="4865" max="4865" width="5.140625" style="322" customWidth="1"/>
    <col min="4866" max="4866" width="9.7109375" style="322" customWidth="1"/>
    <col min="4867" max="4867" width="12.7109375" style="322" customWidth="1"/>
    <col min="4868" max="4868" width="5.140625" style="322" customWidth="1"/>
    <col min="4869" max="4869" width="9.7109375" style="322" customWidth="1"/>
    <col min="4870" max="4870" width="12.7109375" style="322" customWidth="1"/>
    <col min="4871" max="4871" width="5.140625" style="322" customWidth="1"/>
    <col min="4872" max="4872" width="9.7109375" style="322" customWidth="1"/>
    <col min="4873" max="4873" width="12.7109375" style="322" customWidth="1"/>
    <col min="4874" max="4874" width="5.140625" style="322" customWidth="1"/>
    <col min="4875" max="4875" width="9.7109375" style="322" customWidth="1"/>
    <col min="4876" max="4876" width="12.7109375" style="322" customWidth="1"/>
    <col min="4877" max="4877" width="5.140625" style="322" customWidth="1"/>
    <col min="4878" max="4878" width="9.7109375" style="322" customWidth="1"/>
    <col min="4879" max="4879" width="12.7109375" style="322" customWidth="1"/>
    <col min="4880" max="4880" width="5.140625" style="322" customWidth="1"/>
    <col min="4881" max="4881" width="9.7109375" style="322" customWidth="1"/>
    <col min="4882" max="4882" width="12.7109375" style="322" customWidth="1"/>
    <col min="4883" max="4883" width="5.140625" style="322" customWidth="1"/>
    <col min="4884" max="4884" width="9.7109375" style="322" customWidth="1"/>
    <col min="4885" max="4885" width="12.7109375" style="322" customWidth="1"/>
    <col min="4886" max="4886" width="5.140625" style="322" customWidth="1"/>
    <col min="4887" max="4887" width="9.7109375" style="322" customWidth="1"/>
    <col min="4888" max="4888" width="12.7109375" style="322" customWidth="1"/>
    <col min="4889" max="4889" width="5.140625" style="322" customWidth="1"/>
    <col min="4890" max="4890" width="9.7109375" style="322" customWidth="1"/>
    <col min="4891" max="4891" width="12.7109375" style="322" customWidth="1"/>
    <col min="4892" max="4892" width="5.140625" style="322" customWidth="1"/>
    <col min="4893" max="4893" width="9.7109375" style="322" customWidth="1"/>
    <col min="4894" max="4894" width="12.7109375" style="322" customWidth="1"/>
    <col min="4895" max="4895" width="5.140625" style="322" customWidth="1"/>
    <col min="4896" max="4896" width="9.7109375" style="322" customWidth="1"/>
    <col min="4897" max="4897" width="12.7109375" style="322" customWidth="1"/>
    <col min="4898" max="4898" width="37.7109375" style="322" customWidth="1"/>
    <col min="4899" max="5101" width="9.140625" style="322"/>
    <col min="5102" max="5102" width="1.7109375" style="322" customWidth="1"/>
    <col min="5103" max="5103" width="3.5703125" style="322" customWidth="1"/>
    <col min="5104" max="5104" width="11" style="322" customWidth="1"/>
    <col min="5105" max="5105" width="20.7109375" style="322" customWidth="1"/>
    <col min="5106" max="5107" width="11.7109375" style="322" customWidth="1"/>
    <col min="5108" max="5108" width="9.7109375" style="322" customWidth="1"/>
    <col min="5109" max="5109" width="10.140625" style="322" bestFit="1" customWidth="1"/>
    <col min="5110" max="5111" width="7.7109375" style="322" customWidth="1"/>
    <col min="5112" max="5112" width="4" style="322" customWidth="1"/>
    <col min="5113" max="5113" width="9.7109375" style="322" customWidth="1"/>
    <col min="5114" max="5114" width="15.140625" style="322" customWidth="1"/>
    <col min="5115" max="5115" width="5.140625" style="322" customWidth="1"/>
    <col min="5116" max="5116" width="9.7109375" style="322" customWidth="1"/>
    <col min="5117" max="5117" width="13.7109375" style="322" customWidth="1"/>
    <col min="5118" max="5118" width="5.140625" style="322" customWidth="1"/>
    <col min="5119" max="5119" width="9.7109375" style="322" customWidth="1"/>
    <col min="5120" max="5120" width="12.5703125" style="322" customWidth="1"/>
    <col min="5121" max="5121" width="5.140625" style="322" customWidth="1"/>
    <col min="5122" max="5122" width="9.7109375" style="322" customWidth="1"/>
    <col min="5123" max="5123" width="12.7109375" style="322" customWidth="1"/>
    <col min="5124" max="5124" width="5.140625" style="322" customWidth="1"/>
    <col min="5125" max="5125" width="9.7109375" style="322" customWidth="1"/>
    <col min="5126" max="5126" width="12.7109375" style="322" customWidth="1"/>
    <col min="5127" max="5127" width="5.140625" style="322" customWidth="1"/>
    <col min="5128" max="5128" width="9.7109375" style="322" customWidth="1"/>
    <col min="5129" max="5129" width="12.7109375" style="322" customWidth="1"/>
    <col min="5130" max="5130" width="5.140625" style="322" customWidth="1"/>
    <col min="5131" max="5131" width="9.7109375" style="322" customWidth="1"/>
    <col min="5132" max="5132" width="12.7109375" style="322" customWidth="1"/>
    <col min="5133" max="5133" width="5.140625" style="322" customWidth="1"/>
    <col min="5134" max="5134" width="9.7109375" style="322" customWidth="1"/>
    <col min="5135" max="5135" width="12.7109375" style="322" customWidth="1"/>
    <col min="5136" max="5136" width="5.140625" style="322" customWidth="1"/>
    <col min="5137" max="5137" width="9.7109375" style="322" customWidth="1"/>
    <col min="5138" max="5138" width="12.7109375" style="322" customWidth="1"/>
    <col min="5139" max="5139" width="5.140625" style="322" customWidth="1"/>
    <col min="5140" max="5140" width="9.7109375" style="322" customWidth="1"/>
    <col min="5141" max="5141" width="12.7109375" style="322" customWidth="1"/>
    <col min="5142" max="5142" width="5.140625" style="322" customWidth="1"/>
    <col min="5143" max="5143" width="9.7109375" style="322" customWidth="1"/>
    <col min="5144" max="5144" width="12.7109375" style="322" customWidth="1"/>
    <col min="5145" max="5145" width="5.140625" style="322" customWidth="1"/>
    <col min="5146" max="5146" width="9.7109375" style="322" customWidth="1"/>
    <col min="5147" max="5147" width="12.7109375" style="322" customWidth="1"/>
    <col min="5148" max="5148" width="5.140625" style="322" customWidth="1"/>
    <col min="5149" max="5149" width="9.7109375" style="322" customWidth="1"/>
    <col min="5150" max="5150" width="12.7109375" style="322" customWidth="1"/>
    <col min="5151" max="5151" width="5.140625" style="322" customWidth="1"/>
    <col min="5152" max="5152" width="9.7109375" style="322" customWidth="1"/>
    <col min="5153" max="5153" width="12.7109375" style="322" customWidth="1"/>
    <col min="5154" max="5154" width="37.7109375" style="322" customWidth="1"/>
    <col min="5155" max="5357" width="9.140625" style="322"/>
    <col min="5358" max="5358" width="1.7109375" style="322" customWidth="1"/>
    <col min="5359" max="5359" width="3.5703125" style="322" customWidth="1"/>
    <col min="5360" max="5360" width="11" style="322" customWidth="1"/>
    <col min="5361" max="5361" width="20.7109375" style="322" customWidth="1"/>
    <col min="5362" max="5363" width="11.7109375" style="322" customWidth="1"/>
    <col min="5364" max="5364" width="9.7109375" style="322" customWidth="1"/>
    <col min="5365" max="5365" width="10.140625" style="322" bestFit="1" customWidth="1"/>
    <col min="5366" max="5367" width="7.7109375" style="322" customWidth="1"/>
    <col min="5368" max="5368" width="4" style="322" customWidth="1"/>
    <col min="5369" max="5369" width="9.7109375" style="322" customWidth="1"/>
    <col min="5370" max="5370" width="15.140625" style="322" customWidth="1"/>
    <col min="5371" max="5371" width="5.140625" style="322" customWidth="1"/>
    <col min="5372" max="5372" width="9.7109375" style="322" customWidth="1"/>
    <col min="5373" max="5373" width="13.7109375" style="322" customWidth="1"/>
    <col min="5374" max="5374" width="5.140625" style="322" customWidth="1"/>
    <col min="5375" max="5375" width="9.7109375" style="322" customWidth="1"/>
    <col min="5376" max="5376" width="12.5703125" style="322" customWidth="1"/>
    <col min="5377" max="5377" width="5.140625" style="322" customWidth="1"/>
    <col min="5378" max="5378" width="9.7109375" style="322" customWidth="1"/>
    <col min="5379" max="5379" width="12.7109375" style="322" customWidth="1"/>
    <col min="5380" max="5380" width="5.140625" style="322" customWidth="1"/>
    <col min="5381" max="5381" width="9.7109375" style="322" customWidth="1"/>
    <col min="5382" max="5382" width="12.7109375" style="322" customWidth="1"/>
    <col min="5383" max="5383" width="5.140625" style="322" customWidth="1"/>
    <col min="5384" max="5384" width="9.7109375" style="322" customWidth="1"/>
    <col min="5385" max="5385" width="12.7109375" style="322" customWidth="1"/>
    <col min="5386" max="5386" width="5.140625" style="322" customWidth="1"/>
    <col min="5387" max="5387" width="9.7109375" style="322" customWidth="1"/>
    <col min="5388" max="5388" width="12.7109375" style="322" customWidth="1"/>
    <col min="5389" max="5389" width="5.140625" style="322" customWidth="1"/>
    <col min="5390" max="5390" width="9.7109375" style="322" customWidth="1"/>
    <col min="5391" max="5391" width="12.7109375" style="322" customWidth="1"/>
    <col min="5392" max="5392" width="5.140625" style="322" customWidth="1"/>
    <col min="5393" max="5393" width="9.7109375" style="322" customWidth="1"/>
    <col min="5394" max="5394" width="12.7109375" style="322" customWidth="1"/>
    <col min="5395" max="5395" width="5.140625" style="322" customWidth="1"/>
    <col min="5396" max="5396" width="9.7109375" style="322" customWidth="1"/>
    <col min="5397" max="5397" width="12.7109375" style="322" customWidth="1"/>
    <col min="5398" max="5398" width="5.140625" style="322" customWidth="1"/>
    <col min="5399" max="5399" width="9.7109375" style="322" customWidth="1"/>
    <col min="5400" max="5400" width="12.7109375" style="322" customWidth="1"/>
    <col min="5401" max="5401" width="5.140625" style="322" customWidth="1"/>
    <col min="5402" max="5402" width="9.7109375" style="322" customWidth="1"/>
    <col min="5403" max="5403" width="12.7109375" style="322" customWidth="1"/>
    <col min="5404" max="5404" width="5.140625" style="322" customWidth="1"/>
    <col min="5405" max="5405" width="9.7109375" style="322" customWidth="1"/>
    <col min="5406" max="5406" width="12.7109375" style="322" customWidth="1"/>
    <col min="5407" max="5407" width="5.140625" style="322" customWidth="1"/>
    <col min="5408" max="5408" width="9.7109375" style="322" customWidth="1"/>
    <col min="5409" max="5409" width="12.7109375" style="322" customWidth="1"/>
    <col min="5410" max="5410" width="37.7109375" style="322" customWidth="1"/>
    <col min="5411" max="5613" width="9.140625" style="322"/>
    <col min="5614" max="5614" width="1.7109375" style="322" customWidth="1"/>
    <col min="5615" max="5615" width="3.5703125" style="322" customWidth="1"/>
    <col min="5616" max="5616" width="11" style="322" customWidth="1"/>
    <col min="5617" max="5617" width="20.7109375" style="322" customWidth="1"/>
    <col min="5618" max="5619" width="11.7109375" style="322" customWidth="1"/>
    <col min="5620" max="5620" width="9.7109375" style="322" customWidth="1"/>
    <col min="5621" max="5621" width="10.140625" style="322" bestFit="1" customWidth="1"/>
    <col min="5622" max="5623" width="7.7109375" style="322" customWidth="1"/>
    <col min="5624" max="5624" width="4" style="322" customWidth="1"/>
    <col min="5625" max="5625" width="9.7109375" style="322" customWidth="1"/>
    <col min="5626" max="5626" width="15.140625" style="322" customWidth="1"/>
    <col min="5627" max="5627" width="5.140625" style="322" customWidth="1"/>
    <col min="5628" max="5628" width="9.7109375" style="322" customWidth="1"/>
    <col min="5629" max="5629" width="13.7109375" style="322" customWidth="1"/>
    <col min="5630" max="5630" width="5.140625" style="322" customWidth="1"/>
    <col min="5631" max="5631" width="9.7109375" style="322" customWidth="1"/>
    <col min="5632" max="5632" width="12.5703125" style="322" customWidth="1"/>
    <col min="5633" max="5633" width="5.140625" style="322" customWidth="1"/>
    <col min="5634" max="5634" width="9.7109375" style="322" customWidth="1"/>
    <col min="5635" max="5635" width="12.7109375" style="322" customWidth="1"/>
    <col min="5636" max="5636" width="5.140625" style="322" customWidth="1"/>
    <col min="5637" max="5637" width="9.7109375" style="322" customWidth="1"/>
    <col min="5638" max="5638" width="12.7109375" style="322" customWidth="1"/>
    <col min="5639" max="5639" width="5.140625" style="322" customWidth="1"/>
    <col min="5640" max="5640" width="9.7109375" style="322" customWidth="1"/>
    <col min="5641" max="5641" width="12.7109375" style="322" customWidth="1"/>
    <col min="5642" max="5642" width="5.140625" style="322" customWidth="1"/>
    <col min="5643" max="5643" width="9.7109375" style="322" customWidth="1"/>
    <col min="5644" max="5644" width="12.7109375" style="322" customWidth="1"/>
    <col min="5645" max="5645" width="5.140625" style="322" customWidth="1"/>
    <col min="5646" max="5646" width="9.7109375" style="322" customWidth="1"/>
    <col min="5647" max="5647" width="12.7109375" style="322" customWidth="1"/>
    <col min="5648" max="5648" width="5.140625" style="322" customWidth="1"/>
    <col min="5649" max="5649" width="9.7109375" style="322" customWidth="1"/>
    <col min="5650" max="5650" width="12.7109375" style="322" customWidth="1"/>
    <col min="5651" max="5651" width="5.140625" style="322" customWidth="1"/>
    <col min="5652" max="5652" width="9.7109375" style="322" customWidth="1"/>
    <col min="5653" max="5653" width="12.7109375" style="322" customWidth="1"/>
    <col min="5654" max="5654" width="5.140625" style="322" customWidth="1"/>
    <col min="5655" max="5655" width="9.7109375" style="322" customWidth="1"/>
    <col min="5656" max="5656" width="12.7109375" style="322" customWidth="1"/>
    <col min="5657" max="5657" width="5.140625" style="322" customWidth="1"/>
    <col min="5658" max="5658" width="9.7109375" style="322" customWidth="1"/>
    <col min="5659" max="5659" width="12.7109375" style="322" customWidth="1"/>
    <col min="5660" max="5660" width="5.140625" style="322" customWidth="1"/>
    <col min="5661" max="5661" width="9.7109375" style="322" customWidth="1"/>
    <col min="5662" max="5662" width="12.7109375" style="322" customWidth="1"/>
    <col min="5663" max="5663" width="5.140625" style="322" customWidth="1"/>
    <col min="5664" max="5664" width="9.7109375" style="322" customWidth="1"/>
    <col min="5665" max="5665" width="12.7109375" style="322" customWidth="1"/>
    <col min="5666" max="5666" width="37.7109375" style="322" customWidth="1"/>
    <col min="5667" max="5869" width="9.140625" style="322"/>
    <col min="5870" max="5870" width="1.7109375" style="322" customWidth="1"/>
    <col min="5871" max="5871" width="3.5703125" style="322" customWidth="1"/>
    <col min="5872" max="5872" width="11" style="322" customWidth="1"/>
    <col min="5873" max="5873" width="20.7109375" style="322" customWidth="1"/>
    <col min="5874" max="5875" width="11.7109375" style="322" customWidth="1"/>
    <col min="5876" max="5876" width="9.7109375" style="322" customWidth="1"/>
    <col min="5877" max="5877" width="10.140625" style="322" bestFit="1" customWidth="1"/>
    <col min="5878" max="5879" width="7.7109375" style="322" customWidth="1"/>
    <col min="5880" max="5880" width="4" style="322" customWidth="1"/>
    <col min="5881" max="5881" width="9.7109375" style="322" customWidth="1"/>
    <col min="5882" max="5882" width="15.140625" style="322" customWidth="1"/>
    <col min="5883" max="5883" width="5.140625" style="322" customWidth="1"/>
    <col min="5884" max="5884" width="9.7109375" style="322" customWidth="1"/>
    <col min="5885" max="5885" width="13.7109375" style="322" customWidth="1"/>
    <col min="5886" max="5886" width="5.140625" style="322" customWidth="1"/>
    <col min="5887" max="5887" width="9.7109375" style="322" customWidth="1"/>
    <col min="5888" max="5888" width="12.5703125" style="322" customWidth="1"/>
    <col min="5889" max="5889" width="5.140625" style="322" customWidth="1"/>
    <col min="5890" max="5890" width="9.7109375" style="322" customWidth="1"/>
    <col min="5891" max="5891" width="12.7109375" style="322" customWidth="1"/>
    <col min="5892" max="5892" width="5.140625" style="322" customWidth="1"/>
    <col min="5893" max="5893" width="9.7109375" style="322" customWidth="1"/>
    <col min="5894" max="5894" width="12.7109375" style="322" customWidth="1"/>
    <col min="5895" max="5895" width="5.140625" style="322" customWidth="1"/>
    <col min="5896" max="5896" width="9.7109375" style="322" customWidth="1"/>
    <col min="5897" max="5897" width="12.7109375" style="322" customWidth="1"/>
    <col min="5898" max="5898" width="5.140625" style="322" customWidth="1"/>
    <col min="5899" max="5899" width="9.7109375" style="322" customWidth="1"/>
    <col min="5900" max="5900" width="12.7109375" style="322" customWidth="1"/>
    <col min="5901" max="5901" width="5.140625" style="322" customWidth="1"/>
    <col min="5902" max="5902" width="9.7109375" style="322" customWidth="1"/>
    <col min="5903" max="5903" width="12.7109375" style="322" customWidth="1"/>
    <col min="5904" max="5904" width="5.140625" style="322" customWidth="1"/>
    <col min="5905" max="5905" width="9.7109375" style="322" customWidth="1"/>
    <col min="5906" max="5906" width="12.7109375" style="322" customWidth="1"/>
    <col min="5907" max="5907" width="5.140625" style="322" customWidth="1"/>
    <col min="5908" max="5908" width="9.7109375" style="322" customWidth="1"/>
    <col min="5909" max="5909" width="12.7109375" style="322" customWidth="1"/>
    <col min="5910" max="5910" width="5.140625" style="322" customWidth="1"/>
    <col min="5911" max="5911" width="9.7109375" style="322" customWidth="1"/>
    <col min="5912" max="5912" width="12.7109375" style="322" customWidth="1"/>
    <col min="5913" max="5913" width="5.140625" style="322" customWidth="1"/>
    <col min="5914" max="5914" width="9.7109375" style="322" customWidth="1"/>
    <col min="5915" max="5915" width="12.7109375" style="322" customWidth="1"/>
    <col min="5916" max="5916" width="5.140625" style="322" customWidth="1"/>
    <col min="5917" max="5917" width="9.7109375" style="322" customWidth="1"/>
    <col min="5918" max="5918" width="12.7109375" style="322" customWidth="1"/>
    <col min="5919" max="5919" width="5.140625" style="322" customWidth="1"/>
    <col min="5920" max="5920" width="9.7109375" style="322" customWidth="1"/>
    <col min="5921" max="5921" width="12.7109375" style="322" customWidth="1"/>
    <col min="5922" max="5922" width="37.7109375" style="322" customWidth="1"/>
    <col min="5923" max="6125" width="9.140625" style="322"/>
    <col min="6126" max="6126" width="1.7109375" style="322" customWidth="1"/>
    <col min="6127" max="6127" width="3.5703125" style="322" customWidth="1"/>
    <col min="6128" max="6128" width="11" style="322" customWidth="1"/>
    <col min="6129" max="6129" width="20.7109375" style="322" customWidth="1"/>
    <col min="6130" max="6131" width="11.7109375" style="322" customWidth="1"/>
    <col min="6132" max="6132" width="9.7109375" style="322" customWidth="1"/>
    <col min="6133" max="6133" width="10.140625" style="322" bestFit="1" customWidth="1"/>
    <col min="6134" max="6135" width="7.7109375" style="322" customWidth="1"/>
    <col min="6136" max="6136" width="4" style="322" customWidth="1"/>
    <col min="6137" max="6137" width="9.7109375" style="322" customWidth="1"/>
    <col min="6138" max="6138" width="15.140625" style="322" customWidth="1"/>
    <col min="6139" max="6139" width="5.140625" style="322" customWidth="1"/>
    <col min="6140" max="6140" width="9.7109375" style="322" customWidth="1"/>
    <col min="6141" max="6141" width="13.7109375" style="322" customWidth="1"/>
    <col min="6142" max="6142" width="5.140625" style="322" customWidth="1"/>
    <col min="6143" max="6143" width="9.7109375" style="322" customWidth="1"/>
    <col min="6144" max="6144" width="12.5703125" style="322" customWidth="1"/>
    <col min="6145" max="6145" width="5.140625" style="322" customWidth="1"/>
    <col min="6146" max="6146" width="9.7109375" style="322" customWidth="1"/>
    <col min="6147" max="6147" width="12.7109375" style="322" customWidth="1"/>
    <col min="6148" max="6148" width="5.140625" style="322" customWidth="1"/>
    <col min="6149" max="6149" width="9.7109375" style="322" customWidth="1"/>
    <col min="6150" max="6150" width="12.7109375" style="322" customWidth="1"/>
    <col min="6151" max="6151" width="5.140625" style="322" customWidth="1"/>
    <col min="6152" max="6152" width="9.7109375" style="322" customWidth="1"/>
    <col min="6153" max="6153" width="12.7109375" style="322" customWidth="1"/>
    <col min="6154" max="6154" width="5.140625" style="322" customWidth="1"/>
    <col min="6155" max="6155" width="9.7109375" style="322" customWidth="1"/>
    <col min="6156" max="6156" width="12.7109375" style="322" customWidth="1"/>
    <col min="6157" max="6157" width="5.140625" style="322" customWidth="1"/>
    <col min="6158" max="6158" width="9.7109375" style="322" customWidth="1"/>
    <col min="6159" max="6159" width="12.7109375" style="322" customWidth="1"/>
    <col min="6160" max="6160" width="5.140625" style="322" customWidth="1"/>
    <col min="6161" max="6161" width="9.7109375" style="322" customWidth="1"/>
    <col min="6162" max="6162" width="12.7109375" style="322" customWidth="1"/>
    <col min="6163" max="6163" width="5.140625" style="322" customWidth="1"/>
    <col min="6164" max="6164" width="9.7109375" style="322" customWidth="1"/>
    <col min="6165" max="6165" width="12.7109375" style="322" customWidth="1"/>
    <col min="6166" max="6166" width="5.140625" style="322" customWidth="1"/>
    <col min="6167" max="6167" width="9.7109375" style="322" customWidth="1"/>
    <col min="6168" max="6168" width="12.7109375" style="322" customWidth="1"/>
    <col min="6169" max="6169" width="5.140625" style="322" customWidth="1"/>
    <col min="6170" max="6170" width="9.7109375" style="322" customWidth="1"/>
    <col min="6171" max="6171" width="12.7109375" style="322" customWidth="1"/>
    <col min="6172" max="6172" width="5.140625" style="322" customWidth="1"/>
    <col min="6173" max="6173" width="9.7109375" style="322" customWidth="1"/>
    <col min="6174" max="6174" width="12.7109375" style="322" customWidth="1"/>
    <col min="6175" max="6175" width="5.140625" style="322" customWidth="1"/>
    <col min="6176" max="6176" width="9.7109375" style="322" customWidth="1"/>
    <col min="6177" max="6177" width="12.7109375" style="322" customWidth="1"/>
    <col min="6178" max="6178" width="37.7109375" style="322" customWidth="1"/>
    <col min="6179" max="6381" width="9.140625" style="322"/>
    <col min="6382" max="6382" width="1.7109375" style="322" customWidth="1"/>
    <col min="6383" max="6383" width="3.5703125" style="322" customWidth="1"/>
    <col min="6384" max="6384" width="11" style="322" customWidth="1"/>
    <col min="6385" max="6385" width="20.7109375" style="322" customWidth="1"/>
    <col min="6386" max="6387" width="11.7109375" style="322" customWidth="1"/>
    <col min="6388" max="6388" width="9.7109375" style="322" customWidth="1"/>
    <col min="6389" max="6389" width="10.140625" style="322" bestFit="1" customWidth="1"/>
    <col min="6390" max="6391" width="7.7109375" style="322" customWidth="1"/>
    <col min="6392" max="6392" width="4" style="322" customWidth="1"/>
    <col min="6393" max="6393" width="9.7109375" style="322" customWidth="1"/>
    <col min="6394" max="6394" width="15.140625" style="322" customWidth="1"/>
    <col min="6395" max="6395" width="5.140625" style="322" customWidth="1"/>
    <col min="6396" max="6396" width="9.7109375" style="322" customWidth="1"/>
    <col min="6397" max="6397" width="13.7109375" style="322" customWidth="1"/>
    <col min="6398" max="6398" width="5.140625" style="322" customWidth="1"/>
    <col min="6399" max="6399" width="9.7109375" style="322" customWidth="1"/>
    <col min="6400" max="6400" width="12.5703125" style="322" customWidth="1"/>
    <col min="6401" max="6401" width="5.140625" style="322" customWidth="1"/>
    <col min="6402" max="6402" width="9.7109375" style="322" customWidth="1"/>
    <col min="6403" max="6403" width="12.7109375" style="322" customWidth="1"/>
    <col min="6404" max="6404" width="5.140625" style="322" customWidth="1"/>
    <col min="6405" max="6405" width="9.7109375" style="322" customWidth="1"/>
    <col min="6406" max="6406" width="12.7109375" style="322" customWidth="1"/>
    <col min="6407" max="6407" width="5.140625" style="322" customWidth="1"/>
    <col min="6408" max="6408" width="9.7109375" style="322" customWidth="1"/>
    <col min="6409" max="6409" width="12.7109375" style="322" customWidth="1"/>
    <col min="6410" max="6410" width="5.140625" style="322" customWidth="1"/>
    <col min="6411" max="6411" width="9.7109375" style="322" customWidth="1"/>
    <col min="6412" max="6412" width="12.7109375" style="322" customWidth="1"/>
    <col min="6413" max="6413" width="5.140625" style="322" customWidth="1"/>
    <col min="6414" max="6414" width="9.7109375" style="322" customWidth="1"/>
    <col min="6415" max="6415" width="12.7109375" style="322" customWidth="1"/>
    <col min="6416" max="6416" width="5.140625" style="322" customWidth="1"/>
    <col min="6417" max="6417" width="9.7109375" style="322" customWidth="1"/>
    <col min="6418" max="6418" width="12.7109375" style="322" customWidth="1"/>
    <col min="6419" max="6419" width="5.140625" style="322" customWidth="1"/>
    <col min="6420" max="6420" width="9.7109375" style="322" customWidth="1"/>
    <col min="6421" max="6421" width="12.7109375" style="322" customWidth="1"/>
    <col min="6422" max="6422" width="5.140625" style="322" customWidth="1"/>
    <col min="6423" max="6423" width="9.7109375" style="322" customWidth="1"/>
    <col min="6424" max="6424" width="12.7109375" style="322" customWidth="1"/>
    <col min="6425" max="6425" width="5.140625" style="322" customWidth="1"/>
    <col min="6426" max="6426" width="9.7109375" style="322" customWidth="1"/>
    <col min="6427" max="6427" width="12.7109375" style="322" customWidth="1"/>
    <col min="6428" max="6428" width="5.140625" style="322" customWidth="1"/>
    <col min="6429" max="6429" width="9.7109375" style="322" customWidth="1"/>
    <col min="6430" max="6430" width="12.7109375" style="322" customWidth="1"/>
    <col min="6431" max="6431" width="5.140625" style="322" customWidth="1"/>
    <col min="6432" max="6432" width="9.7109375" style="322" customWidth="1"/>
    <col min="6433" max="6433" width="12.7109375" style="322" customWidth="1"/>
    <col min="6434" max="6434" width="37.7109375" style="322" customWidth="1"/>
    <col min="6435" max="6637" width="9.140625" style="322"/>
    <col min="6638" max="6638" width="1.7109375" style="322" customWidth="1"/>
    <col min="6639" max="6639" width="3.5703125" style="322" customWidth="1"/>
    <col min="6640" max="6640" width="11" style="322" customWidth="1"/>
    <col min="6641" max="6641" width="20.7109375" style="322" customWidth="1"/>
    <col min="6642" max="6643" width="11.7109375" style="322" customWidth="1"/>
    <col min="6644" max="6644" width="9.7109375" style="322" customWidth="1"/>
    <col min="6645" max="6645" width="10.140625" style="322" bestFit="1" customWidth="1"/>
    <col min="6646" max="6647" width="7.7109375" style="322" customWidth="1"/>
    <col min="6648" max="6648" width="4" style="322" customWidth="1"/>
    <col min="6649" max="6649" width="9.7109375" style="322" customWidth="1"/>
    <col min="6650" max="6650" width="15.140625" style="322" customWidth="1"/>
    <col min="6651" max="6651" width="5.140625" style="322" customWidth="1"/>
    <col min="6652" max="6652" width="9.7109375" style="322" customWidth="1"/>
    <col min="6653" max="6653" width="13.7109375" style="322" customWidth="1"/>
    <col min="6654" max="6654" width="5.140625" style="322" customWidth="1"/>
    <col min="6655" max="6655" width="9.7109375" style="322" customWidth="1"/>
    <col min="6656" max="6656" width="12.5703125" style="322" customWidth="1"/>
    <col min="6657" max="6657" width="5.140625" style="322" customWidth="1"/>
    <col min="6658" max="6658" width="9.7109375" style="322" customWidth="1"/>
    <col min="6659" max="6659" width="12.7109375" style="322" customWidth="1"/>
    <col min="6660" max="6660" width="5.140625" style="322" customWidth="1"/>
    <col min="6661" max="6661" width="9.7109375" style="322" customWidth="1"/>
    <col min="6662" max="6662" width="12.7109375" style="322" customWidth="1"/>
    <col min="6663" max="6663" width="5.140625" style="322" customWidth="1"/>
    <col min="6664" max="6664" width="9.7109375" style="322" customWidth="1"/>
    <col min="6665" max="6665" width="12.7109375" style="322" customWidth="1"/>
    <col min="6666" max="6666" width="5.140625" style="322" customWidth="1"/>
    <col min="6667" max="6667" width="9.7109375" style="322" customWidth="1"/>
    <col min="6668" max="6668" width="12.7109375" style="322" customWidth="1"/>
    <col min="6669" max="6669" width="5.140625" style="322" customWidth="1"/>
    <col min="6670" max="6670" width="9.7109375" style="322" customWidth="1"/>
    <col min="6671" max="6671" width="12.7109375" style="322" customWidth="1"/>
    <col min="6672" max="6672" width="5.140625" style="322" customWidth="1"/>
    <col min="6673" max="6673" width="9.7109375" style="322" customWidth="1"/>
    <col min="6674" max="6674" width="12.7109375" style="322" customWidth="1"/>
    <col min="6675" max="6675" width="5.140625" style="322" customWidth="1"/>
    <col min="6676" max="6676" width="9.7109375" style="322" customWidth="1"/>
    <col min="6677" max="6677" width="12.7109375" style="322" customWidth="1"/>
    <col min="6678" max="6678" width="5.140625" style="322" customWidth="1"/>
    <col min="6679" max="6679" width="9.7109375" style="322" customWidth="1"/>
    <col min="6680" max="6680" width="12.7109375" style="322" customWidth="1"/>
    <col min="6681" max="6681" width="5.140625" style="322" customWidth="1"/>
    <col min="6682" max="6682" width="9.7109375" style="322" customWidth="1"/>
    <col min="6683" max="6683" width="12.7109375" style="322" customWidth="1"/>
    <col min="6684" max="6684" width="5.140625" style="322" customWidth="1"/>
    <col min="6685" max="6685" width="9.7109375" style="322" customWidth="1"/>
    <col min="6686" max="6686" width="12.7109375" style="322" customWidth="1"/>
    <col min="6687" max="6687" width="5.140625" style="322" customWidth="1"/>
    <col min="6688" max="6688" width="9.7109375" style="322" customWidth="1"/>
    <col min="6689" max="6689" width="12.7109375" style="322" customWidth="1"/>
    <col min="6690" max="6690" width="37.7109375" style="322" customWidth="1"/>
    <col min="6691" max="6893" width="9.140625" style="322"/>
    <col min="6894" max="6894" width="1.7109375" style="322" customWidth="1"/>
    <col min="6895" max="6895" width="3.5703125" style="322" customWidth="1"/>
    <col min="6896" max="6896" width="11" style="322" customWidth="1"/>
    <col min="6897" max="6897" width="20.7109375" style="322" customWidth="1"/>
    <col min="6898" max="6899" width="11.7109375" style="322" customWidth="1"/>
    <col min="6900" max="6900" width="9.7109375" style="322" customWidth="1"/>
    <col min="6901" max="6901" width="10.140625" style="322" bestFit="1" customWidth="1"/>
    <col min="6902" max="6903" width="7.7109375" style="322" customWidth="1"/>
    <col min="6904" max="6904" width="4" style="322" customWidth="1"/>
    <col min="6905" max="6905" width="9.7109375" style="322" customWidth="1"/>
    <col min="6906" max="6906" width="15.140625" style="322" customWidth="1"/>
    <col min="6907" max="6907" width="5.140625" style="322" customWidth="1"/>
    <col min="6908" max="6908" width="9.7109375" style="322" customWidth="1"/>
    <col min="6909" max="6909" width="13.7109375" style="322" customWidth="1"/>
    <col min="6910" max="6910" width="5.140625" style="322" customWidth="1"/>
    <col min="6911" max="6911" width="9.7109375" style="322" customWidth="1"/>
    <col min="6912" max="6912" width="12.5703125" style="322" customWidth="1"/>
    <col min="6913" max="6913" width="5.140625" style="322" customWidth="1"/>
    <col min="6914" max="6914" width="9.7109375" style="322" customWidth="1"/>
    <col min="6915" max="6915" width="12.7109375" style="322" customWidth="1"/>
    <col min="6916" max="6916" width="5.140625" style="322" customWidth="1"/>
    <col min="6917" max="6917" width="9.7109375" style="322" customWidth="1"/>
    <col min="6918" max="6918" width="12.7109375" style="322" customWidth="1"/>
    <col min="6919" max="6919" width="5.140625" style="322" customWidth="1"/>
    <col min="6920" max="6920" width="9.7109375" style="322" customWidth="1"/>
    <col min="6921" max="6921" width="12.7109375" style="322" customWidth="1"/>
    <col min="6922" max="6922" width="5.140625" style="322" customWidth="1"/>
    <col min="6923" max="6923" width="9.7109375" style="322" customWidth="1"/>
    <col min="6924" max="6924" width="12.7109375" style="322" customWidth="1"/>
    <col min="6925" max="6925" width="5.140625" style="322" customWidth="1"/>
    <col min="6926" max="6926" width="9.7109375" style="322" customWidth="1"/>
    <col min="6927" max="6927" width="12.7109375" style="322" customWidth="1"/>
    <col min="6928" max="6928" width="5.140625" style="322" customWidth="1"/>
    <col min="6929" max="6929" width="9.7109375" style="322" customWidth="1"/>
    <col min="6930" max="6930" width="12.7109375" style="322" customWidth="1"/>
    <col min="6931" max="6931" width="5.140625" style="322" customWidth="1"/>
    <col min="6932" max="6932" width="9.7109375" style="322" customWidth="1"/>
    <col min="6933" max="6933" width="12.7109375" style="322" customWidth="1"/>
    <col min="6934" max="6934" width="5.140625" style="322" customWidth="1"/>
    <col min="6935" max="6935" width="9.7109375" style="322" customWidth="1"/>
    <col min="6936" max="6936" width="12.7109375" style="322" customWidth="1"/>
    <col min="6937" max="6937" width="5.140625" style="322" customWidth="1"/>
    <col min="6938" max="6938" width="9.7109375" style="322" customWidth="1"/>
    <col min="6939" max="6939" width="12.7109375" style="322" customWidth="1"/>
    <col min="6940" max="6940" width="5.140625" style="322" customWidth="1"/>
    <col min="6941" max="6941" width="9.7109375" style="322" customWidth="1"/>
    <col min="6942" max="6942" width="12.7109375" style="322" customWidth="1"/>
    <col min="6943" max="6943" width="5.140625" style="322" customWidth="1"/>
    <col min="6944" max="6944" width="9.7109375" style="322" customWidth="1"/>
    <col min="6945" max="6945" width="12.7109375" style="322" customWidth="1"/>
    <col min="6946" max="6946" width="37.7109375" style="322" customWidth="1"/>
    <col min="6947" max="7149" width="9.140625" style="322"/>
    <col min="7150" max="7150" width="1.7109375" style="322" customWidth="1"/>
    <col min="7151" max="7151" width="3.5703125" style="322" customWidth="1"/>
    <col min="7152" max="7152" width="11" style="322" customWidth="1"/>
    <col min="7153" max="7153" width="20.7109375" style="322" customWidth="1"/>
    <col min="7154" max="7155" width="11.7109375" style="322" customWidth="1"/>
    <col min="7156" max="7156" width="9.7109375" style="322" customWidth="1"/>
    <col min="7157" max="7157" width="10.140625" style="322" bestFit="1" customWidth="1"/>
    <col min="7158" max="7159" width="7.7109375" style="322" customWidth="1"/>
    <col min="7160" max="7160" width="4" style="322" customWidth="1"/>
    <col min="7161" max="7161" width="9.7109375" style="322" customWidth="1"/>
    <col min="7162" max="7162" width="15.140625" style="322" customWidth="1"/>
    <col min="7163" max="7163" width="5.140625" style="322" customWidth="1"/>
    <col min="7164" max="7164" width="9.7109375" style="322" customWidth="1"/>
    <col min="7165" max="7165" width="13.7109375" style="322" customWidth="1"/>
    <col min="7166" max="7166" width="5.140625" style="322" customWidth="1"/>
    <col min="7167" max="7167" width="9.7109375" style="322" customWidth="1"/>
    <col min="7168" max="7168" width="12.5703125" style="322" customWidth="1"/>
    <col min="7169" max="7169" width="5.140625" style="322" customWidth="1"/>
    <col min="7170" max="7170" width="9.7109375" style="322" customWidth="1"/>
    <col min="7171" max="7171" width="12.7109375" style="322" customWidth="1"/>
    <col min="7172" max="7172" width="5.140625" style="322" customWidth="1"/>
    <col min="7173" max="7173" width="9.7109375" style="322" customWidth="1"/>
    <col min="7174" max="7174" width="12.7109375" style="322" customWidth="1"/>
    <col min="7175" max="7175" width="5.140625" style="322" customWidth="1"/>
    <col min="7176" max="7176" width="9.7109375" style="322" customWidth="1"/>
    <col min="7177" max="7177" width="12.7109375" style="322" customWidth="1"/>
    <col min="7178" max="7178" width="5.140625" style="322" customWidth="1"/>
    <col min="7179" max="7179" width="9.7109375" style="322" customWidth="1"/>
    <col min="7180" max="7180" width="12.7109375" style="322" customWidth="1"/>
    <col min="7181" max="7181" width="5.140625" style="322" customWidth="1"/>
    <col min="7182" max="7182" width="9.7109375" style="322" customWidth="1"/>
    <col min="7183" max="7183" width="12.7109375" style="322" customWidth="1"/>
    <col min="7184" max="7184" width="5.140625" style="322" customWidth="1"/>
    <col min="7185" max="7185" width="9.7109375" style="322" customWidth="1"/>
    <col min="7186" max="7186" width="12.7109375" style="322" customWidth="1"/>
    <col min="7187" max="7187" width="5.140625" style="322" customWidth="1"/>
    <col min="7188" max="7188" width="9.7109375" style="322" customWidth="1"/>
    <col min="7189" max="7189" width="12.7109375" style="322" customWidth="1"/>
    <col min="7190" max="7190" width="5.140625" style="322" customWidth="1"/>
    <col min="7191" max="7191" width="9.7109375" style="322" customWidth="1"/>
    <col min="7192" max="7192" width="12.7109375" style="322" customWidth="1"/>
    <col min="7193" max="7193" width="5.140625" style="322" customWidth="1"/>
    <col min="7194" max="7194" width="9.7109375" style="322" customWidth="1"/>
    <col min="7195" max="7195" width="12.7109375" style="322" customWidth="1"/>
    <col min="7196" max="7196" width="5.140625" style="322" customWidth="1"/>
    <col min="7197" max="7197" width="9.7109375" style="322" customWidth="1"/>
    <col min="7198" max="7198" width="12.7109375" style="322" customWidth="1"/>
    <col min="7199" max="7199" width="5.140625" style="322" customWidth="1"/>
    <col min="7200" max="7200" width="9.7109375" style="322" customWidth="1"/>
    <col min="7201" max="7201" width="12.7109375" style="322" customWidth="1"/>
    <col min="7202" max="7202" width="37.7109375" style="322" customWidth="1"/>
    <col min="7203" max="7405" width="9.140625" style="322"/>
    <col min="7406" max="7406" width="1.7109375" style="322" customWidth="1"/>
    <col min="7407" max="7407" width="3.5703125" style="322" customWidth="1"/>
    <col min="7408" max="7408" width="11" style="322" customWidth="1"/>
    <col min="7409" max="7409" width="20.7109375" style="322" customWidth="1"/>
    <col min="7410" max="7411" width="11.7109375" style="322" customWidth="1"/>
    <col min="7412" max="7412" width="9.7109375" style="322" customWidth="1"/>
    <col min="7413" max="7413" width="10.140625" style="322" bestFit="1" customWidth="1"/>
    <col min="7414" max="7415" width="7.7109375" style="322" customWidth="1"/>
    <col min="7416" max="7416" width="4" style="322" customWidth="1"/>
    <col min="7417" max="7417" width="9.7109375" style="322" customWidth="1"/>
    <col min="7418" max="7418" width="15.140625" style="322" customWidth="1"/>
    <col min="7419" max="7419" width="5.140625" style="322" customWidth="1"/>
    <col min="7420" max="7420" width="9.7109375" style="322" customWidth="1"/>
    <col min="7421" max="7421" width="13.7109375" style="322" customWidth="1"/>
    <col min="7422" max="7422" width="5.140625" style="322" customWidth="1"/>
    <col min="7423" max="7423" width="9.7109375" style="322" customWidth="1"/>
    <col min="7424" max="7424" width="12.5703125" style="322" customWidth="1"/>
    <col min="7425" max="7425" width="5.140625" style="322" customWidth="1"/>
    <col min="7426" max="7426" width="9.7109375" style="322" customWidth="1"/>
    <col min="7427" max="7427" width="12.7109375" style="322" customWidth="1"/>
    <col min="7428" max="7428" width="5.140625" style="322" customWidth="1"/>
    <col min="7429" max="7429" width="9.7109375" style="322" customWidth="1"/>
    <col min="7430" max="7430" width="12.7109375" style="322" customWidth="1"/>
    <col min="7431" max="7431" width="5.140625" style="322" customWidth="1"/>
    <col min="7432" max="7432" width="9.7109375" style="322" customWidth="1"/>
    <col min="7433" max="7433" width="12.7109375" style="322" customWidth="1"/>
    <col min="7434" max="7434" width="5.140625" style="322" customWidth="1"/>
    <col min="7435" max="7435" width="9.7109375" style="322" customWidth="1"/>
    <col min="7436" max="7436" width="12.7109375" style="322" customWidth="1"/>
    <col min="7437" max="7437" width="5.140625" style="322" customWidth="1"/>
    <col min="7438" max="7438" width="9.7109375" style="322" customWidth="1"/>
    <col min="7439" max="7439" width="12.7109375" style="322" customWidth="1"/>
    <col min="7440" max="7440" width="5.140625" style="322" customWidth="1"/>
    <col min="7441" max="7441" width="9.7109375" style="322" customWidth="1"/>
    <col min="7442" max="7442" width="12.7109375" style="322" customWidth="1"/>
    <col min="7443" max="7443" width="5.140625" style="322" customWidth="1"/>
    <col min="7444" max="7444" width="9.7109375" style="322" customWidth="1"/>
    <col min="7445" max="7445" width="12.7109375" style="322" customWidth="1"/>
    <col min="7446" max="7446" width="5.140625" style="322" customWidth="1"/>
    <col min="7447" max="7447" width="9.7109375" style="322" customWidth="1"/>
    <col min="7448" max="7448" width="12.7109375" style="322" customWidth="1"/>
    <col min="7449" max="7449" width="5.140625" style="322" customWidth="1"/>
    <col min="7450" max="7450" width="9.7109375" style="322" customWidth="1"/>
    <col min="7451" max="7451" width="12.7109375" style="322" customWidth="1"/>
    <col min="7452" max="7452" width="5.140625" style="322" customWidth="1"/>
    <col min="7453" max="7453" width="9.7109375" style="322" customWidth="1"/>
    <col min="7454" max="7454" width="12.7109375" style="322" customWidth="1"/>
    <col min="7455" max="7455" width="5.140625" style="322" customWidth="1"/>
    <col min="7456" max="7456" width="9.7109375" style="322" customWidth="1"/>
    <col min="7457" max="7457" width="12.7109375" style="322" customWidth="1"/>
    <col min="7458" max="7458" width="37.7109375" style="322" customWidth="1"/>
    <col min="7459" max="7661" width="9.140625" style="322"/>
    <col min="7662" max="7662" width="1.7109375" style="322" customWidth="1"/>
    <col min="7663" max="7663" width="3.5703125" style="322" customWidth="1"/>
    <col min="7664" max="7664" width="11" style="322" customWidth="1"/>
    <col min="7665" max="7665" width="20.7109375" style="322" customWidth="1"/>
    <col min="7666" max="7667" width="11.7109375" style="322" customWidth="1"/>
    <col min="7668" max="7668" width="9.7109375" style="322" customWidth="1"/>
    <col min="7669" max="7669" width="10.140625" style="322" bestFit="1" customWidth="1"/>
    <col min="7670" max="7671" width="7.7109375" style="322" customWidth="1"/>
    <col min="7672" max="7672" width="4" style="322" customWidth="1"/>
    <col min="7673" max="7673" width="9.7109375" style="322" customWidth="1"/>
    <col min="7674" max="7674" width="15.140625" style="322" customWidth="1"/>
    <col min="7675" max="7675" width="5.140625" style="322" customWidth="1"/>
    <col min="7676" max="7676" width="9.7109375" style="322" customWidth="1"/>
    <col min="7677" max="7677" width="13.7109375" style="322" customWidth="1"/>
    <col min="7678" max="7678" width="5.140625" style="322" customWidth="1"/>
    <col min="7679" max="7679" width="9.7109375" style="322" customWidth="1"/>
    <col min="7680" max="7680" width="12.5703125" style="322" customWidth="1"/>
    <col min="7681" max="7681" width="5.140625" style="322" customWidth="1"/>
    <col min="7682" max="7682" width="9.7109375" style="322" customWidth="1"/>
    <col min="7683" max="7683" width="12.7109375" style="322" customWidth="1"/>
    <col min="7684" max="7684" width="5.140625" style="322" customWidth="1"/>
    <col min="7685" max="7685" width="9.7109375" style="322" customWidth="1"/>
    <col min="7686" max="7686" width="12.7109375" style="322" customWidth="1"/>
    <col min="7687" max="7687" width="5.140625" style="322" customWidth="1"/>
    <col min="7688" max="7688" width="9.7109375" style="322" customWidth="1"/>
    <col min="7689" max="7689" width="12.7109375" style="322" customWidth="1"/>
    <col min="7690" max="7690" width="5.140625" style="322" customWidth="1"/>
    <col min="7691" max="7691" width="9.7109375" style="322" customWidth="1"/>
    <col min="7692" max="7692" width="12.7109375" style="322" customWidth="1"/>
    <col min="7693" max="7693" width="5.140625" style="322" customWidth="1"/>
    <col min="7694" max="7694" width="9.7109375" style="322" customWidth="1"/>
    <col min="7695" max="7695" width="12.7109375" style="322" customWidth="1"/>
    <col min="7696" max="7696" width="5.140625" style="322" customWidth="1"/>
    <col min="7697" max="7697" width="9.7109375" style="322" customWidth="1"/>
    <col min="7698" max="7698" width="12.7109375" style="322" customWidth="1"/>
    <col min="7699" max="7699" width="5.140625" style="322" customWidth="1"/>
    <col min="7700" max="7700" width="9.7109375" style="322" customWidth="1"/>
    <col min="7701" max="7701" width="12.7109375" style="322" customWidth="1"/>
    <col min="7702" max="7702" width="5.140625" style="322" customWidth="1"/>
    <col min="7703" max="7703" width="9.7109375" style="322" customWidth="1"/>
    <col min="7704" max="7704" width="12.7109375" style="322" customWidth="1"/>
    <col min="7705" max="7705" width="5.140625" style="322" customWidth="1"/>
    <col min="7706" max="7706" width="9.7109375" style="322" customWidth="1"/>
    <col min="7707" max="7707" width="12.7109375" style="322" customWidth="1"/>
    <col min="7708" max="7708" width="5.140625" style="322" customWidth="1"/>
    <col min="7709" max="7709" width="9.7109375" style="322" customWidth="1"/>
    <col min="7710" max="7710" width="12.7109375" style="322" customWidth="1"/>
    <col min="7711" max="7711" width="5.140625" style="322" customWidth="1"/>
    <col min="7712" max="7712" width="9.7109375" style="322" customWidth="1"/>
    <col min="7713" max="7713" width="12.7109375" style="322" customWidth="1"/>
    <col min="7714" max="7714" width="37.7109375" style="322" customWidth="1"/>
    <col min="7715" max="7917" width="9.140625" style="322"/>
    <col min="7918" max="7918" width="1.7109375" style="322" customWidth="1"/>
    <col min="7919" max="7919" width="3.5703125" style="322" customWidth="1"/>
    <col min="7920" max="7920" width="11" style="322" customWidth="1"/>
    <col min="7921" max="7921" width="20.7109375" style="322" customWidth="1"/>
    <col min="7922" max="7923" width="11.7109375" style="322" customWidth="1"/>
    <col min="7924" max="7924" width="9.7109375" style="322" customWidth="1"/>
    <col min="7925" max="7925" width="10.140625" style="322" bestFit="1" customWidth="1"/>
    <col min="7926" max="7927" width="7.7109375" style="322" customWidth="1"/>
    <col min="7928" max="7928" width="4" style="322" customWidth="1"/>
    <col min="7929" max="7929" width="9.7109375" style="322" customWidth="1"/>
    <col min="7930" max="7930" width="15.140625" style="322" customWidth="1"/>
    <col min="7931" max="7931" width="5.140625" style="322" customWidth="1"/>
    <col min="7932" max="7932" width="9.7109375" style="322" customWidth="1"/>
    <col min="7933" max="7933" width="13.7109375" style="322" customWidth="1"/>
    <col min="7934" max="7934" width="5.140625" style="322" customWidth="1"/>
    <col min="7935" max="7935" width="9.7109375" style="322" customWidth="1"/>
    <col min="7936" max="7936" width="12.5703125" style="322" customWidth="1"/>
    <col min="7937" max="7937" width="5.140625" style="322" customWidth="1"/>
    <col min="7938" max="7938" width="9.7109375" style="322" customWidth="1"/>
    <col min="7939" max="7939" width="12.7109375" style="322" customWidth="1"/>
    <col min="7940" max="7940" width="5.140625" style="322" customWidth="1"/>
    <col min="7941" max="7941" width="9.7109375" style="322" customWidth="1"/>
    <col min="7942" max="7942" width="12.7109375" style="322" customWidth="1"/>
    <col min="7943" max="7943" width="5.140625" style="322" customWidth="1"/>
    <col min="7944" max="7944" width="9.7109375" style="322" customWidth="1"/>
    <col min="7945" max="7945" width="12.7109375" style="322" customWidth="1"/>
    <col min="7946" max="7946" width="5.140625" style="322" customWidth="1"/>
    <col min="7947" max="7947" width="9.7109375" style="322" customWidth="1"/>
    <col min="7948" max="7948" width="12.7109375" style="322" customWidth="1"/>
    <col min="7949" max="7949" width="5.140625" style="322" customWidth="1"/>
    <col min="7950" max="7950" width="9.7109375" style="322" customWidth="1"/>
    <col min="7951" max="7951" width="12.7109375" style="322" customWidth="1"/>
    <col min="7952" max="7952" width="5.140625" style="322" customWidth="1"/>
    <col min="7953" max="7953" width="9.7109375" style="322" customWidth="1"/>
    <col min="7954" max="7954" width="12.7109375" style="322" customWidth="1"/>
    <col min="7955" max="7955" width="5.140625" style="322" customWidth="1"/>
    <col min="7956" max="7956" width="9.7109375" style="322" customWidth="1"/>
    <col min="7957" max="7957" width="12.7109375" style="322" customWidth="1"/>
    <col min="7958" max="7958" width="5.140625" style="322" customWidth="1"/>
    <col min="7959" max="7959" width="9.7109375" style="322" customWidth="1"/>
    <col min="7960" max="7960" width="12.7109375" style="322" customWidth="1"/>
    <col min="7961" max="7961" width="5.140625" style="322" customWidth="1"/>
    <col min="7962" max="7962" width="9.7109375" style="322" customWidth="1"/>
    <col min="7963" max="7963" width="12.7109375" style="322" customWidth="1"/>
    <col min="7964" max="7964" width="5.140625" style="322" customWidth="1"/>
    <col min="7965" max="7965" width="9.7109375" style="322" customWidth="1"/>
    <col min="7966" max="7966" width="12.7109375" style="322" customWidth="1"/>
    <col min="7967" max="7967" width="5.140625" style="322" customWidth="1"/>
    <col min="7968" max="7968" width="9.7109375" style="322" customWidth="1"/>
    <col min="7969" max="7969" width="12.7109375" style="322" customWidth="1"/>
    <col min="7970" max="7970" width="37.7109375" style="322" customWidth="1"/>
    <col min="7971" max="8173" width="9.140625" style="322"/>
    <col min="8174" max="8174" width="1.7109375" style="322" customWidth="1"/>
    <col min="8175" max="8175" width="3.5703125" style="322" customWidth="1"/>
    <col min="8176" max="8176" width="11" style="322" customWidth="1"/>
    <col min="8177" max="8177" width="20.7109375" style="322" customWidth="1"/>
    <col min="8178" max="8179" width="11.7109375" style="322" customWidth="1"/>
    <col min="8180" max="8180" width="9.7109375" style="322" customWidth="1"/>
    <col min="8181" max="8181" width="10.140625" style="322" bestFit="1" customWidth="1"/>
    <col min="8182" max="8183" width="7.7109375" style="322" customWidth="1"/>
    <col min="8184" max="8184" width="4" style="322" customWidth="1"/>
    <col min="8185" max="8185" width="9.7109375" style="322" customWidth="1"/>
    <col min="8186" max="8186" width="15.140625" style="322" customWidth="1"/>
    <col min="8187" max="8187" width="5.140625" style="322" customWidth="1"/>
    <col min="8188" max="8188" width="9.7109375" style="322" customWidth="1"/>
    <col min="8189" max="8189" width="13.7109375" style="322" customWidth="1"/>
    <col min="8190" max="8190" width="5.140625" style="322" customWidth="1"/>
    <col min="8191" max="8191" width="9.7109375" style="322" customWidth="1"/>
    <col min="8192" max="8192" width="12.5703125" style="322" customWidth="1"/>
    <col min="8193" max="8193" width="5.140625" style="322" customWidth="1"/>
    <col min="8194" max="8194" width="9.7109375" style="322" customWidth="1"/>
    <col min="8195" max="8195" width="12.7109375" style="322" customWidth="1"/>
    <col min="8196" max="8196" width="5.140625" style="322" customWidth="1"/>
    <col min="8197" max="8197" width="9.7109375" style="322" customWidth="1"/>
    <col min="8198" max="8198" width="12.7109375" style="322" customWidth="1"/>
    <col min="8199" max="8199" width="5.140625" style="322" customWidth="1"/>
    <col min="8200" max="8200" width="9.7109375" style="322" customWidth="1"/>
    <col min="8201" max="8201" width="12.7109375" style="322" customWidth="1"/>
    <col min="8202" max="8202" width="5.140625" style="322" customWidth="1"/>
    <col min="8203" max="8203" width="9.7109375" style="322" customWidth="1"/>
    <col min="8204" max="8204" width="12.7109375" style="322" customWidth="1"/>
    <col min="8205" max="8205" width="5.140625" style="322" customWidth="1"/>
    <col min="8206" max="8206" width="9.7109375" style="322" customWidth="1"/>
    <col min="8207" max="8207" width="12.7109375" style="322" customWidth="1"/>
    <col min="8208" max="8208" width="5.140625" style="322" customWidth="1"/>
    <col min="8209" max="8209" width="9.7109375" style="322" customWidth="1"/>
    <col min="8210" max="8210" width="12.7109375" style="322" customWidth="1"/>
    <col min="8211" max="8211" width="5.140625" style="322" customWidth="1"/>
    <col min="8212" max="8212" width="9.7109375" style="322" customWidth="1"/>
    <col min="8213" max="8213" width="12.7109375" style="322" customWidth="1"/>
    <col min="8214" max="8214" width="5.140625" style="322" customWidth="1"/>
    <col min="8215" max="8215" width="9.7109375" style="322" customWidth="1"/>
    <col min="8216" max="8216" width="12.7109375" style="322" customWidth="1"/>
    <col min="8217" max="8217" width="5.140625" style="322" customWidth="1"/>
    <col min="8218" max="8218" width="9.7109375" style="322" customWidth="1"/>
    <col min="8219" max="8219" width="12.7109375" style="322" customWidth="1"/>
    <col min="8220" max="8220" width="5.140625" style="322" customWidth="1"/>
    <col min="8221" max="8221" width="9.7109375" style="322" customWidth="1"/>
    <col min="8222" max="8222" width="12.7109375" style="322" customWidth="1"/>
    <col min="8223" max="8223" width="5.140625" style="322" customWidth="1"/>
    <col min="8224" max="8224" width="9.7109375" style="322" customWidth="1"/>
    <col min="8225" max="8225" width="12.7109375" style="322" customWidth="1"/>
    <col min="8226" max="8226" width="37.7109375" style="322" customWidth="1"/>
    <col min="8227" max="8429" width="9.140625" style="322"/>
    <col min="8430" max="8430" width="1.7109375" style="322" customWidth="1"/>
    <col min="8431" max="8431" width="3.5703125" style="322" customWidth="1"/>
    <col min="8432" max="8432" width="11" style="322" customWidth="1"/>
    <col min="8433" max="8433" width="20.7109375" style="322" customWidth="1"/>
    <col min="8434" max="8435" width="11.7109375" style="322" customWidth="1"/>
    <col min="8436" max="8436" width="9.7109375" style="322" customWidth="1"/>
    <col min="8437" max="8437" width="10.140625" style="322" bestFit="1" customWidth="1"/>
    <col min="8438" max="8439" width="7.7109375" style="322" customWidth="1"/>
    <col min="8440" max="8440" width="4" style="322" customWidth="1"/>
    <col min="8441" max="8441" width="9.7109375" style="322" customWidth="1"/>
    <col min="8442" max="8442" width="15.140625" style="322" customWidth="1"/>
    <col min="8443" max="8443" width="5.140625" style="322" customWidth="1"/>
    <col min="8444" max="8444" width="9.7109375" style="322" customWidth="1"/>
    <col min="8445" max="8445" width="13.7109375" style="322" customWidth="1"/>
    <col min="8446" max="8446" width="5.140625" style="322" customWidth="1"/>
    <col min="8447" max="8447" width="9.7109375" style="322" customWidth="1"/>
    <col min="8448" max="8448" width="12.5703125" style="322" customWidth="1"/>
    <col min="8449" max="8449" width="5.140625" style="322" customWidth="1"/>
    <col min="8450" max="8450" width="9.7109375" style="322" customWidth="1"/>
    <col min="8451" max="8451" width="12.7109375" style="322" customWidth="1"/>
    <col min="8452" max="8452" width="5.140625" style="322" customWidth="1"/>
    <col min="8453" max="8453" width="9.7109375" style="322" customWidth="1"/>
    <col min="8454" max="8454" width="12.7109375" style="322" customWidth="1"/>
    <col min="8455" max="8455" width="5.140625" style="322" customWidth="1"/>
    <col min="8456" max="8456" width="9.7109375" style="322" customWidth="1"/>
    <col min="8457" max="8457" width="12.7109375" style="322" customWidth="1"/>
    <col min="8458" max="8458" width="5.140625" style="322" customWidth="1"/>
    <col min="8459" max="8459" width="9.7109375" style="322" customWidth="1"/>
    <col min="8460" max="8460" width="12.7109375" style="322" customWidth="1"/>
    <col min="8461" max="8461" width="5.140625" style="322" customWidth="1"/>
    <col min="8462" max="8462" width="9.7109375" style="322" customWidth="1"/>
    <col min="8463" max="8463" width="12.7109375" style="322" customWidth="1"/>
    <col min="8464" max="8464" width="5.140625" style="322" customWidth="1"/>
    <col min="8465" max="8465" width="9.7109375" style="322" customWidth="1"/>
    <col min="8466" max="8466" width="12.7109375" style="322" customWidth="1"/>
    <col min="8467" max="8467" width="5.140625" style="322" customWidth="1"/>
    <col min="8468" max="8468" width="9.7109375" style="322" customWidth="1"/>
    <col min="8469" max="8469" width="12.7109375" style="322" customWidth="1"/>
    <col min="8470" max="8470" width="5.140625" style="322" customWidth="1"/>
    <col min="8471" max="8471" width="9.7109375" style="322" customWidth="1"/>
    <col min="8472" max="8472" width="12.7109375" style="322" customWidth="1"/>
    <col min="8473" max="8473" width="5.140625" style="322" customWidth="1"/>
    <col min="8474" max="8474" width="9.7109375" style="322" customWidth="1"/>
    <col min="8475" max="8475" width="12.7109375" style="322" customWidth="1"/>
    <col min="8476" max="8476" width="5.140625" style="322" customWidth="1"/>
    <col min="8477" max="8477" width="9.7109375" style="322" customWidth="1"/>
    <col min="8478" max="8478" width="12.7109375" style="322" customWidth="1"/>
    <col min="8479" max="8479" width="5.140625" style="322" customWidth="1"/>
    <col min="8480" max="8480" width="9.7109375" style="322" customWidth="1"/>
    <col min="8481" max="8481" width="12.7109375" style="322" customWidth="1"/>
    <col min="8482" max="8482" width="37.7109375" style="322" customWidth="1"/>
    <col min="8483" max="8685" width="9.140625" style="322"/>
    <col min="8686" max="8686" width="1.7109375" style="322" customWidth="1"/>
    <col min="8687" max="8687" width="3.5703125" style="322" customWidth="1"/>
    <col min="8688" max="8688" width="11" style="322" customWidth="1"/>
    <col min="8689" max="8689" width="20.7109375" style="322" customWidth="1"/>
    <col min="8690" max="8691" width="11.7109375" style="322" customWidth="1"/>
    <col min="8692" max="8692" width="9.7109375" style="322" customWidth="1"/>
    <col min="8693" max="8693" width="10.140625" style="322" bestFit="1" customWidth="1"/>
    <col min="8694" max="8695" width="7.7109375" style="322" customWidth="1"/>
    <col min="8696" max="8696" width="4" style="322" customWidth="1"/>
    <col min="8697" max="8697" width="9.7109375" style="322" customWidth="1"/>
    <col min="8698" max="8698" width="15.140625" style="322" customWidth="1"/>
    <col min="8699" max="8699" width="5.140625" style="322" customWidth="1"/>
    <col min="8700" max="8700" width="9.7109375" style="322" customWidth="1"/>
    <col min="8701" max="8701" width="13.7109375" style="322" customWidth="1"/>
    <col min="8702" max="8702" width="5.140625" style="322" customWidth="1"/>
    <col min="8703" max="8703" width="9.7109375" style="322" customWidth="1"/>
    <col min="8704" max="8704" width="12.5703125" style="322" customWidth="1"/>
    <col min="8705" max="8705" width="5.140625" style="322" customWidth="1"/>
    <col min="8706" max="8706" width="9.7109375" style="322" customWidth="1"/>
    <col min="8707" max="8707" width="12.7109375" style="322" customWidth="1"/>
    <col min="8708" max="8708" width="5.140625" style="322" customWidth="1"/>
    <col min="8709" max="8709" width="9.7109375" style="322" customWidth="1"/>
    <col min="8710" max="8710" width="12.7109375" style="322" customWidth="1"/>
    <col min="8711" max="8711" width="5.140625" style="322" customWidth="1"/>
    <col min="8712" max="8712" width="9.7109375" style="322" customWidth="1"/>
    <col min="8713" max="8713" width="12.7109375" style="322" customWidth="1"/>
    <col min="8714" max="8714" width="5.140625" style="322" customWidth="1"/>
    <col min="8715" max="8715" width="9.7109375" style="322" customWidth="1"/>
    <col min="8716" max="8716" width="12.7109375" style="322" customWidth="1"/>
    <col min="8717" max="8717" width="5.140625" style="322" customWidth="1"/>
    <col min="8718" max="8718" width="9.7109375" style="322" customWidth="1"/>
    <col min="8719" max="8719" width="12.7109375" style="322" customWidth="1"/>
    <col min="8720" max="8720" width="5.140625" style="322" customWidth="1"/>
    <col min="8721" max="8721" width="9.7109375" style="322" customWidth="1"/>
    <col min="8722" max="8722" width="12.7109375" style="322" customWidth="1"/>
    <col min="8723" max="8723" width="5.140625" style="322" customWidth="1"/>
    <col min="8724" max="8724" width="9.7109375" style="322" customWidth="1"/>
    <col min="8725" max="8725" width="12.7109375" style="322" customWidth="1"/>
    <col min="8726" max="8726" width="5.140625" style="322" customWidth="1"/>
    <col min="8727" max="8727" width="9.7109375" style="322" customWidth="1"/>
    <col min="8728" max="8728" width="12.7109375" style="322" customWidth="1"/>
    <col min="8729" max="8729" width="5.140625" style="322" customWidth="1"/>
    <col min="8730" max="8730" width="9.7109375" style="322" customWidth="1"/>
    <col min="8731" max="8731" width="12.7109375" style="322" customWidth="1"/>
    <col min="8732" max="8732" width="5.140625" style="322" customWidth="1"/>
    <col min="8733" max="8733" width="9.7109375" style="322" customWidth="1"/>
    <col min="8734" max="8734" width="12.7109375" style="322" customWidth="1"/>
    <col min="8735" max="8735" width="5.140625" style="322" customWidth="1"/>
    <col min="8736" max="8736" width="9.7109375" style="322" customWidth="1"/>
    <col min="8737" max="8737" width="12.7109375" style="322" customWidth="1"/>
    <col min="8738" max="8738" width="37.7109375" style="322" customWidth="1"/>
    <col min="8739" max="8941" width="9.140625" style="322"/>
    <col min="8942" max="8942" width="1.7109375" style="322" customWidth="1"/>
    <col min="8943" max="8943" width="3.5703125" style="322" customWidth="1"/>
    <col min="8944" max="8944" width="11" style="322" customWidth="1"/>
    <col min="8945" max="8945" width="20.7109375" style="322" customWidth="1"/>
    <col min="8946" max="8947" width="11.7109375" style="322" customWidth="1"/>
    <col min="8948" max="8948" width="9.7109375" style="322" customWidth="1"/>
    <col min="8949" max="8949" width="10.140625" style="322" bestFit="1" customWidth="1"/>
    <col min="8950" max="8951" width="7.7109375" style="322" customWidth="1"/>
    <col min="8952" max="8952" width="4" style="322" customWidth="1"/>
    <col min="8953" max="8953" width="9.7109375" style="322" customWidth="1"/>
    <col min="8954" max="8954" width="15.140625" style="322" customWidth="1"/>
    <col min="8955" max="8955" width="5.140625" style="322" customWidth="1"/>
    <col min="8956" max="8956" width="9.7109375" style="322" customWidth="1"/>
    <col min="8957" max="8957" width="13.7109375" style="322" customWidth="1"/>
    <col min="8958" max="8958" width="5.140625" style="322" customWidth="1"/>
    <col min="8959" max="8959" width="9.7109375" style="322" customWidth="1"/>
    <col min="8960" max="8960" width="12.5703125" style="322" customWidth="1"/>
    <col min="8961" max="8961" width="5.140625" style="322" customWidth="1"/>
    <col min="8962" max="8962" width="9.7109375" style="322" customWidth="1"/>
    <col min="8963" max="8963" width="12.7109375" style="322" customWidth="1"/>
    <col min="8964" max="8964" width="5.140625" style="322" customWidth="1"/>
    <col min="8965" max="8965" width="9.7109375" style="322" customWidth="1"/>
    <col min="8966" max="8966" width="12.7109375" style="322" customWidth="1"/>
    <col min="8967" max="8967" width="5.140625" style="322" customWidth="1"/>
    <col min="8968" max="8968" width="9.7109375" style="322" customWidth="1"/>
    <col min="8969" max="8969" width="12.7109375" style="322" customWidth="1"/>
    <col min="8970" max="8970" width="5.140625" style="322" customWidth="1"/>
    <col min="8971" max="8971" width="9.7109375" style="322" customWidth="1"/>
    <col min="8972" max="8972" width="12.7109375" style="322" customWidth="1"/>
    <col min="8973" max="8973" width="5.140625" style="322" customWidth="1"/>
    <col min="8974" max="8974" width="9.7109375" style="322" customWidth="1"/>
    <col min="8975" max="8975" width="12.7109375" style="322" customWidth="1"/>
    <col min="8976" max="8976" width="5.140625" style="322" customWidth="1"/>
    <col min="8977" max="8977" width="9.7109375" style="322" customWidth="1"/>
    <col min="8978" max="8978" width="12.7109375" style="322" customWidth="1"/>
    <col min="8979" max="8979" width="5.140625" style="322" customWidth="1"/>
    <col min="8980" max="8980" width="9.7109375" style="322" customWidth="1"/>
    <col min="8981" max="8981" width="12.7109375" style="322" customWidth="1"/>
    <col min="8982" max="8982" width="5.140625" style="322" customWidth="1"/>
    <col min="8983" max="8983" width="9.7109375" style="322" customWidth="1"/>
    <col min="8984" max="8984" width="12.7109375" style="322" customWidth="1"/>
    <col min="8985" max="8985" width="5.140625" style="322" customWidth="1"/>
    <col min="8986" max="8986" width="9.7109375" style="322" customWidth="1"/>
    <col min="8987" max="8987" width="12.7109375" style="322" customWidth="1"/>
    <col min="8988" max="8988" width="5.140625" style="322" customWidth="1"/>
    <col min="8989" max="8989" width="9.7109375" style="322" customWidth="1"/>
    <col min="8990" max="8990" width="12.7109375" style="322" customWidth="1"/>
    <col min="8991" max="8991" width="5.140625" style="322" customWidth="1"/>
    <col min="8992" max="8992" width="9.7109375" style="322" customWidth="1"/>
    <col min="8993" max="8993" width="12.7109375" style="322" customWidth="1"/>
    <col min="8994" max="8994" width="37.7109375" style="322" customWidth="1"/>
    <col min="8995" max="9197" width="9.140625" style="322"/>
    <col min="9198" max="9198" width="1.7109375" style="322" customWidth="1"/>
    <col min="9199" max="9199" width="3.5703125" style="322" customWidth="1"/>
    <col min="9200" max="9200" width="11" style="322" customWidth="1"/>
    <col min="9201" max="9201" width="20.7109375" style="322" customWidth="1"/>
    <col min="9202" max="9203" width="11.7109375" style="322" customWidth="1"/>
    <col min="9204" max="9204" width="9.7109375" style="322" customWidth="1"/>
    <col min="9205" max="9205" width="10.140625" style="322" bestFit="1" customWidth="1"/>
    <col min="9206" max="9207" width="7.7109375" style="322" customWidth="1"/>
    <col min="9208" max="9208" width="4" style="322" customWidth="1"/>
    <col min="9209" max="9209" width="9.7109375" style="322" customWidth="1"/>
    <col min="9210" max="9210" width="15.140625" style="322" customWidth="1"/>
    <col min="9211" max="9211" width="5.140625" style="322" customWidth="1"/>
    <col min="9212" max="9212" width="9.7109375" style="322" customWidth="1"/>
    <col min="9213" max="9213" width="13.7109375" style="322" customWidth="1"/>
    <col min="9214" max="9214" width="5.140625" style="322" customWidth="1"/>
    <col min="9215" max="9215" width="9.7109375" style="322" customWidth="1"/>
    <col min="9216" max="9216" width="12.5703125" style="322" customWidth="1"/>
    <col min="9217" max="9217" width="5.140625" style="322" customWidth="1"/>
    <col min="9218" max="9218" width="9.7109375" style="322" customWidth="1"/>
    <col min="9219" max="9219" width="12.7109375" style="322" customWidth="1"/>
    <col min="9220" max="9220" width="5.140625" style="322" customWidth="1"/>
    <col min="9221" max="9221" width="9.7109375" style="322" customWidth="1"/>
    <col min="9222" max="9222" width="12.7109375" style="322" customWidth="1"/>
    <col min="9223" max="9223" width="5.140625" style="322" customWidth="1"/>
    <col min="9224" max="9224" width="9.7109375" style="322" customWidth="1"/>
    <col min="9225" max="9225" width="12.7109375" style="322" customWidth="1"/>
    <col min="9226" max="9226" width="5.140625" style="322" customWidth="1"/>
    <col min="9227" max="9227" width="9.7109375" style="322" customWidth="1"/>
    <col min="9228" max="9228" width="12.7109375" style="322" customWidth="1"/>
    <col min="9229" max="9229" width="5.140625" style="322" customWidth="1"/>
    <col min="9230" max="9230" width="9.7109375" style="322" customWidth="1"/>
    <col min="9231" max="9231" width="12.7109375" style="322" customWidth="1"/>
    <col min="9232" max="9232" width="5.140625" style="322" customWidth="1"/>
    <col min="9233" max="9233" width="9.7109375" style="322" customWidth="1"/>
    <col min="9234" max="9234" width="12.7109375" style="322" customWidth="1"/>
    <col min="9235" max="9235" width="5.140625" style="322" customWidth="1"/>
    <col min="9236" max="9236" width="9.7109375" style="322" customWidth="1"/>
    <col min="9237" max="9237" width="12.7109375" style="322" customWidth="1"/>
    <col min="9238" max="9238" width="5.140625" style="322" customWidth="1"/>
    <col min="9239" max="9239" width="9.7109375" style="322" customWidth="1"/>
    <col min="9240" max="9240" width="12.7109375" style="322" customWidth="1"/>
    <col min="9241" max="9241" width="5.140625" style="322" customWidth="1"/>
    <col min="9242" max="9242" width="9.7109375" style="322" customWidth="1"/>
    <col min="9243" max="9243" width="12.7109375" style="322" customWidth="1"/>
    <col min="9244" max="9244" width="5.140625" style="322" customWidth="1"/>
    <col min="9245" max="9245" width="9.7109375" style="322" customWidth="1"/>
    <col min="9246" max="9246" width="12.7109375" style="322" customWidth="1"/>
    <col min="9247" max="9247" width="5.140625" style="322" customWidth="1"/>
    <col min="9248" max="9248" width="9.7109375" style="322" customWidth="1"/>
    <col min="9249" max="9249" width="12.7109375" style="322" customWidth="1"/>
    <col min="9250" max="9250" width="37.7109375" style="322" customWidth="1"/>
    <col min="9251" max="9453" width="9.140625" style="322"/>
    <col min="9454" max="9454" width="1.7109375" style="322" customWidth="1"/>
    <col min="9455" max="9455" width="3.5703125" style="322" customWidth="1"/>
    <col min="9456" max="9456" width="11" style="322" customWidth="1"/>
    <col min="9457" max="9457" width="20.7109375" style="322" customWidth="1"/>
    <col min="9458" max="9459" width="11.7109375" style="322" customWidth="1"/>
    <col min="9460" max="9460" width="9.7109375" style="322" customWidth="1"/>
    <col min="9461" max="9461" width="10.140625" style="322" bestFit="1" customWidth="1"/>
    <col min="9462" max="9463" width="7.7109375" style="322" customWidth="1"/>
    <col min="9464" max="9464" width="4" style="322" customWidth="1"/>
    <col min="9465" max="9465" width="9.7109375" style="322" customWidth="1"/>
    <col min="9466" max="9466" width="15.140625" style="322" customWidth="1"/>
    <col min="9467" max="9467" width="5.140625" style="322" customWidth="1"/>
    <col min="9468" max="9468" width="9.7109375" style="322" customWidth="1"/>
    <col min="9469" max="9469" width="13.7109375" style="322" customWidth="1"/>
    <col min="9470" max="9470" width="5.140625" style="322" customWidth="1"/>
    <col min="9471" max="9471" width="9.7109375" style="322" customWidth="1"/>
    <col min="9472" max="9472" width="12.5703125" style="322" customWidth="1"/>
    <col min="9473" max="9473" width="5.140625" style="322" customWidth="1"/>
    <col min="9474" max="9474" width="9.7109375" style="322" customWidth="1"/>
    <col min="9475" max="9475" width="12.7109375" style="322" customWidth="1"/>
    <col min="9476" max="9476" width="5.140625" style="322" customWidth="1"/>
    <col min="9477" max="9477" width="9.7109375" style="322" customWidth="1"/>
    <col min="9478" max="9478" width="12.7109375" style="322" customWidth="1"/>
    <col min="9479" max="9479" width="5.140625" style="322" customWidth="1"/>
    <col min="9480" max="9480" width="9.7109375" style="322" customWidth="1"/>
    <col min="9481" max="9481" width="12.7109375" style="322" customWidth="1"/>
    <col min="9482" max="9482" width="5.140625" style="322" customWidth="1"/>
    <col min="9483" max="9483" width="9.7109375" style="322" customWidth="1"/>
    <col min="9484" max="9484" width="12.7109375" style="322" customWidth="1"/>
    <col min="9485" max="9485" width="5.140625" style="322" customWidth="1"/>
    <col min="9486" max="9486" width="9.7109375" style="322" customWidth="1"/>
    <col min="9487" max="9487" width="12.7109375" style="322" customWidth="1"/>
    <col min="9488" max="9488" width="5.140625" style="322" customWidth="1"/>
    <col min="9489" max="9489" width="9.7109375" style="322" customWidth="1"/>
    <col min="9490" max="9490" width="12.7109375" style="322" customWidth="1"/>
    <col min="9491" max="9491" width="5.140625" style="322" customWidth="1"/>
    <col min="9492" max="9492" width="9.7109375" style="322" customWidth="1"/>
    <col min="9493" max="9493" width="12.7109375" style="322" customWidth="1"/>
    <col min="9494" max="9494" width="5.140625" style="322" customWidth="1"/>
    <col min="9495" max="9495" width="9.7109375" style="322" customWidth="1"/>
    <col min="9496" max="9496" width="12.7109375" style="322" customWidth="1"/>
    <col min="9497" max="9497" width="5.140625" style="322" customWidth="1"/>
    <col min="9498" max="9498" width="9.7109375" style="322" customWidth="1"/>
    <col min="9499" max="9499" width="12.7109375" style="322" customWidth="1"/>
    <col min="9500" max="9500" width="5.140625" style="322" customWidth="1"/>
    <col min="9501" max="9501" width="9.7109375" style="322" customWidth="1"/>
    <col min="9502" max="9502" width="12.7109375" style="322" customWidth="1"/>
    <col min="9503" max="9503" width="5.140625" style="322" customWidth="1"/>
    <col min="9504" max="9504" width="9.7109375" style="322" customWidth="1"/>
    <col min="9505" max="9505" width="12.7109375" style="322" customWidth="1"/>
    <col min="9506" max="9506" width="37.7109375" style="322" customWidth="1"/>
    <col min="9507" max="9709" width="9.140625" style="322"/>
    <col min="9710" max="9710" width="1.7109375" style="322" customWidth="1"/>
    <col min="9711" max="9711" width="3.5703125" style="322" customWidth="1"/>
    <col min="9712" max="9712" width="11" style="322" customWidth="1"/>
    <col min="9713" max="9713" width="20.7109375" style="322" customWidth="1"/>
    <col min="9714" max="9715" width="11.7109375" style="322" customWidth="1"/>
    <col min="9716" max="9716" width="9.7109375" style="322" customWidth="1"/>
    <col min="9717" max="9717" width="10.140625" style="322" bestFit="1" customWidth="1"/>
    <col min="9718" max="9719" width="7.7109375" style="322" customWidth="1"/>
    <col min="9720" max="9720" width="4" style="322" customWidth="1"/>
    <col min="9721" max="9721" width="9.7109375" style="322" customWidth="1"/>
    <col min="9722" max="9722" width="15.140625" style="322" customWidth="1"/>
    <col min="9723" max="9723" width="5.140625" style="322" customWidth="1"/>
    <col min="9724" max="9724" width="9.7109375" style="322" customWidth="1"/>
    <col min="9725" max="9725" width="13.7109375" style="322" customWidth="1"/>
    <col min="9726" max="9726" width="5.140625" style="322" customWidth="1"/>
    <col min="9727" max="9727" width="9.7109375" style="322" customWidth="1"/>
    <col min="9728" max="9728" width="12.5703125" style="322" customWidth="1"/>
    <col min="9729" max="9729" width="5.140625" style="322" customWidth="1"/>
    <col min="9730" max="9730" width="9.7109375" style="322" customWidth="1"/>
    <col min="9731" max="9731" width="12.7109375" style="322" customWidth="1"/>
    <col min="9732" max="9732" width="5.140625" style="322" customWidth="1"/>
    <col min="9733" max="9733" width="9.7109375" style="322" customWidth="1"/>
    <col min="9734" max="9734" width="12.7109375" style="322" customWidth="1"/>
    <col min="9735" max="9735" width="5.140625" style="322" customWidth="1"/>
    <col min="9736" max="9736" width="9.7109375" style="322" customWidth="1"/>
    <col min="9737" max="9737" width="12.7109375" style="322" customWidth="1"/>
    <col min="9738" max="9738" width="5.140625" style="322" customWidth="1"/>
    <col min="9739" max="9739" width="9.7109375" style="322" customWidth="1"/>
    <col min="9740" max="9740" width="12.7109375" style="322" customWidth="1"/>
    <col min="9741" max="9741" width="5.140625" style="322" customWidth="1"/>
    <col min="9742" max="9742" width="9.7109375" style="322" customWidth="1"/>
    <col min="9743" max="9743" width="12.7109375" style="322" customWidth="1"/>
    <col min="9744" max="9744" width="5.140625" style="322" customWidth="1"/>
    <col min="9745" max="9745" width="9.7109375" style="322" customWidth="1"/>
    <col min="9746" max="9746" width="12.7109375" style="322" customWidth="1"/>
    <col min="9747" max="9747" width="5.140625" style="322" customWidth="1"/>
    <col min="9748" max="9748" width="9.7109375" style="322" customWidth="1"/>
    <col min="9749" max="9749" width="12.7109375" style="322" customWidth="1"/>
    <col min="9750" max="9750" width="5.140625" style="322" customWidth="1"/>
    <col min="9751" max="9751" width="9.7109375" style="322" customWidth="1"/>
    <col min="9752" max="9752" width="12.7109375" style="322" customWidth="1"/>
    <col min="9753" max="9753" width="5.140625" style="322" customWidth="1"/>
    <col min="9754" max="9754" width="9.7109375" style="322" customWidth="1"/>
    <col min="9755" max="9755" width="12.7109375" style="322" customWidth="1"/>
    <col min="9756" max="9756" width="5.140625" style="322" customWidth="1"/>
    <col min="9757" max="9757" width="9.7109375" style="322" customWidth="1"/>
    <col min="9758" max="9758" width="12.7109375" style="322" customWidth="1"/>
    <col min="9759" max="9759" width="5.140625" style="322" customWidth="1"/>
    <col min="9760" max="9760" width="9.7109375" style="322" customWidth="1"/>
    <col min="9761" max="9761" width="12.7109375" style="322" customWidth="1"/>
    <col min="9762" max="9762" width="37.7109375" style="322" customWidth="1"/>
    <col min="9763" max="9965" width="9.140625" style="322"/>
    <col min="9966" max="9966" width="1.7109375" style="322" customWidth="1"/>
    <col min="9967" max="9967" width="3.5703125" style="322" customWidth="1"/>
    <col min="9968" max="9968" width="11" style="322" customWidth="1"/>
    <col min="9969" max="9969" width="20.7109375" style="322" customWidth="1"/>
    <col min="9970" max="9971" width="11.7109375" style="322" customWidth="1"/>
    <col min="9972" max="9972" width="9.7109375" style="322" customWidth="1"/>
    <col min="9973" max="9973" width="10.140625" style="322" bestFit="1" customWidth="1"/>
    <col min="9974" max="9975" width="7.7109375" style="322" customWidth="1"/>
    <col min="9976" max="9976" width="4" style="322" customWidth="1"/>
    <col min="9977" max="9977" width="9.7109375" style="322" customWidth="1"/>
    <col min="9978" max="9978" width="15.140625" style="322" customWidth="1"/>
    <col min="9979" max="9979" width="5.140625" style="322" customWidth="1"/>
    <col min="9980" max="9980" width="9.7109375" style="322" customWidth="1"/>
    <col min="9981" max="9981" width="13.7109375" style="322" customWidth="1"/>
    <col min="9982" max="9982" width="5.140625" style="322" customWidth="1"/>
    <col min="9983" max="9983" width="9.7109375" style="322" customWidth="1"/>
    <col min="9984" max="9984" width="12.5703125" style="322" customWidth="1"/>
    <col min="9985" max="9985" width="5.140625" style="322" customWidth="1"/>
    <col min="9986" max="9986" width="9.7109375" style="322" customWidth="1"/>
    <col min="9987" max="9987" width="12.7109375" style="322" customWidth="1"/>
    <col min="9988" max="9988" width="5.140625" style="322" customWidth="1"/>
    <col min="9989" max="9989" width="9.7109375" style="322" customWidth="1"/>
    <col min="9990" max="9990" width="12.7109375" style="322" customWidth="1"/>
    <col min="9991" max="9991" width="5.140625" style="322" customWidth="1"/>
    <col min="9992" max="9992" width="9.7109375" style="322" customWidth="1"/>
    <col min="9993" max="9993" width="12.7109375" style="322" customWidth="1"/>
    <col min="9994" max="9994" width="5.140625" style="322" customWidth="1"/>
    <col min="9995" max="9995" width="9.7109375" style="322" customWidth="1"/>
    <col min="9996" max="9996" width="12.7109375" style="322" customWidth="1"/>
    <col min="9997" max="9997" width="5.140625" style="322" customWidth="1"/>
    <col min="9998" max="9998" width="9.7109375" style="322" customWidth="1"/>
    <col min="9999" max="9999" width="12.7109375" style="322" customWidth="1"/>
    <col min="10000" max="10000" width="5.140625" style="322" customWidth="1"/>
    <col min="10001" max="10001" width="9.7109375" style="322" customWidth="1"/>
    <col min="10002" max="10002" width="12.7109375" style="322" customWidth="1"/>
    <col min="10003" max="10003" width="5.140625" style="322" customWidth="1"/>
    <col min="10004" max="10004" width="9.7109375" style="322" customWidth="1"/>
    <col min="10005" max="10005" width="12.7109375" style="322" customWidth="1"/>
    <col min="10006" max="10006" width="5.140625" style="322" customWidth="1"/>
    <col min="10007" max="10007" width="9.7109375" style="322" customWidth="1"/>
    <col min="10008" max="10008" width="12.7109375" style="322" customWidth="1"/>
    <col min="10009" max="10009" width="5.140625" style="322" customWidth="1"/>
    <col min="10010" max="10010" width="9.7109375" style="322" customWidth="1"/>
    <col min="10011" max="10011" width="12.7109375" style="322" customWidth="1"/>
    <col min="10012" max="10012" width="5.140625" style="322" customWidth="1"/>
    <col min="10013" max="10013" width="9.7109375" style="322" customWidth="1"/>
    <col min="10014" max="10014" width="12.7109375" style="322" customWidth="1"/>
    <col min="10015" max="10015" width="5.140625" style="322" customWidth="1"/>
    <col min="10016" max="10016" width="9.7109375" style="322" customWidth="1"/>
    <col min="10017" max="10017" width="12.7109375" style="322" customWidth="1"/>
    <col min="10018" max="10018" width="37.7109375" style="322" customWidth="1"/>
    <col min="10019" max="10221" width="9.140625" style="322"/>
    <col min="10222" max="10222" width="1.7109375" style="322" customWidth="1"/>
    <col min="10223" max="10223" width="3.5703125" style="322" customWidth="1"/>
    <col min="10224" max="10224" width="11" style="322" customWidth="1"/>
    <col min="10225" max="10225" width="20.7109375" style="322" customWidth="1"/>
    <col min="10226" max="10227" width="11.7109375" style="322" customWidth="1"/>
    <col min="10228" max="10228" width="9.7109375" style="322" customWidth="1"/>
    <col min="10229" max="10229" width="10.140625" style="322" bestFit="1" customWidth="1"/>
    <col min="10230" max="10231" width="7.7109375" style="322" customWidth="1"/>
    <col min="10232" max="10232" width="4" style="322" customWidth="1"/>
    <col min="10233" max="10233" width="9.7109375" style="322" customWidth="1"/>
    <col min="10234" max="10234" width="15.140625" style="322" customWidth="1"/>
    <col min="10235" max="10235" width="5.140625" style="322" customWidth="1"/>
    <col min="10236" max="10236" width="9.7109375" style="322" customWidth="1"/>
    <col min="10237" max="10237" width="13.7109375" style="322" customWidth="1"/>
    <col min="10238" max="10238" width="5.140625" style="322" customWidth="1"/>
    <col min="10239" max="10239" width="9.7109375" style="322" customWidth="1"/>
    <col min="10240" max="10240" width="12.5703125" style="322" customWidth="1"/>
    <col min="10241" max="10241" width="5.140625" style="322" customWidth="1"/>
    <col min="10242" max="10242" width="9.7109375" style="322" customWidth="1"/>
    <col min="10243" max="10243" width="12.7109375" style="322" customWidth="1"/>
    <col min="10244" max="10244" width="5.140625" style="322" customWidth="1"/>
    <col min="10245" max="10245" width="9.7109375" style="322" customWidth="1"/>
    <col min="10246" max="10246" width="12.7109375" style="322" customWidth="1"/>
    <col min="10247" max="10247" width="5.140625" style="322" customWidth="1"/>
    <col min="10248" max="10248" width="9.7109375" style="322" customWidth="1"/>
    <col min="10249" max="10249" width="12.7109375" style="322" customWidth="1"/>
    <col min="10250" max="10250" width="5.140625" style="322" customWidth="1"/>
    <col min="10251" max="10251" width="9.7109375" style="322" customWidth="1"/>
    <col min="10252" max="10252" width="12.7109375" style="322" customWidth="1"/>
    <col min="10253" max="10253" width="5.140625" style="322" customWidth="1"/>
    <col min="10254" max="10254" width="9.7109375" style="322" customWidth="1"/>
    <col min="10255" max="10255" width="12.7109375" style="322" customWidth="1"/>
    <col min="10256" max="10256" width="5.140625" style="322" customWidth="1"/>
    <col min="10257" max="10257" width="9.7109375" style="322" customWidth="1"/>
    <col min="10258" max="10258" width="12.7109375" style="322" customWidth="1"/>
    <col min="10259" max="10259" width="5.140625" style="322" customWidth="1"/>
    <col min="10260" max="10260" width="9.7109375" style="322" customWidth="1"/>
    <col min="10261" max="10261" width="12.7109375" style="322" customWidth="1"/>
    <col min="10262" max="10262" width="5.140625" style="322" customWidth="1"/>
    <col min="10263" max="10263" width="9.7109375" style="322" customWidth="1"/>
    <col min="10264" max="10264" width="12.7109375" style="322" customWidth="1"/>
    <col min="10265" max="10265" width="5.140625" style="322" customWidth="1"/>
    <col min="10266" max="10266" width="9.7109375" style="322" customWidth="1"/>
    <col min="10267" max="10267" width="12.7109375" style="322" customWidth="1"/>
    <col min="10268" max="10268" width="5.140625" style="322" customWidth="1"/>
    <col min="10269" max="10269" width="9.7109375" style="322" customWidth="1"/>
    <col min="10270" max="10270" width="12.7109375" style="322" customWidth="1"/>
    <col min="10271" max="10271" width="5.140625" style="322" customWidth="1"/>
    <col min="10272" max="10272" width="9.7109375" style="322" customWidth="1"/>
    <col min="10273" max="10273" width="12.7109375" style="322" customWidth="1"/>
    <col min="10274" max="10274" width="37.7109375" style="322" customWidth="1"/>
    <col min="10275" max="10477" width="9.140625" style="322"/>
    <col min="10478" max="10478" width="1.7109375" style="322" customWidth="1"/>
    <col min="10479" max="10479" width="3.5703125" style="322" customWidth="1"/>
    <col min="10480" max="10480" width="11" style="322" customWidth="1"/>
    <col min="10481" max="10481" width="20.7109375" style="322" customWidth="1"/>
    <col min="10482" max="10483" width="11.7109375" style="322" customWidth="1"/>
    <col min="10484" max="10484" width="9.7109375" style="322" customWidth="1"/>
    <col min="10485" max="10485" width="10.140625" style="322" bestFit="1" customWidth="1"/>
    <col min="10486" max="10487" width="7.7109375" style="322" customWidth="1"/>
    <col min="10488" max="10488" width="4" style="322" customWidth="1"/>
    <col min="10489" max="10489" width="9.7109375" style="322" customWidth="1"/>
    <col min="10490" max="10490" width="15.140625" style="322" customWidth="1"/>
    <col min="10491" max="10491" width="5.140625" style="322" customWidth="1"/>
    <col min="10492" max="10492" width="9.7109375" style="322" customWidth="1"/>
    <col min="10493" max="10493" width="13.7109375" style="322" customWidth="1"/>
    <col min="10494" max="10494" width="5.140625" style="322" customWidth="1"/>
    <col min="10495" max="10495" width="9.7109375" style="322" customWidth="1"/>
    <col min="10496" max="10496" width="12.5703125" style="322" customWidth="1"/>
    <col min="10497" max="10497" width="5.140625" style="322" customWidth="1"/>
    <col min="10498" max="10498" width="9.7109375" style="322" customWidth="1"/>
    <col min="10499" max="10499" width="12.7109375" style="322" customWidth="1"/>
    <col min="10500" max="10500" width="5.140625" style="322" customWidth="1"/>
    <col min="10501" max="10501" width="9.7109375" style="322" customWidth="1"/>
    <col min="10502" max="10502" width="12.7109375" style="322" customWidth="1"/>
    <col min="10503" max="10503" width="5.140625" style="322" customWidth="1"/>
    <col min="10504" max="10504" width="9.7109375" style="322" customWidth="1"/>
    <col min="10505" max="10505" width="12.7109375" style="322" customWidth="1"/>
    <col min="10506" max="10506" width="5.140625" style="322" customWidth="1"/>
    <col min="10507" max="10507" width="9.7109375" style="322" customWidth="1"/>
    <col min="10508" max="10508" width="12.7109375" style="322" customWidth="1"/>
    <col min="10509" max="10509" width="5.140625" style="322" customWidth="1"/>
    <col min="10510" max="10510" width="9.7109375" style="322" customWidth="1"/>
    <col min="10511" max="10511" width="12.7109375" style="322" customWidth="1"/>
    <col min="10512" max="10512" width="5.140625" style="322" customWidth="1"/>
    <col min="10513" max="10513" width="9.7109375" style="322" customWidth="1"/>
    <col min="10514" max="10514" width="12.7109375" style="322" customWidth="1"/>
    <col min="10515" max="10515" width="5.140625" style="322" customWidth="1"/>
    <col min="10516" max="10516" width="9.7109375" style="322" customWidth="1"/>
    <col min="10517" max="10517" width="12.7109375" style="322" customWidth="1"/>
    <col min="10518" max="10518" width="5.140625" style="322" customWidth="1"/>
    <col min="10519" max="10519" width="9.7109375" style="322" customWidth="1"/>
    <col min="10520" max="10520" width="12.7109375" style="322" customWidth="1"/>
    <col min="10521" max="10521" width="5.140625" style="322" customWidth="1"/>
    <col min="10522" max="10522" width="9.7109375" style="322" customWidth="1"/>
    <col min="10523" max="10523" width="12.7109375" style="322" customWidth="1"/>
    <col min="10524" max="10524" width="5.140625" style="322" customWidth="1"/>
    <col min="10525" max="10525" width="9.7109375" style="322" customWidth="1"/>
    <col min="10526" max="10526" width="12.7109375" style="322" customWidth="1"/>
    <col min="10527" max="10527" width="5.140625" style="322" customWidth="1"/>
    <col min="10528" max="10528" width="9.7109375" style="322" customWidth="1"/>
    <col min="10529" max="10529" width="12.7109375" style="322" customWidth="1"/>
    <col min="10530" max="10530" width="37.7109375" style="322" customWidth="1"/>
    <col min="10531" max="10733" width="9.140625" style="322"/>
    <col min="10734" max="10734" width="1.7109375" style="322" customWidth="1"/>
    <col min="10735" max="10735" width="3.5703125" style="322" customWidth="1"/>
    <col min="10736" max="10736" width="11" style="322" customWidth="1"/>
    <col min="10737" max="10737" width="20.7109375" style="322" customWidth="1"/>
    <col min="10738" max="10739" width="11.7109375" style="322" customWidth="1"/>
    <col min="10740" max="10740" width="9.7109375" style="322" customWidth="1"/>
    <col min="10741" max="10741" width="10.140625" style="322" bestFit="1" customWidth="1"/>
    <col min="10742" max="10743" width="7.7109375" style="322" customWidth="1"/>
    <col min="10744" max="10744" width="4" style="322" customWidth="1"/>
    <col min="10745" max="10745" width="9.7109375" style="322" customWidth="1"/>
    <col min="10746" max="10746" width="15.140625" style="322" customWidth="1"/>
    <col min="10747" max="10747" width="5.140625" style="322" customWidth="1"/>
    <col min="10748" max="10748" width="9.7109375" style="322" customWidth="1"/>
    <col min="10749" max="10749" width="13.7109375" style="322" customWidth="1"/>
    <col min="10750" max="10750" width="5.140625" style="322" customWidth="1"/>
    <col min="10751" max="10751" width="9.7109375" style="322" customWidth="1"/>
    <col min="10752" max="10752" width="12.5703125" style="322" customWidth="1"/>
    <col min="10753" max="10753" width="5.140625" style="322" customWidth="1"/>
    <col min="10754" max="10754" width="9.7109375" style="322" customWidth="1"/>
    <col min="10755" max="10755" width="12.7109375" style="322" customWidth="1"/>
    <col min="10756" max="10756" width="5.140625" style="322" customWidth="1"/>
    <col min="10757" max="10757" width="9.7109375" style="322" customWidth="1"/>
    <col min="10758" max="10758" width="12.7109375" style="322" customWidth="1"/>
    <col min="10759" max="10759" width="5.140625" style="322" customWidth="1"/>
    <col min="10760" max="10760" width="9.7109375" style="322" customWidth="1"/>
    <col min="10761" max="10761" width="12.7109375" style="322" customWidth="1"/>
    <col min="10762" max="10762" width="5.140625" style="322" customWidth="1"/>
    <col min="10763" max="10763" width="9.7109375" style="322" customWidth="1"/>
    <col min="10764" max="10764" width="12.7109375" style="322" customWidth="1"/>
    <col min="10765" max="10765" width="5.140625" style="322" customWidth="1"/>
    <col min="10766" max="10766" width="9.7109375" style="322" customWidth="1"/>
    <col min="10767" max="10767" width="12.7109375" style="322" customWidth="1"/>
    <col min="10768" max="10768" width="5.140625" style="322" customWidth="1"/>
    <col min="10769" max="10769" width="9.7109375" style="322" customWidth="1"/>
    <col min="10770" max="10770" width="12.7109375" style="322" customWidth="1"/>
    <col min="10771" max="10771" width="5.140625" style="322" customWidth="1"/>
    <col min="10772" max="10772" width="9.7109375" style="322" customWidth="1"/>
    <col min="10773" max="10773" width="12.7109375" style="322" customWidth="1"/>
    <col min="10774" max="10774" width="5.140625" style="322" customWidth="1"/>
    <col min="10775" max="10775" width="9.7109375" style="322" customWidth="1"/>
    <col min="10776" max="10776" width="12.7109375" style="322" customWidth="1"/>
    <col min="10777" max="10777" width="5.140625" style="322" customWidth="1"/>
    <col min="10778" max="10778" width="9.7109375" style="322" customWidth="1"/>
    <col min="10779" max="10779" width="12.7109375" style="322" customWidth="1"/>
    <col min="10780" max="10780" width="5.140625" style="322" customWidth="1"/>
    <col min="10781" max="10781" width="9.7109375" style="322" customWidth="1"/>
    <col min="10782" max="10782" width="12.7109375" style="322" customWidth="1"/>
    <col min="10783" max="10783" width="5.140625" style="322" customWidth="1"/>
    <col min="10784" max="10784" width="9.7109375" style="322" customWidth="1"/>
    <col min="10785" max="10785" width="12.7109375" style="322" customWidth="1"/>
    <col min="10786" max="10786" width="37.7109375" style="322" customWidth="1"/>
    <col min="10787" max="10989" width="9.140625" style="322"/>
    <col min="10990" max="10990" width="1.7109375" style="322" customWidth="1"/>
    <col min="10991" max="10991" width="3.5703125" style="322" customWidth="1"/>
    <col min="10992" max="10992" width="11" style="322" customWidth="1"/>
    <col min="10993" max="10993" width="20.7109375" style="322" customWidth="1"/>
    <col min="10994" max="10995" width="11.7109375" style="322" customWidth="1"/>
    <col min="10996" max="10996" width="9.7109375" style="322" customWidth="1"/>
    <col min="10997" max="10997" width="10.140625" style="322" bestFit="1" customWidth="1"/>
    <col min="10998" max="10999" width="7.7109375" style="322" customWidth="1"/>
    <col min="11000" max="11000" width="4" style="322" customWidth="1"/>
    <col min="11001" max="11001" width="9.7109375" style="322" customWidth="1"/>
    <col min="11002" max="11002" width="15.140625" style="322" customWidth="1"/>
    <col min="11003" max="11003" width="5.140625" style="322" customWidth="1"/>
    <col min="11004" max="11004" width="9.7109375" style="322" customWidth="1"/>
    <col min="11005" max="11005" width="13.7109375" style="322" customWidth="1"/>
    <col min="11006" max="11006" width="5.140625" style="322" customWidth="1"/>
    <col min="11007" max="11007" width="9.7109375" style="322" customWidth="1"/>
    <col min="11008" max="11008" width="12.5703125" style="322" customWidth="1"/>
    <col min="11009" max="11009" width="5.140625" style="322" customWidth="1"/>
    <col min="11010" max="11010" width="9.7109375" style="322" customWidth="1"/>
    <col min="11011" max="11011" width="12.7109375" style="322" customWidth="1"/>
    <col min="11012" max="11012" width="5.140625" style="322" customWidth="1"/>
    <col min="11013" max="11013" width="9.7109375" style="322" customWidth="1"/>
    <col min="11014" max="11014" width="12.7109375" style="322" customWidth="1"/>
    <col min="11015" max="11015" width="5.140625" style="322" customWidth="1"/>
    <col min="11016" max="11016" width="9.7109375" style="322" customWidth="1"/>
    <col min="11017" max="11017" width="12.7109375" style="322" customWidth="1"/>
    <col min="11018" max="11018" width="5.140625" style="322" customWidth="1"/>
    <col min="11019" max="11019" width="9.7109375" style="322" customWidth="1"/>
    <col min="11020" max="11020" width="12.7109375" style="322" customWidth="1"/>
    <col min="11021" max="11021" width="5.140625" style="322" customWidth="1"/>
    <col min="11022" max="11022" width="9.7109375" style="322" customWidth="1"/>
    <col min="11023" max="11023" width="12.7109375" style="322" customWidth="1"/>
    <col min="11024" max="11024" width="5.140625" style="322" customWidth="1"/>
    <col min="11025" max="11025" width="9.7109375" style="322" customWidth="1"/>
    <col min="11026" max="11026" width="12.7109375" style="322" customWidth="1"/>
    <col min="11027" max="11027" width="5.140625" style="322" customWidth="1"/>
    <col min="11028" max="11028" width="9.7109375" style="322" customWidth="1"/>
    <col min="11029" max="11029" width="12.7109375" style="322" customWidth="1"/>
    <col min="11030" max="11030" width="5.140625" style="322" customWidth="1"/>
    <col min="11031" max="11031" width="9.7109375" style="322" customWidth="1"/>
    <col min="11032" max="11032" width="12.7109375" style="322" customWidth="1"/>
    <col min="11033" max="11033" width="5.140625" style="322" customWidth="1"/>
    <col min="11034" max="11034" width="9.7109375" style="322" customWidth="1"/>
    <col min="11035" max="11035" width="12.7109375" style="322" customWidth="1"/>
    <col min="11036" max="11036" width="5.140625" style="322" customWidth="1"/>
    <col min="11037" max="11037" width="9.7109375" style="322" customWidth="1"/>
    <col min="11038" max="11038" width="12.7109375" style="322" customWidth="1"/>
    <col min="11039" max="11039" width="5.140625" style="322" customWidth="1"/>
    <col min="11040" max="11040" width="9.7109375" style="322" customWidth="1"/>
    <col min="11041" max="11041" width="12.7109375" style="322" customWidth="1"/>
    <col min="11042" max="11042" width="37.7109375" style="322" customWidth="1"/>
    <col min="11043" max="11245" width="9.140625" style="322"/>
    <col min="11246" max="11246" width="1.7109375" style="322" customWidth="1"/>
    <col min="11247" max="11247" width="3.5703125" style="322" customWidth="1"/>
    <col min="11248" max="11248" width="11" style="322" customWidth="1"/>
    <col min="11249" max="11249" width="20.7109375" style="322" customWidth="1"/>
    <col min="11250" max="11251" width="11.7109375" style="322" customWidth="1"/>
    <col min="11252" max="11252" width="9.7109375" style="322" customWidth="1"/>
    <col min="11253" max="11253" width="10.140625" style="322" bestFit="1" customWidth="1"/>
    <col min="11254" max="11255" width="7.7109375" style="322" customWidth="1"/>
    <col min="11256" max="11256" width="4" style="322" customWidth="1"/>
    <col min="11257" max="11257" width="9.7109375" style="322" customWidth="1"/>
    <col min="11258" max="11258" width="15.140625" style="322" customWidth="1"/>
    <col min="11259" max="11259" width="5.140625" style="322" customWidth="1"/>
    <col min="11260" max="11260" width="9.7109375" style="322" customWidth="1"/>
    <col min="11261" max="11261" width="13.7109375" style="322" customWidth="1"/>
    <col min="11262" max="11262" width="5.140625" style="322" customWidth="1"/>
    <col min="11263" max="11263" width="9.7109375" style="322" customWidth="1"/>
    <col min="11264" max="11264" width="12.5703125" style="322" customWidth="1"/>
    <col min="11265" max="11265" width="5.140625" style="322" customWidth="1"/>
    <col min="11266" max="11266" width="9.7109375" style="322" customWidth="1"/>
    <col min="11267" max="11267" width="12.7109375" style="322" customWidth="1"/>
    <col min="11268" max="11268" width="5.140625" style="322" customWidth="1"/>
    <col min="11269" max="11269" width="9.7109375" style="322" customWidth="1"/>
    <col min="11270" max="11270" width="12.7109375" style="322" customWidth="1"/>
    <col min="11271" max="11271" width="5.140625" style="322" customWidth="1"/>
    <col min="11272" max="11272" width="9.7109375" style="322" customWidth="1"/>
    <col min="11273" max="11273" width="12.7109375" style="322" customWidth="1"/>
    <col min="11274" max="11274" width="5.140625" style="322" customWidth="1"/>
    <col min="11275" max="11275" width="9.7109375" style="322" customWidth="1"/>
    <col min="11276" max="11276" width="12.7109375" style="322" customWidth="1"/>
    <col min="11277" max="11277" width="5.140625" style="322" customWidth="1"/>
    <col min="11278" max="11278" width="9.7109375" style="322" customWidth="1"/>
    <col min="11279" max="11279" width="12.7109375" style="322" customWidth="1"/>
    <col min="11280" max="11280" width="5.140625" style="322" customWidth="1"/>
    <col min="11281" max="11281" width="9.7109375" style="322" customWidth="1"/>
    <col min="11282" max="11282" width="12.7109375" style="322" customWidth="1"/>
    <col min="11283" max="11283" width="5.140625" style="322" customWidth="1"/>
    <col min="11284" max="11284" width="9.7109375" style="322" customWidth="1"/>
    <col min="11285" max="11285" width="12.7109375" style="322" customWidth="1"/>
    <col min="11286" max="11286" width="5.140625" style="322" customWidth="1"/>
    <col min="11287" max="11287" width="9.7109375" style="322" customWidth="1"/>
    <col min="11288" max="11288" width="12.7109375" style="322" customWidth="1"/>
    <col min="11289" max="11289" width="5.140625" style="322" customWidth="1"/>
    <col min="11290" max="11290" width="9.7109375" style="322" customWidth="1"/>
    <col min="11291" max="11291" width="12.7109375" style="322" customWidth="1"/>
    <col min="11292" max="11292" width="5.140625" style="322" customWidth="1"/>
    <col min="11293" max="11293" width="9.7109375" style="322" customWidth="1"/>
    <col min="11294" max="11294" width="12.7109375" style="322" customWidth="1"/>
    <col min="11295" max="11295" width="5.140625" style="322" customWidth="1"/>
    <col min="11296" max="11296" width="9.7109375" style="322" customWidth="1"/>
    <col min="11297" max="11297" width="12.7109375" style="322" customWidth="1"/>
    <col min="11298" max="11298" width="37.7109375" style="322" customWidth="1"/>
    <col min="11299" max="11501" width="9.140625" style="322"/>
    <col min="11502" max="11502" width="1.7109375" style="322" customWidth="1"/>
    <col min="11503" max="11503" width="3.5703125" style="322" customWidth="1"/>
    <col min="11504" max="11504" width="11" style="322" customWidth="1"/>
    <col min="11505" max="11505" width="20.7109375" style="322" customWidth="1"/>
    <col min="11506" max="11507" width="11.7109375" style="322" customWidth="1"/>
    <col min="11508" max="11508" width="9.7109375" style="322" customWidth="1"/>
    <col min="11509" max="11509" width="10.140625" style="322" bestFit="1" customWidth="1"/>
    <col min="11510" max="11511" width="7.7109375" style="322" customWidth="1"/>
    <col min="11512" max="11512" width="4" style="322" customWidth="1"/>
    <col min="11513" max="11513" width="9.7109375" style="322" customWidth="1"/>
    <col min="11514" max="11514" width="15.140625" style="322" customWidth="1"/>
    <col min="11515" max="11515" width="5.140625" style="322" customWidth="1"/>
    <col min="11516" max="11516" width="9.7109375" style="322" customWidth="1"/>
    <col min="11517" max="11517" width="13.7109375" style="322" customWidth="1"/>
    <col min="11518" max="11518" width="5.140625" style="322" customWidth="1"/>
    <col min="11519" max="11519" width="9.7109375" style="322" customWidth="1"/>
    <col min="11520" max="11520" width="12.5703125" style="322" customWidth="1"/>
    <col min="11521" max="11521" width="5.140625" style="322" customWidth="1"/>
    <col min="11522" max="11522" width="9.7109375" style="322" customWidth="1"/>
    <col min="11523" max="11523" width="12.7109375" style="322" customWidth="1"/>
    <col min="11524" max="11524" width="5.140625" style="322" customWidth="1"/>
    <col min="11525" max="11525" width="9.7109375" style="322" customWidth="1"/>
    <col min="11526" max="11526" width="12.7109375" style="322" customWidth="1"/>
    <col min="11527" max="11527" width="5.140625" style="322" customWidth="1"/>
    <col min="11528" max="11528" width="9.7109375" style="322" customWidth="1"/>
    <col min="11529" max="11529" width="12.7109375" style="322" customWidth="1"/>
    <col min="11530" max="11530" width="5.140625" style="322" customWidth="1"/>
    <col min="11531" max="11531" width="9.7109375" style="322" customWidth="1"/>
    <col min="11532" max="11532" width="12.7109375" style="322" customWidth="1"/>
    <col min="11533" max="11533" width="5.140625" style="322" customWidth="1"/>
    <col min="11534" max="11534" width="9.7109375" style="322" customWidth="1"/>
    <col min="11535" max="11535" width="12.7109375" style="322" customWidth="1"/>
    <col min="11536" max="11536" width="5.140625" style="322" customWidth="1"/>
    <col min="11537" max="11537" width="9.7109375" style="322" customWidth="1"/>
    <col min="11538" max="11538" width="12.7109375" style="322" customWidth="1"/>
    <col min="11539" max="11539" width="5.140625" style="322" customWidth="1"/>
    <col min="11540" max="11540" width="9.7109375" style="322" customWidth="1"/>
    <col min="11541" max="11541" width="12.7109375" style="322" customWidth="1"/>
    <col min="11542" max="11542" width="5.140625" style="322" customWidth="1"/>
    <col min="11543" max="11543" width="9.7109375" style="322" customWidth="1"/>
    <col min="11544" max="11544" width="12.7109375" style="322" customWidth="1"/>
    <col min="11545" max="11545" width="5.140625" style="322" customWidth="1"/>
    <col min="11546" max="11546" width="9.7109375" style="322" customWidth="1"/>
    <col min="11547" max="11547" width="12.7109375" style="322" customWidth="1"/>
    <col min="11548" max="11548" width="5.140625" style="322" customWidth="1"/>
    <col min="11549" max="11549" width="9.7109375" style="322" customWidth="1"/>
    <col min="11550" max="11550" width="12.7109375" style="322" customWidth="1"/>
    <col min="11551" max="11551" width="5.140625" style="322" customWidth="1"/>
    <col min="11552" max="11552" width="9.7109375" style="322" customWidth="1"/>
    <col min="11553" max="11553" width="12.7109375" style="322" customWidth="1"/>
    <col min="11554" max="11554" width="37.7109375" style="322" customWidth="1"/>
    <col min="11555" max="11757" width="9.140625" style="322"/>
    <col min="11758" max="11758" width="1.7109375" style="322" customWidth="1"/>
    <col min="11759" max="11759" width="3.5703125" style="322" customWidth="1"/>
    <col min="11760" max="11760" width="11" style="322" customWidth="1"/>
    <col min="11761" max="11761" width="20.7109375" style="322" customWidth="1"/>
    <col min="11762" max="11763" width="11.7109375" style="322" customWidth="1"/>
    <col min="11764" max="11764" width="9.7109375" style="322" customWidth="1"/>
    <col min="11765" max="11765" width="10.140625" style="322" bestFit="1" customWidth="1"/>
    <col min="11766" max="11767" width="7.7109375" style="322" customWidth="1"/>
    <col min="11768" max="11768" width="4" style="322" customWidth="1"/>
    <col min="11769" max="11769" width="9.7109375" style="322" customWidth="1"/>
    <col min="11770" max="11770" width="15.140625" style="322" customWidth="1"/>
    <col min="11771" max="11771" width="5.140625" style="322" customWidth="1"/>
    <col min="11772" max="11772" width="9.7109375" style="322" customWidth="1"/>
    <col min="11773" max="11773" width="13.7109375" style="322" customWidth="1"/>
    <col min="11774" max="11774" width="5.140625" style="322" customWidth="1"/>
    <col min="11775" max="11775" width="9.7109375" style="322" customWidth="1"/>
    <col min="11776" max="11776" width="12.5703125" style="322" customWidth="1"/>
    <col min="11777" max="11777" width="5.140625" style="322" customWidth="1"/>
    <col min="11778" max="11778" width="9.7109375" style="322" customWidth="1"/>
    <col min="11779" max="11779" width="12.7109375" style="322" customWidth="1"/>
    <col min="11780" max="11780" width="5.140625" style="322" customWidth="1"/>
    <col min="11781" max="11781" width="9.7109375" style="322" customWidth="1"/>
    <col min="11782" max="11782" width="12.7109375" style="322" customWidth="1"/>
    <col min="11783" max="11783" width="5.140625" style="322" customWidth="1"/>
    <col min="11784" max="11784" width="9.7109375" style="322" customWidth="1"/>
    <col min="11785" max="11785" width="12.7109375" style="322" customWidth="1"/>
    <col min="11786" max="11786" width="5.140625" style="322" customWidth="1"/>
    <col min="11787" max="11787" width="9.7109375" style="322" customWidth="1"/>
    <col min="11788" max="11788" width="12.7109375" style="322" customWidth="1"/>
    <col min="11789" max="11789" width="5.140625" style="322" customWidth="1"/>
    <col min="11790" max="11790" width="9.7109375" style="322" customWidth="1"/>
    <col min="11791" max="11791" width="12.7109375" style="322" customWidth="1"/>
    <col min="11792" max="11792" width="5.140625" style="322" customWidth="1"/>
    <col min="11793" max="11793" width="9.7109375" style="322" customWidth="1"/>
    <col min="11794" max="11794" width="12.7109375" style="322" customWidth="1"/>
    <col min="11795" max="11795" width="5.140625" style="322" customWidth="1"/>
    <col min="11796" max="11796" width="9.7109375" style="322" customWidth="1"/>
    <col min="11797" max="11797" width="12.7109375" style="322" customWidth="1"/>
    <col min="11798" max="11798" width="5.140625" style="322" customWidth="1"/>
    <col min="11799" max="11799" width="9.7109375" style="322" customWidth="1"/>
    <col min="11800" max="11800" width="12.7109375" style="322" customWidth="1"/>
    <col min="11801" max="11801" width="5.140625" style="322" customWidth="1"/>
    <col min="11802" max="11802" width="9.7109375" style="322" customWidth="1"/>
    <col min="11803" max="11803" width="12.7109375" style="322" customWidth="1"/>
    <col min="11804" max="11804" width="5.140625" style="322" customWidth="1"/>
    <col min="11805" max="11805" width="9.7109375" style="322" customWidth="1"/>
    <col min="11806" max="11806" width="12.7109375" style="322" customWidth="1"/>
    <col min="11807" max="11807" width="5.140625" style="322" customWidth="1"/>
    <col min="11808" max="11808" width="9.7109375" style="322" customWidth="1"/>
    <col min="11809" max="11809" width="12.7109375" style="322" customWidth="1"/>
    <col min="11810" max="11810" width="37.7109375" style="322" customWidth="1"/>
    <col min="11811" max="12013" width="9.140625" style="322"/>
    <col min="12014" max="12014" width="1.7109375" style="322" customWidth="1"/>
    <col min="12015" max="12015" width="3.5703125" style="322" customWidth="1"/>
    <col min="12016" max="12016" width="11" style="322" customWidth="1"/>
    <col min="12017" max="12017" width="20.7109375" style="322" customWidth="1"/>
    <col min="12018" max="12019" width="11.7109375" style="322" customWidth="1"/>
    <col min="12020" max="12020" width="9.7109375" style="322" customWidth="1"/>
    <col min="12021" max="12021" width="10.140625" style="322" bestFit="1" customWidth="1"/>
    <col min="12022" max="12023" width="7.7109375" style="322" customWidth="1"/>
    <col min="12024" max="12024" width="4" style="322" customWidth="1"/>
    <col min="12025" max="12025" width="9.7109375" style="322" customWidth="1"/>
    <col min="12026" max="12026" width="15.140625" style="322" customWidth="1"/>
    <col min="12027" max="12027" width="5.140625" style="322" customWidth="1"/>
    <col min="12028" max="12028" width="9.7109375" style="322" customWidth="1"/>
    <col min="12029" max="12029" width="13.7109375" style="322" customWidth="1"/>
    <col min="12030" max="12030" width="5.140625" style="322" customWidth="1"/>
    <col min="12031" max="12031" width="9.7109375" style="322" customWidth="1"/>
    <col min="12032" max="12032" width="12.5703125" style="322" customWidth="1"/>
    <col min="12033" max="12033" width="5.140625" style="322" customWidth="1"/>
    <col min="12034" max="12034" width="9.7109375" style="322" customWidth="1"/>
    <col min="12035" max="12035" width="12.7109375" style="322" customWidth="1"/>
    <col min="12036" max="12036" width="5.140625" style="322" customWidth="1"/>
    <col min="12037" max="12037" width="9.7109375" style="322" customWidth="1"/>
    <col min="12038" max="12038" width="12.7109375" style="322" customWidth="1"/>
    <col min="12039" max="12039" width="5.140625" style="322" customWidth="1"/>
    <col min="12040" max="12040" width="9.7109375" style="322" customWidth="1"/>
    <col min="12041" max="12041" width="12.7109375" style="322" customWidth="1"/>
    <col min="12042" max="12042" width="5.140625" style="322" customWidth="1"/>
    <col min="12043" max="12043" width="9.7109375" style="322" customWidth="1"/>
    <col min="12044" max="12044" width="12.7109375" style="322" customWidth="1"/>
    <col min="12045" max="12045" width="5.140625" style="322" customWidth="1"/>
    <col min="12046" max="12046" width="9.7109375" style="322" customWidth="1"/>
    <col min="12047" max="12047" width="12.7109375" style="322" customWidth="1"/>
    <col min="12048" max="12048" width="5.140625" style="322" customWidth="1"/>
    <col min="12049" max="12049" width="9.7109375" style="322" customWidth="1"/>
    <col min="12050" max="12050" width="12.7109375" style="322" customWidth="1"/>
    <col min="12051" max="12051" width="5.140625" style="322" customWidth="1"/>
    <col min="12052" max="12052" width="9.7109375" style="322" customWidth="1"/>
    <col min="12053" max="12053" width="12.7109375" style="322" customWidth="1"/>
    <col min="12054" max="12054" width="5.140625" style="322" customWidth="1"/>
    <col min="12055" max="12055" width="9.7109375" style="322" customWidth="1"/>
    <col min="12056" max="12056" width="12.7109375" style="322" customWidth="1"/>
    <col min="12057" max="12057" width="5.140625" style="322" customWidth="1"/>
    <col min="12058" max="12058" width="9.7109375" style="322" customWidth="1"/>
    <col min="12059" max="12059" width="12.7109375" style="322" customWidth="1"/>
    <col min="12060" max="12060" width="5.140625" style="322" customWidth="1"/>
    <col min="12061" max="12061" width="9.7109375" style="322" customWidth="1"/>
    <col min="12062" max="12062" width="12.7109375" style="322" customWidth="1"/>
    <col min="12063" max="12063" width="5.140625" style="322" customWidth="1"/>
    <col min="12064" max="12064" width="9.7109375" style="322" customWidth="1"/>
    <col min="12065" max="12065" width="12.7109375" style="322" customWidth="1"/>
    <col min="12066" max="12066" width="37.7109375" style="322" customWidth="1"/>
    <col min="12067" max="12269" width="9.140625" style="322"/>
    <col min="12270" max="12270" width="1.7109375" style="322" customWidth="1"/>
    <col min="12271" max="12271" width="3.5703125" style="322" customWidth="1"/>
    <col min="12272" max="12272" width="11" style="322" customWidth="1"/>
    <col min="12273" max="12273" width="20.7109375" style="322" customWidth="1"/>
    <col min="12274" max="12275" width="11.7109375" style="322" customWidth="1"/>
    <col min="12276" max="12276" width="9.7109375" style="322" customWidth="1"/>
    <col min="12277" max="12277" width="10.140625" style="322" bestFit="1" customWidth="1"/>
    <col min="12278" max="12279" width="7.7109375" style="322" customWidth="1"/>
    <col min="12280" max="12280" width="4" style="322" customWidth="1"/>
    <col min="12281" max="12281" width="9.7109375" style="322" customWidth="1"/>
    <col min="12282" max="12282" width="15.140625" style="322" customWidth="1"/>
    <col min="12283" max="12283" width="5.140625" style="322" customWidth="1"/>
    <col min="12284" max="12284" width="9.7109375" style="322" customWidth="1"/>
    <col min="12285" max="12285" width="13.7109375" style="322" customWidth="1"/>
    <col min="12286" max="12286" width="5.140625" style="322" customWidth="1"/>
    <col min="12287" max="12287" width="9.7109375" style="322" customWidth="1"/>
    <col min="12288" max="12288" width="12.5703125" style="322" customWidth="1"/>
    <col min="12289" max="12289" width="5.140625" style="322" customWidth="1"/>
    <col min="12290" max="12290" width="9.7109375" style="322" customWidth="1"/>
    <col min="12291" max="12291" width="12.7109375" style="322" customWidth="1"/>
    <col min="12292" max="12292" width="5.140625" style="322" customWidth="1"/>
    <col min="12293" max="12293" width="9.7109375" style="322" customWidth="1"/>
    <col min="12294" max="12294" width="12.7109375" style="322" customWidth="1"/>
    <col min="12295" max="12295" width="5.140625" style="322" customWidth="1"/>
    <col min="12296" max="12296" width="9.7109375" style="322" customWidth="1"/>
    <col min="12297" max="12297" width="12.7109375" style="322" customWidth="1"/>
    <col min="12298" max="12298" width="5.140625" style="322" customWidth="1"/>
    <col min="12299" max="12299" width="9.7109375" style="322" customWidth="1"/>
    <col min="12300" max="12300" width="12.7109375" style="322" customWidth="1"/>
    <col min="12301" max="12301" width="5.140625" style="322" customWidth="1"/>
    <col min="12302" max="12302" width="9.7109375" style="322" customWidth="1"/>
    <col min="12303" max="12303" width="12.7109375" style="322" customWidth="1"/>
    <col min="12304" max="12304" width="5.140625" style="322" customWidth="1"/>
    <col min="12305" max="12305" width="9.7109375" style="322" customWidth="1"/>
    <col min="12306" max="12306" width="12.7109375" style="322" customWidth="1"/>
    <col min="12307" max="12307" width="5.140625" style="322" customWidth="1"/>
    <col min="12308" max="12308" width="9.7109375" style="322" customWidth="1"/>
    <col min="12309" max="12309" width="12.7109375" style="322" customWidth="1"/>
    <col min="12310" max="12310" width="5.140625" style="322" customWidth="1"/>
    <col min="12311" max="12311" width="9.7109375" style="322" customWidth="1"/>
    <col min="12312" max="12312" width="12.7109375" style="322" customWidth="1"/>
    <col min="12313" max="12313" width="5.140625" style="322" customWidth="1"/>
    <col min="12314" max="12314" width="9.7109375" style="322" customWidth="1"/>
    <col min="12315" max="12315" width="12.7109375" style="322" customWidth="1"/>
    <col min="12316" max="12316" width="5.140625" style="322" customWidth="1"/>
    <col min="12317" max="12317" width="9.7109375" style="322" customWidth="1"/>
    <col min="12318" max="12318" width="12.7109375" style="322" customWidth="1"/>
    <col min="12319" max="12319" width="5.140625" style="322" customWidth="1"/>
    <col min="12320" max="12320" width="9.7109375" style="322" customWidth="1"/>
    <col min="12321" max="12321" width="12.7109375" style="322" customWidth="1"/>
    <col min="12322" max="12322" width="37.7109375" style="322" customWidth="1"/>
    <col min="12323" max="12525" width="9.140625" style="322"/>
    <col min="12526" max="12526" width="1.7109375" style="322" customWidth="1"/>
    <col min="12527" max="12527" width="3.5703125" style="322" customWidth="1"/>
    <col min="12528" max="12528" width="11" style="322" customWidth="1"/>
    <col min="12529" max="12529" width="20.7109375" style="322" customWidth="1"/>
    <col min="12530" max="12531" width="11.7109375" style="322" customWidth="1"/>
    <col min="12532" max="12532" width="9.7109375" style="322" customWidth="1"/>
    <col min="12533" max="12533" width="10.140625" style="322" bestFit="1" customWidth="1"/>
    <col min="12534" max="12535" width="7.7109375" style="322" customWidth="1"/>
    <col min="12536" max="12536" width="4" style="322" customWidth="1"/>
    <col min="12537" max="12537" width="9.7109375" style="322" customWidth="1"/>
    <col min="12538" max="12538" width="15.140625" style="322" customWidth="1"/>
    <col min="12539" max="12539" width="5.140625" style="322" customWidth="1"/>
    <col min="12540" max="12540" width="9.7109375" style="322" customWidth="1"/>
    <col min="12541" max="12541" width="13.7109375" style="322" customWidth="1"/>
    <col min="12542" max="12542" width="5.140625" style="322" customWidth="1"/>
    <col min="12543" max="12543" width="9.7109375" style="322" customWidth="1"/>
    <col min="12544" max="12544" width="12.5703125" style="322" customWidth="1"/>
    <col min="12545" max="12545" width="5.140625" style="322" customWidth="1"/>
    <col min="12546" max="12546" width="9.7109375" style="322" customWidth="1"/>
    <col min="12547" max="12547" width="12.7109375" style="322" customWidth="1"/>
    <col min="12548" max="12548" width="5.140625" style="322" customWidth="1"/>
    <col min="12549" max="12549" width="9.7109375" style="322" customWidth="1"/>
    <col min="12550" max="12550" width="12.7109375" style="322" customWidth="1"/>
    <col min="12551" max="12551" width="5.140625" style="322" customWidth="1"/>
    <col min="12552" max="12552" width="9.7109375" style="322" customWidth="1"/>
    <col min="12553" max="12553" width="12.7109375" style="322" customWidth="1"/>
    <col min="12554" max="12554" width="5.140625" style="322" customWidth="1"/>
    <col min="12555" max="12555" width="9.7109375" style="322" customWidth="1"/>
    <col min="12556" max="12556" width="12.7109375" style="322" customWidth="1"/>
    <col min="12557" max="12557" width="5.140625" style="322" customWidth="1"/>
    <col min="12558" max="12558" width="9.7109375" style="322" customWidth="1"/>
    <col min="12559" max="12559" width="12.7109375" style="322" customWidth="1"/>
    <col min="12560" max="12560" width="5.140625" style="322" customWidth="1"/>
    <col min="12561" max="12561" width="9.7109375" style="322" customWidth="1"/>
    <col min="12562" max="12562" width="12.7109375" style="322" customWidth="1"/>
    <col min="12563" max="12563" width="5.140625" style="322" customWidth="1"/>
    <col min="12564" max="12564" width="9.7109375" style="322" customWidth="1"/>
    <col min="12565" max="12565" width="12.7109375" style="322" customWidth="1"/>
    <col min="12566" max="12566" width="5.140625" style="322" customWidth="1"/>
    <col min="12567" max="12567" width="9.7109375" style="322" customWidth="1"/>
    <col min="12568" max="12568" width="12.7109375" style="322" customWidth="1"/>
    <col min="12569" max="12569" width="5.140625" style="322" customWidth="1"/>
    <col min="12570" max="12570" width="9.7109375" style="322" customWidth="1"/>
    <col min="12571" max="12571" width="12.7109375" style="322" customWidth="1"/>
    <col min="12572" max="12572" width="5.140625" style="322" customWidth="1"/>
    <col min="12573" max="12573" width="9.7109375" style="322" customWidth="1"/>
    <col min="12574" max="12574" width="12.7109375" style="322" customWidth="1"/>
    <col min="12575" max="12575" width="5.140625" style="322" customWidth="1"/>
    <col min="12576" max="12576" width="9.7109375" style="322" customWidth="1"/>
    <col min="12577" max="12577" width="12.7109375" style="322" customWidth="1"/>
    <col min="12578" max="12578" width="37.7109375" style="322" customWidth="1"/>
    <col min="12579" max="12781" width="9.140625" style="322"/>
    <col min="12782" max="12782" width="1.7109375" style="322" customWidth="1"/>
    <col min="12783" max="12783" width="3.5703125" style="322" customWidth="1"/>
    <col min="12784" max="12784" width="11" style="322" customWidth="1"/>
    <col min="12785" max="12785" width="20.7109375" style="322" customWidth="1"/>
    <col min="12786" max="12787" width="11.7109375" style="322" customWidth="1"/>
    <col min="12788" max="12788" width="9.7109375" style="322" customWidth="1"/>
    <col min="12789" max="12789" width="10.140625" style="322" bestFit="1" customWidth="1"/>
    <col min="12790" max="12791" width="7.7109375" style="322" customWidth="1"/>
    <col min="12792" max="12792" width="4" style="322" customWidth="1"/>
    <col min="12793" max="12793" width="9.7109375" style="322" customWidth="1"/>
    <col min="12794" max="12794" width="15.140625" style="322" customWidth="1"/>
    <col min="12795" max="12795" width="5.140625" style="322" customWidth="1"/>
    <col min="12796" max="12796" width="9.7109375" style="322" customWidth="1"/>
    <col min="12797" max="12797" width="13.7109375" style="322" customWidth="1"/>
    <col min="12798" max="12798" width="5.140625" style="322" customWidth="1"/>
    <col min="12799" max="12799" width="9.7109375" style="322" customWidth="1"/>
    <col min="12800" max="12800" width="12.5703125" style="322" customWidth="1"/>
    <col min="12801" max="12801" width="5.140625" style="322" customWidth="1"/>
    <col min="12802" max="12802" width="9.7109375" style="322" customWidth="1"/>
    <col min="12803" max="12803" width="12.7109375" style="322" customWidth="1"/>
    <col min="12804" max="12804" width="5.140625" style="322" customWidth="1"/>
    <col min="12805" max="12805" width="9.7109375" style="322" customWidth="1"/>
    <col min="12806" max="12806" width="12.7109375" style="322" customWidth="1"/>
    <col min="12807" max="12807" width="5.140625" style="322" customWidth="1"/>
    <col min="12808" max="12808" width="9.7109375" style="322" customWidth="1"/>
    <col min="12809" max="12809" width="12.7109375" style="322" customWidth="1"/>
    <col min="12810" max="12810" width="5.140625" style="322" customWidth="1"/>
    <col min="12811" max="12811" width="9.7109375" style="322" customWidth="1"/>
    <col min="12812" max="12812" width="12.7109375" style="322" customWidth="1"/>
    <col min="12813" max="12813" width="5.140625" style="322" customWidth="1"/>
    <col min="12814" max="12814" width="9.7109375" style="322" customWidth="1"/>
    <col min="12815" max="12815" width="12.7109375" style="322" customWidth="1"/>
    <col min="12816" max="12816" width="5.140625" style="322" customWidth="1"/>
    <col min="12817" max="12817" width="9.7109375" style="322" customWidth="1"/>
    <col min="12818" max="12818" width="12.7109375" style="322" customWidth="1"/>
    <col min="12819" max="12819" width="5.140625" style="322" customWidth="1"/>
    <col min="12820" max="12820" width="9.7109375" style="322" customWidth="1"/>
    <col min="12821" max="12821" width="12.7109375" style="322" customWidth="1"/>
    <col min="12822" max="12822" width="5.140625" style="322" customWidth="1"/>
    <col min="12823" max="12823" width="9.7109375" style="322" customWidth="1"/>
    <col min="12824" max="12824" width="12.7109375" style="322" customWidth="1"/>
    <col min="12825" max="12825" width="5.140625" style="322" customWidth="1"/>
    <col min="12826" max="12826" width="9.7109375" style="322" customWidth="1"/>
    <col min="12827" max="12827" width="12.7109375" style="322" customWidth="1"/>
    <col min="12828" max="12828" width="5.140625" style="322" customWidth="1"/>
    <col min="12829" max="12829" width="9.7109375" style="322" customWidth="1"/>
    <col min="12830" max="12830" width="12.7109375" style="322" customWidth="1"/>
    <col min="12831" max="12831" width="5.140625" style="322" customWidth="1"/>
    <col min="12832" max="12832" width="9.7109375" style="322" customWidth="1"/>
    <col min="12833" max="12833" width="12.7109375" style="322" customWidth="1"/>
    <col min="12834" max="12834" width="37.7109375" style="322" customWidth="1"/>
    <col min="12835" max="13037" width="9.140625" style="322"/>
    <col min="13038" max="13038" width="1.7109375" style="322" customWidth="1"/>
    <col min="13039" max="13039" width="3.5703125" style="322" customWidth="1"/>
    <col min="13040" max="13040" width="11" style="322" customWidth="1"/>
    <col min="13041" max="13041" width="20.7109375" style="322" customWidth="1"/>
    <col min="13042" max="13043" width="11.7109375" style="322" customWidth="1"/>
    <col min="13044" max="13044" width="9.7109375" style="322" customWidth="1"/>
    <col min="13045" max="13045" width="10.140625" style="322" bestFit="1" customWidth="1"/>
    <col min="13046" max="13047" width="7.7109375" style="322" customWidth="1"/>
    <col min="13048" max="13048" width="4" style="322" customWidth="1"/>
    <col min="13049" max="13049" width="9.7109375" style="322" customWidth="1"/>
    <col min="13050" max="13050" width="15.140625" style="322" customWidth="1"/>
    <col min="13051" max="13051" width="5.140625" style="322" customWidth="1"/>
    <col min="13052" max="13052" width="9.7109375" style="322" customWidth="1"/>
    <col min="13053" max="13053" width="13.7109375" style="322" customWidth="1"/>
    <col min="13054" max="13054" width="5.140625" style="322" customWidth="1"/>
    <col min="13055" max="13055" width="9.7109375" style="322" customWidth="1"/>
    <col min="13056" max="13056" width="12.5703125" style="322" customWidth="1"/>
    <col min="13057" max="13057" width="5.140625" style="322" customWidth="1"/>
    <col min="13058" max="13058" width="9.7109375" style="322" customWidth="1"/>
    <col min="13059" max="13059" width="12.7109375" style="322" customWidth="1"/>
    <col min="13060" max="13060" width="5.140625" style="322" customWidth="1"/>
    <col min="13061" max="13061" width="9.7109375" style="322" customWidth="1"/>
    <col min="13062" max="13062" width="12.7109375" style="322" customWidth="1"/>
    <col min="13063" max="13063" width="5.140625" style="322" customWidth="1"/>
    <col min="13064" max="13064" width="9.7109375" style="322" customWidth="1"/>
    <col min="13065" max="13065" width="12.7109375" style="322" customWidth="1"/>
    <col min="13066" max="13066" width="5.140625" style="322" customWidth="1"/>
    <col min="13067" max="13067" width="9.7109375" style="322" customWidth="1"/>
    <col min="13068" max="13068" width="12.7109375" style="322" customWidth="1"/>
    <col min="13069" max="13069" width="5.140625" style="322" customWidth="1"/>
    <col min="13070" max="13070" width="9.7109375" style="322" customWidth="1"/>
    <col min="13071" max="13071" width="12.7109375" style="322" customWidth="1"/>
    <col min="13072" max="13072" width="5.140625" style="322" customWidth="1"/>
    <col min="13073" max="13073" width="9.7109375" style="322" customWidth="1"/>
    <col min="13074" max="13074" width="12.7109375" style="322" customWidth="1"/>
    <col min="13075" max="13075" width="5.140625" style="322" customWidth="1"/>
    <col min="13076" max="13076" width="9.7109375" style="322" customWidth="1"/>
    <col min="13077" max="13077" width="12.7109375" style="322" customWidth="1"/>
    <col min="13078" max="13078" width="5.140625" style="322" customWidth="1"/>
    <col min="13079" max="13079" width="9.7109375" style="322" customWidth="1"/>
    <col min="13080" max="13080" width="12.7109375" style="322" customWidth="1"/>
    <col min="13081" max="13081" width="5.140625" style="322" customWidth="1"/>
    <col min="13082" max="13082" width="9.7109375" style="322" customWidth="1"/>
    <col min="13083" max="13083" width="12.7109375" style="322" customWidth="1"/>
    <col min="13084" max="13084" width="5.140625" style="322" customWidth="1"/>
    <col min="13085" max="13085" width="9.7109375" style="322" customWidth="1"/>
    <col min="13086" max="13086" width="12.7109375" style="322" customWidth="1"/>
    <col min="13087" max="13087" width="5.140625" style="322" customWidth="1"/>
    <col min="13088" max="13088" width="9.7109375" style="322" customWidth="1"/>
    <col min="13089" max="13089" width="12.7109375" style="322" customWidth="1"/>
    <col min="13090" max="13090" width="37.7109375" style="322" customWidth="1"/>
    <col min="13091" max="13293" width="9.140625" style="322"/>
    <col min="13294" max="13294" width="1.7109375" style="322" customWidth="1"/>
    <col min="13295" max="13295" width="3.5703125" style="322" customWidth="1"/>
    <col min="13296" max="13296" width="11" style="322" customWidth="1"/>
    <col min="13297" max="13297" width="20.7109375" style="322" customWidth="1"/>
    <col min="13298" max="13299" width="11.7109375" style="322" customWidth="1"/>
    <col min="13300" max="13300" width="9.7109375" style="322" customWidth="1"/>
    <col min="13301" max="13301" width="10.140625" style="322" bestFit="1" customWidth="1"/>
    <col min="13302" max="13303" width="7.7109375" style="322" customWidth="1"/>
    <col min="13304" max="13304" width="4" style="322" customWidth="1"/>
    <col min="13305" max="13305" width="9.7109375" style="322" customWidth="1"/>
    <col min="13306" max="13306" width="15.140625" style="322" customWidth="1"/>
    <col min="13307" max="13307" width="5.140625" style="322" customWidth="1"/>
    <col min="13308" max="13308" width="9.7109375" style="322" customWidth="1"/>
    <col min="13309" max="13309" width="13.7109375" style="322" customWidth="1"/>
    <col min="13310" max="13310" width="5.140625" style="322" customWidth="1"/>
    <col min="13311" max="13311" width="9.7109375" style="322" customWidth="1"/>
    <col min="13312" max="13312" width="12.5703125" style="322" customWidth="1"/>
    <col min="13313" max="13313" width="5.140625" style="322" customWidth="1"/>
    <col min="13314" max="13314" width="9.7109375" style="322" customWidth="1"/>
    <col min="13315" max="13315" width="12.7109375" style="322" customWidth="1"/>
    <col min="13316" max="13316" width="5.140625" style="322" customWidth="1"/>
    <col min="13317" max="13317" width="9.7109375" style="322" customWidth="1"/>
    <col min="13318" max="13318" width="12.7109375" style="322" customWidth="1"/>
    <col min="13319" max="13319" width="5.140625" style="322" customWidth="1"/>
    <col min="13320" max="13320" width="9.7109375" style="322" customWidth="1"/>
    <col min="13321" max="13321" width="12.7109375" style="322" customWidth="1"/>
    <col min="13322" max="13322" width="5.140625" style="322" customWidth="1"/>
    <col min="13323" max="13323" width="9.7109375" style="322" customWidth="1"/>
    <col min="13324" max="13324" width="12.7109375" style="322" customWidth="1"/>
    <col min="13325" max="13325" width="5.140625" style="322" customWidth="1"/>
    <col min="13326" max="13326" width="9.7109375" style="322" customWidth="1"/>
    <col min="13327" max="13327" width="12.7109375" style="322" customWidth="1"/>
    <col min="13328" max="13328" width="5.140625" style="322" customWidth="1"/>
    <col min="13329" max="13329" width="9.7109375" style="322" customWidth="1"/>
    <col min="13330" max="13330" width="12.7109375" style="322" customWidth="1"/>
    <col min="13331" max="13331" width="5.140625" style="322" customWidth="1"/>
    <col min="13332" max="13332" width="9.7109375" style="322" customWidth="1"/>
    <col min="13333" max="13333" width="12.7109375" style="322" customWidth="1"/>
    <col min="13334" max="13334" width="5.140625" style="322" customWidth="1"/>
    <col min="13335" max="13335" width="9.7109375" style="322" customWidth="1"/>
    <col min="13336" max="13336" width="12.7109375" style="322" customWidth="1"/>
    <col min="13337" max="13337" width="5.140625" style="322" customWidth="1"/>
    <col min="13338" max="13338" width="9.7109375" style="322" customWidth="1"/>
    <col min="13339" max="13339" width="12.7109375" style="322" customWidth="1"/>
    <col min="13340" max="13340" width="5.140625" style="322" customWidth="1"/>
    <col min="13341" max="13341" width="9.7109375" style="322" customWidth="1"/>
    <col min="13342" max="13342" width="12.7109375" style="322" customWidth="1"/>
    <col min="13343" max="13343" width="5.140625" style="322" customWidth="1"/>
    <col min="13344" max="13344" width="9.7109375" style="322" customWidth="1"/>
    <col min="13345" max="13345" width="12.7109375" style="322" customWidth="1"/>
    <col min="13346" max="13346" width="37.7109375" style="322" customWidth="1"/>
    <col min="13347" max="13549" width="9.140625" style="322"/>
    <col min="13550" max="13550" width="1.7109375" style="322" customWidth="1"/>
    <col min="13551" max="13551" width="3.5703125" style="322" customWidth="1"/>
    <col min="13552" max="13552" width="11" style="322" customWidth="1"/>
    <col min="13553" max="13553" width="20.7109375" style="322" customWidth="1"/>
    <col min="13554" max="13555" width="11.7109375" style="322" customWidth="1"/>
    <col min="13556" max="13556" width="9.7109375" style="322" customWidth="1"/>
    <col min="13557" max="13557" width="10.140625" style="322" bestFit="1" customWidth="1"/>
    <col min="13558" max="13559" width="7.7109375" style="322" customWidth="1"/>
    <col min="13560" max="13560" width="4" style="322" customWidth="1"/>
    <col min="13561" max="13561" width="9.7109375" style="322" customWidth="1"/>
    <col min="13562" max="13562" width="15.140625" style="322" customWidth="1"/>
    <col min="13563" max="13563" width="5.140625" style="322" customWidth="1"/>
    <col min="13564" max="13564" width="9.7109375" style="322" customWidth="1"/>
    <col min="13565" max="13565" width="13.7109375" style="322" customWidth="1"/>
    <col min="13566" max="13566" width="5.140625" style="322" customWidth="1"/>
    <col min="13567" max="13567" width="9.7109375" style="322" customWidth="1"/>
    <col min="13568" max="13568" width="12.5703125" style="322" customWidth="1"/>
    <col min="13569" max="13569" width="5.140625" style="322" customWidth="1"/>
    <col min="13570" max="13570" width="9.7109375" style="322" customWidth="1"/>
    <col min="13571" max="13571" width="12.7109375" style="322" customWidth="1"/>
    <col min="13572" max="13572" width="5.140625" style="322" customWidth="1"/>
    <col min="13573" max="13573" width="9.7109375" style="322" customWidth="1"/>
    <col min="13574" max="13574" width="12.7109375" style="322" customWidth="1"/>
    <col min="13575" max="13575" width="5.140625" style="322" customWidth="1"/>
    <col min="13576" max="13576" width="9.7109375" style="322" customWidth="1"/>
    <col min="13577" max="13577" width="12.7109375" style="322" customWidth="1"/>
    <col min="13578" max="13578" width="5.140625" style="322" customWidth="1"/>
    <col min="13579" max="13579" width="9.7109375" style="322" customWidth="1"/>
    <col min="13580" max="13580" width="12.7109375" style="322" customWidth="1"/>
    <col min="13581" max="13581" width="5.140625" style="322" customWidth="1"/>
    <col min="13582" max="13582" width="9.7109375" style="322" customWidth="1"/>
    <col min="13583" max="13583" width="12.7109375" style="322" customWidth="1"/>
    <col min="13584" max="13584" width="5.140625" style="322" customWidth="1"/>
    <col min="13585" max="13585" width="9.7109375" style="322" customWidth="1"/>
    <col min="13586" max="13586" width="12.7109375" style="322" customWidth="1"/>
    <col min="13587" max="13587" width="5.140625" style="322" customWidth="1"/>
    <col min="13588" max="13588" width="9.7109375" style="322" customWidth="1"/>
    <col min="13589" max="13589" width="12.7109375" style="322" customWidth="1"/>
    <col min="13590" max="13590" width="5.140625" style="322" customWidth="1"/>
    <col min="13591" max="13591" width="9.7109375" style="322" customWidth="1"/>
    <col min="13592" max="13592" width="12.7109375" style="322" customWidth="1"/>
    <col min="13593" max="13593" width="5.140625" style="322" customWidth="1"/>
    <col min="13594" max="13594" width="9.7109375" style="322" customWidth="1"/>
    <col min="13595" max="13595" width="12.7109375" style="322" customWidth="1"/>
    <col min="13596" max="13596" width="5.140625" style="322" customWidth="1"/>
    <col min="13597" max="13597" width="9.7109375" style="322" customWidth="1"/>
    <col min="13598" max="13598" width="12.7109375" style="322" customWidth="1"/>
    <col min="13599" max="13599" width="5.140625" style="322" customWidth="1"/>
    <col min="13600" max="13600" width="9.7109375" style="322" customWidth="1"/>
    <col min="13601" max="13601" width="12.7109375" style="322" customWidth="1"/>
    <col min="13602" max="13602" width="37.7109375" style="322" customWidth="1"/>
    <col min="13603" max="13805" width="9.140625" style="322"/>
    <col min="13806" max="13806" width="1.7109375" style="322" customWidth="1"/>
    <col min="13807" max="13807" width="3.5703125" style="322" customWidth="1"/>
    <col min="13808" max="13808" width="11" style="322" customWidth="1"/>
    <col min="13809" max="13809" width="20.7109375" style="322" customWidth="1"/>
    <col min="13810" max="13811" width="11.7109375" style="322" customWidth="1"/>
    <col min="13812" max="13812" width="9.7109375" style="322" customWidth="1"/>
    <col min="13813" max="13813" width="10.140625" style="322" bestFit="1" customWidth="1"/>
    <col min="13814" max="13815" width="7.7109375" style="322" customWidth="1"/>
    <col min="13816" max="13816" width="4" style="322" customWidth="1"/>
    <col min="13817" max="13817" width="9.7109375" style="322" customWidth="1"/>
    <col min="13818" max="13818" width="15.140625" style="322" customWidth="1"/>
    <col min="13819" max="13819" width="5.140625" style="322" customWidth="1"/>
    <col min="13820" max="13820" width="9.7109375" style="322" customWidth="1"/>
    <col min="13821" max="13821" width="13.7109375" style="322" customWidth="1"/>
    <col min="13822" max="13822" width="5.140625" style="322" customWidth="1"/>
    <col min="13823" max="13823" width="9.7109375" style="322" customWidth="1"/>
    <col min="13824" max="13824" width="12.5703125" style="322" customWidth="1"/>
    <col min="13825" max="13825" width="5.140625" style="322" customWidth="1"/>
    <col min="13826" max="13826" width="9.7109375" style="322" customWidth="1"/>
    <col min="13827" max="13827" width="12.7109375" style="322" customWidth="1"/>
    <col min="13828" max="13828" width="5.140625" style="322" customWidth="1"/>
    <col min="13829" max="13829" width="9.7109375" style="322" customWidth="1"/>
    <col min="13830" max="13830" width="12.7109375" style="322" customWidth="1"/>
    <col min="13831" max="13831" width="5.140625" style="322" customWidth="1"/>
    <col min="13832" max="13832" width="9.7109375" style="322" customWidth="1"/>
    <col min="13833" max="13833" width="12.7109375" style="322" customWidth="1"/>
    <col min="13834" max="13834" width="5.140625" style="322" customWidth="1"/>
    <col min="13835" max="13835" width="9.7109375" style="322" customWidth="1"/>
    <col min="13836" max="13836" width="12.7109375" style="322" customWidth="1"/>
    <col min="13837" max="13837" width="5.140625" style="322" customWidth="1"/>
    <col min="13838" max="13838" width="9.7109375" style="322" customWidth="1"/>
    <col min="13839" max="13839" width="12.7109375" style="322" customWidth="1"/>
    <col min="13840" max="13840" width="5.140625" style="322" customWidth="1"/>
    <col min="13841" max="13841" width="9.7109375" style="322" customWidth="1"/>
    <col min="13842" max="13842" width="12.7109375" style="322" customWidth="1"/>
    <col min="13843" max="13843" width="5.140625" style="322" customWidth="1"/>
    <col min="13844" max="13844" width="9.7109375" style="322" customWidth="1"/>
    <col min="13845" max="13845" width="12.7109375" style="322" customWidth="1"/>
    <col min="13846" max="13846" width="5.140625" style="322" customWidth="1"/>
    <col min="13847" max="13847" width="9.7109375" style="322" customWidth="1"/>
    <col min="13848" max="13848" width="12.7109375" style="322" customWidth="1"/>
    <col min="13849" max="13849" width="5.140625" style="322" customWidth="1"/>
    <col min="13850" max="13850" width="9.7109375" style="322" customWidth="1"/>
    <col min="13851" max="13851" width="12.7109375" style="322" customWidth="1"/>
    <col min="13852" max="13852" width="5.140625" style="322" customWidth="1"/>
    <col min="13853" max="13853" width="9.7109375" style="322" customWidth="1"/>
    <col min="13854" max="13854" width="12.7109375" style="322" customWidth="1"/>
    <col min="13855" max="13855" width="5.140625" style="322" customWidth="1"/>
    <col min="13856" max="13856" width="9.7109375" style="322" customWidth="1"/>
    <col min="13857" max="13857" width="12.7109375" style="322" customWidth="1"/>
    <col min="13858" max="13858" width="37.7109375" style="322" customWidth="1"/>
    <col min="13859" max="14061" width="9.140625" style="322"/>
    <col min="14062" max="14062" width="1.7109375" style="322" customWidth="1"/>
    <col min="14063" max="14063" width="3.5703125" style="322" customWidth="1"/>
    <col min="14064" max="14064" width="11" style="322" customWidth="1"/>
    <col min="14065" max="14065" width="20.7109375" style="322" customWidth="1"/>
    <col min="14066" max="14067" width="11.7109375" style="322" customWidth="1"/>
    <col min="14068" max="14068" width="9.7109375" style="322" customWidth="1"/>
    <col min="14069" max="14069" width="10.140625" style="322" bestFit="1" customWidth="1"/>
    <col min="14070" max="14071" width="7.7109375" style="322" customWidth="1"/>
    <col min="14072" max="14072" width="4" style="322" customWidth="1"/>
    <col min="14073" max="14073" width="9.7109375" style="322" customWidth="1"/>
    <col min="14074" max="14074" width="15.140625" style="322" customWidth="1"/>
    <col min="14075" max="14075" width="5.140625" style="322" customWidth="1"/>
    <col min="14076" max="14076" width="9.7109375" style="322" customWidth="1"/>
    <col min="14077" max="14077" width="13.7109375" style="322" customWidth="1"/>
    <col min="14078" max="14078" width="5.140625" style="322" customWidth="1"/>
    <col min="14079" max="14079" width="9.7109375" style="322" customWidth="1"/>
    <col min="14080" max="14080" width="12.5703125" style="322" customWidth="1"/>
    <col min="14081" max="14081" width="5.140625" style="322" customWidth="1"/>
    <col min="14082" max="14082" width="9.7109375" style="322" customWidth="1"/>
    <col min="14083" max="14083" width="12.7109375" style="322" customWidth="1"/>
    <col min="14084" max="14084" width="5.140625" style="322" customWidth="1"/>
    <col min="14085" max="14085" width="9.7109375" style="322" customWidth="1"/>
    <col min="14086" max="14086" width="12.7109375" style="322" customWidth="1"/>
    <col min="14087" max="14087" width="5.140625" style="322" customWidth="1"/>
    <col min="14088" max="14088" width="9.7109375" style="322" customWidth="1"/>
    <col min="14089" max="14089" width="12.7109375" style="322" customWidth="1"/>
    <col min="14090" max="14090" width="5.140625" style="322" customWidth="1"/>
    <col min="14091" max="14091" width="9.7109375" style="322" customWidth="1"/>
    <col min="14092" max="14092" width="12.7109375" style="322" customWidth="1"/>
    <col min="14093" max="14093" width="5.140625" style="322" customWidth="1"/>
    <col min="14094" max="14094" width="9.7109375" style="322" customWidth="1"/>
    <col min="14095" max="14095" width="12.7109375" style="322" customWidth="1"/>
    <col min="14096" max="14096" width="5.140625" style="322" customWidth="1"/>
    <col min="14097" max="14097" width="9.7109375" style="322" customWidth="1"/>
    <col min="14098" max="14098" width="12.7109375" style="322" customWidth="1"/>
    <col min="14099" max="14099" width="5.140625" style="322" customWidth="1"/>
    <col min="14100" max="14100" width="9.7109375" style="322" customWidth="1"/>
    <col min="14101" max="14101" width="12.7109375" style="322" customWidth="1"/>
    <col min="14102" max="14102" width="5.140625" style="322" customWidth="1"/>
    <col min="14103" max="14103" width="9.7109375" style="322" customWidth="1"/>
    <col min="14104" max="14104" width="12.7109375" style="322" customWidth="1"/>
    <col min="14105" max="14105" width="5.140625" style="322" customWidth="1"/>
    <col min="14106" max="14106" width="9.7109375" style="322" customWidth="1"/>
    <col min="14107" max="14107" width="12.7109375" style="322" customWidth="1"/>
    <col min="14108" max="14108" width="5.140625" style="322" customWidth="1"/>
    <col min="14109" max="14109" width="9.7109375" style="322" customWidth="1"/>
    <col min="14110" max="14110" width="12.7109375" style="322" customWidth="1"/>
    <col min="14111" max="14111" width="5.140625" style="322" customWidth="1"/>
    <col min="14112" max="14112" width="9.7109375" style="322" customWidth="1"/>
    <col min="14113" max="14113" width="12.7109375" style="322" customWidth="1"/>
    <col min="14114" max="14114" width="37.7109375" style="322" customWidth="1"/>
    <col min="14115" max="14317" width="9.140625" style="322"/>
    <col min="14318" max="14318" width="1.7109375" style="322" customWidth="1"/>
    <col min="14319" max="14319" width="3.5703125" style="322" customWidth="1"/>
    <col min="14320" max="14320" width="11" style="322" customWidth="1"/>
    <col min="14321" max="14321" width="20.7109375" style="322" customWidth="1"/>
    <col min="14322" max="14323" width="11.7109375" style="322" customWidth="1"/>
    <col min="14324" max="14324" width="9.7109375" style="322" customWidth="1"/>
    <col min="14325" max="14325" width="10.140625" style="322" bestFit="1" customWidth="1"/>
    <col min="14326" max="14327" width="7.7109375" style="322" customWidth="1"/>
    <col min="14328" max="14328" width="4" style="322" customWidth="1"/>
    <col min="14329" max="14329" width="9.7109375" style="322" customWidth="1"/>
    <col min="14330" max="14330" width="15.140625" style="322" customWidth="1"/>
    <col min="14331" max="14331" width="5.140625" style="322" customWidth="1"/>
    <col min="14332" max="14332" width="9.7109375" style="322" customWidth="1"/>
    <col min="14333" max="14333" width="13.7109375" style="322" customWidth="1"/>
    <col min="14334" max="14334" width="5.140625" style="322" customWidth="1"/>
    <col min="14335" max="14335" width="9.7109375" style="322" customWidth="1"/>
    <col min="14336" max="14336" width="12.5703125" style="322" customWidth="1"/>
    <col min="14337" max="14337" width="5.140625" style="322" customWidth="1"/>
    <col min="14338" max="14338" width="9.7109375" style="322" customWidth="1"/>
    <col min="14339" max="14339" width="12.7109375" style="322" customWidth="1"/>
    <col min="14340" max="14340" width="5.140625" style="322" customWidth="1"/>
    <col min="14341" max="14341" width="9.7109375" style="322" customWidth="1"/>
    <col min="14342" max="14342" width="12.7109375" style="322" customWidth="1"/>
    <col min="14343" max="14343" width="5.140625" style="322" customWidth="1"/>
    <col min="14344" max="14344" width="9.7109375" style="322" customWidth="1"/>
    <col min="14345" max="14345" width="12.7109375" style="322" customWidth="1"/>
    <col min="14346" max="14346" width="5.140625" style="322" customWidth="1"/>
    <col min="14347" max="14347" width="9.7109375" style="322" customWidth="1"/>
    <col min="14348" max="14348" width="12.7109375" style="322" customWidth="1"/>
    <col min="14349" max="14349" width="5.140625" style="322" customWidth="1"/>
    <col min="14350" max="14350" width="9.7109375" style="322" customWidth="1"/>
    <col min="14351" max="14351" width="12.7109375" style="322" customWidth="1"/>
    <col min="14352" max="14352" width="5.140625" style="322" customWidth="1"/>
    <col min="14353" max="14353" width="9.7109375" style="322" customWidth="1"/>
    <col min="14354" max="14354" width="12.7109375" style="322" customWidth="1"/>
    <col min="14355" max="14355" width="5.140625" style="322" customWidth="1"/>
    <col min="14356" max="14356" width="9.7109375" style="322" customWidth="1"/>
    <col min="14357" max="14357" width="12.7109375" style="322" customWidth="1"/>
    <col min="14358" max="14358" width="5.140625" style="322" customWidth="1"/>
    <col min="14359" max="14359" width="9.7109375" style="322" customWidth="1"/>
    <col min="14360" max="14360" width="12.7109375" style="322" customWidth="1"/>
    <col min="14361" max="14361" width="5.140625" style="322" customWidth="1"/>
    <col min="14362" max="14362" width="9.7109375" style="322" customWidth="1"/>
    <col min="14363" max="14363" width="12.7109375" style="322" customWidth="1"/>
    <col min="14364" max="14364" width="5.140625" style="322" customWidth="1"/>
    <col min="14365" max="14365" width="9.7109375" style="322" customWidth="1"/>
    <col min="14366" max="14366" width="12.7109375" style="322" customWidth="1"/>
    <col min="14367" max="14367" width="5.140625" style="322" customWidth="1"/>
    <col min="14368" max="14368" width="9.7109375" style="322" customWidth="1"/>
    <col min="14369" max="14369" width="12.7109375" style="322" customWidth="1"/>
    <col min="14370" max="14370" width="37.7109375" style="322" customWidth="1"/>
    <col min="14371" max="14573" width="9.140625" style="322"/>
    <col min="14574" max="14574" width="1.7109375" style="322" customWidth="1"/>
    <col min="14575" max="14575" width="3.5703125" style="322" customWidth="1"/>
    <col min="14576" max="14576" width="11" style="322" customWidth="1"/>
    <col min="14577" max="14577" width="20.7109375" style="322" customWidth="1"/>
    <col min="14578" max="14579" width="11.7109375" style="322" customWidth="1"/>
    <col min="14580" max="14580" width="9.7109375" style="322" customWidth="1"/>
    <col min="14581" max="14581" width="10.140625" style="322" bestFit="1" customWidth="1"/>
    <col min="14582" max="14583" width="7.7109375" style="322" customWidth="1"/>
    <col min="14584" max="14584" width="4" style="322" customWidth="1"/>
    <col min="14585" max="14585" width="9.7109375" style="322" customWidth="1"/>
    <col min="14586" max="14586" width="15.140625" style="322" customWidth="1"/>
    <col min="14587" max="14587" width="5.140625" style="322" customWidth="1"/>
    <col min="14588" max="14588" width="9.7109375" style="322" customWidth="1"/>
    <col min="14589" max="14589" width="13.7109375" style="322" customWidth="1"/>
    <col min="14590" max="14590" width="5.140625" style="322" customWidth="1"/>
    <col min="14591" max="14591" width="9.7109375" style="322" customWidth="1"/>
    <col min="14592" max="14592" width="12.5703125" style="322" customWidth="1"/>
    <col min="14593" max="14593" width="5.140625" style="322" customWidth="1"/>
    <col min="14594" max="14594" width="9.7109375" style="322" customWidth="1"/>
    <col min="14595" max="14595" width="12.7109375" style="322" customWidth="1"/>
    <col min="14596" max="14596" width="5.140625" style="322" customWidth="1"/>
    <col min="14597" max="14597" width="9.7109375" style="322" customWidth="1"/>
    <col min="14598" max="14598" width="12.7109375" style="322" customWidth="1"/>
    <col min="14599" max="14599" width="5.140625" style="322" customWidth="1"/>
    <col min="14600" max="14600" width="9.7109375" style="322" customWidth="1"/>
    <col min="14601" max="14601" width="12.7109375" style="322" customWidth="1"/>
    <col min="14602" max="14602" width="5.140625" style="322" customWidth="1"/>
    <col min="14603" max="14603" width="9.7109375" style="322" customWidth="1"/>
    <col min="14604" max="14604" width="12.7109375" style="322" customWidth="1"/>
    <col min="14605" max="14605" width="5.140625" style="322" customWidth="1"/>
    <col min="14606" max="14606" width="9.7109375" style="322" customWidth="1"/>
    <col min="14607" max="14607" width="12.7109375" style="322" customWidth="1"/>
    <col min="14608" max="14608" width="5.140625" style="322" customWidth="1"/>
    <col min="14609" max="14609" width="9.7109375" style="322" customWidth="1"/>
    <col min="14610" max="14610" width="12.7109375" style="322" customWidth="1"/>
    <col min="14611" max="14611" width="5.140625" style="322" customWidth="1"/>
    <col min="14612" max="14612" width="9.7109375" style="322" customWidth="1"/>
    <col min="14613" max="14613" width="12.7109375" style="322" customWidth="1"/>
    <col min="14614" max="14614" width="5.140625" style="322" customWidth="1"/>
    <col min="14615" max="14615" width="9.7109375" style="322" customWidth="1"/>
    <col min="14616" max="14616" width="12.7109375" style="322" customWidth="1"/>
    <col min="14617" max="14617" width="5.140625" style="322" customWidth="1"/>
    <col min="14618" max="14618" width="9.7109375" style="322" customWidth="1"/>
    <col min="14619" max="14619" width="12.7109375" style="322" customWidth="1"/>
    <col min="14620" max="14620" width="5.140625" style="322" customWidth="1"/>
    <col min="14621" max="14621" width="9.7109375" style="322" customWidth="1"/>
    <col min="14622" max="14622" width="12.7109375" style="322" customWidth="1"/>
    <col min="14623" max="14623" width="5.140625" style="322" customWidth="1"/>
    <col min="14624" max="14624" width="9.7109375" style="322" customWidth="1"/>
    <col min="14625" max="14625" width="12.7109375" style="322" customWidth="1"/>
    <col min="14626" max="14626" width="37.7109375" style="322" customWidth="1"/>
    <col min="14627" max="14829" width="9.140625" style="322"/>
    <col min="14830" max="14830" width="1.7109375" style="322" customWidth="1"/>
    <col min="14831" max="14831" width="3.5703125" style="322" customWidth="1"/>
    <col min="14832" max="14832" width="11" style="322" customWidth="1"/>
    <col min="14833" max="14833" width="20.7109375" style="322" customWidth="1"/>
    <col min="14834" max="14835" width="11.7109375" style="322" customWidth="1"/>
    <col min="14836" max="14836" width="9.7109375" style="322" customWidth="1"/>
    <col min="14837" max="14837" width="10.140625" style="322" bestFit="1" customWidth="1"/>
    <col min="14838" max="14839" width="7.7109375" style="322" customWidth="1"/>
    <col min="14840" max="14840" width="4" style="322" customWidth="1"/>
    <col min="14841" max="14841" width="9.7109375" style="322" customWidth="1"/>
    <col min="14842" max="14842" width="15.140625" style="322" customWidth="1"/>
    <col min="14843" max="14843" width="5.140625" style="322" customWidth="1"/>
    <col min="14844" max="14844" width="9.7109375" style="322" customWidth="1"/>
    <col min="14845" max="14845" width="13.7109375" style="322" customWidth="1"/>
    <col min="14846" max="14846" width="5.140625" style="322" customWidth="1"/>
    <col min="14847" max="14847" width="9.7109375" style="322" customWidth="1"/>
    <col min="14848" max="14848" width="12.5703125" style="322" customWidth="1"/>
    <col min="14849" max="14849" width="5.140625" style="322" customWidth="1"/>
    <col min="14850" max="14850" width="9.7109375" style="322" customWidth="1"/>
    <col min="14851" max="14851" width="12.7109375" style="322" customWidth="1"/>
    <col min="14852" max="14852" width="5.140625" style="322" customWidth="1"/>
    <col min="14853" max="14853" width="9.7109375" style="322" customWidth="1"/>
    <col min="14854" max="14854" width="12.7109375" style="322" customWidth="1"/>
    <col min="14855" max="14855" width="5.140625" style="322" customWidth="1"/>
    <col min="14856" max="14856" width="9.7109375" style="322" customWidth="1"/>
    <col min="14857" max="14857" width="12.7109375" style="322" customWidth="1"/>
    <col min="14858" max="14858" width="5.140625" style="322" customWidth="1"/>
    <col min="14859" max="14859" width="9.7109375" style="322" customWidth="1"/>
    <col min="14860" max="14860" width="12.7109375" style="322" customWidth="1"/>
    <col min="14861" max="14861" width="5.140625" style="322" customWidth="1"/>
    <col min="14862" max="14862" width="9.7109375" style="322" customWidth="1"/>
    <col min="14863" max="14863" width="12.7109375" style="322" customWidth="1"/>
    <col min="14864" max="14864" width="5.140625" style="322" customWidth="1"/>
    <col min="14865" max="14865" width="9.7109375" style="322" customWidth="1"/>
    <col min="14866" max="14866" width="12.7109375" style="322" customWidth="1"/>
    <col min="14867" max="14867" width="5.140625" style="322" customWidth="1"/>
    <col min="14868" max="14868" width="9.7109375" style="322" customWidth="1"/>
    <col min="14869" max="14869" width="12.7109375" style="322" customWidth="1"/>
    <col min="14870" max="14870" width="5.140625" style="322" customWidth="1"/>
    <col min="14871" max="14871" width="9.7109375" style="322" customWidth="1"/>
    <col min="14872" max="14872" width="12.7109375" style="322" customWidth="1"/>
    <col min="14873" max="14873" width="5.140625" style="322" customWidth="1"/>
    <col min="14874" max="14874" width="9.7109375" style="322" customWidth="1"/>
    <col min="14875" max="14875" width="12.7109375" style="322" customWidth="1"/>
    <col min="14876" max="14876" width="5.140625" style="322" customWidth="1"/>
    <col min="14877" max="14877" width="9.7109375" style="322" customWidth="1"/>
    <col min="14878" max="14878" width="12.7109375" style="322" customWidth="1"/>
    <col min="14879" max="14879" width="5.140625" style="322" customWidth="1"/>
    <col min="14880" max="14880" width="9.7109375" style="322" customWidth="1"/>
    <col min="14881" max="14881" width="12.7109375" style="322" customWidth="1"/>
    <col min="14882" max="14882" width="37.7109375" style="322" customWidth="1"/>
    <col min="14883" max="15085" width="9.140625" style="322"/>
    <col min="15086" max="15086" width="1.7109375" style="322" customWidth="1"/>
    <col min="15087" max="15087" width="3.5703125" style="322" customWidth="1"/>
    <col min="15088" max="15088" width="11" style="322" customWidth="1"/>
    <col min="15089" max="15089" width="20.7109375" style="322" customWidth="1"/>
    <col min="15090" max="15091" width="11.7109375" style="322" customWidth="1"/>
    <col min="15092" max="15092" width="9.7109375" style="322" customWidth="1"/>
    <col min="15093" max="15093" width="10.140625" style="322" bestFit="1" customWidth="1"/>
    <col min="15094" max="15095" width="7.7109375" style="322" customWidth="1"/>
    <col min="15096" max="15096" width="4" style="322" customWidth="1"/>
    <col min="15097" max="15097" width="9.7109375" style="322" customWidth="1"/>
    <col min="15098" max="15098" width="15.140625" style="322" customWidth="1"/>
    <col min="15099" max="15099" width="5.140625" style="322" customWidth="1"/>
    <col min="15100" max="15100" width="9.7109375" style="322" customWidth="1"/>
    <col min="15101" max="15101" width="13.7109375" style="322" customWidth="1"/>
    <col min="15102" max="15102" width="5.140625" style="322" customWidth="1"/>
    <col min="15103" max="15103" width="9.7109375" style="322" customWidth="1"/>
    <col min="15104" max="15104" width="12.5703125" style="322" customWidth="1"/>
    <col min="15105" max="15105" width="5.140625" style="322" customWidth="1"/>
    <col min="15106" max="15106" width="9.7109375" style="322" customWidth="1"/>
    <col min="15107" max="15107" width="12.7109375" style="322" customWidth="1"/>
    <col min="15108" max="15108" width="5.140625" style="322" customWidth="1"/>
    <col min="15109" max="15109" width="9.7109375" style="322" customWidth="1"/>
    <col min="15110" max="15110" width="12.7109375" style="322" customWidth="1"/>
    <col min="15111" max="15111" width="5.140625" style="322" customWidth="1"/>
    <col min="15112" max="15112" width="9.7109375" style="322" customWidth="1"/>
    <col min="15113" max="15113" width="12.7109375" style="322" customWidth="1"/>
    <col min="15114" max="15114" width="5.140625" style="322" customWidth="1"/>
    <col min="15115" max="15115" width="9.7109375" style="322" customWidth="1"/>
    <col min="15116" max="15116" width="12.7109375" style="322" customWidth="1"/>
    <col min="15117" max="15117" width="5.140625" style="322" customWidth="1"/>
    <col min="15118" max="15118" width="9.7109375" style="322" customWidth="1"/>
    <col min="15119" max="15119" width="12.7109375" style="322" customWidth="1"/>
    <col min="15120" max="15120" width="5.140625" style="322" customWidth="1"/>
    <col min="15121" max="15121" width="9.7109375" style="322" customWidth="1"/>
    <col min="15122" max="15122" width="12.7109375" style="322" customWidth="1"/>
    <col min="15123" max="15123" width="5.140625" style="322" customWidth="1"/>
    <col min="15124" max="15124" width="9.7109375" style="322" customWidth="1"/>
    <col min="15125" max="15125" width="12.7109375" style="322" customWidth="1"/>
    <col min="15126" max="15126" width="5.140625" style="322" customWidth="1"/>
    <col min="15127" max="15127" width="9.7109375" style="322" customWidth="1"/>
    <col min="15128" max="15128" width="12.7109375" style="322" customWidth="1"/>
    <col min="15129" max="15129" width="5.140625" style="322" customWidth="1"/>
    <col min="15130" max="15130" width="9.7109375" style="322" customWidth="1"/>
    <col min="15131" max="15131" width="12.7109375" style="322" customWidth="1"/>
    <col min="15132" max="15132" width="5.140625" style="322" customWidth="1"/>
    <col min="15133" max="15133" width="9.7109375" style="322" customWidth="1"/>
    <col min="15134" max="15134" width="12.7109375" style="322" customWidth="1"/>
    <col min="15135" max="15135" width="5.140625" style="322" customWidth="1"/>
    <col min="15136" max="15136" width="9.7109375" style="322" customWidth="1"/>
    <col min="15137" max="15137" width="12.7109375" style="322" customWidth="1"/>
    <col min="15138" max="15138" width="37.7109375" style="322" customWidth="1"/>
    <col min="15139" max="15341" width="9.140625" style="322"/>
    <col min="15342" max="15342" width="1.7109375" style="322" customWidth="1"/>
    <col min="15343" max="15343" width="3.5703125" style="322" customWidth="1"/>
    <col min="15344" max="15344" width="11" style="322" customWidth="1"/>
    <col min="15345" max="15345" width="20.7109375" style="322" customWidth="1"/>
    <col min="15346" max="15347" width="11.7109375" style="322" customWidth="1"/>
    <col min="15348" max="15348" width="9.7109375" style="322" customWidth="1"/>
    <col min="15349" max="15349" width="10.140625" style="322" bestFit="1" customWidth="1"/>
    <col min="15350" max="15351" width="7.7109375" style="322" customWidth="1"/>
    <col min="15352" max="15352" width="4" style="322" customWidth="1"/>
    <col min="15353" max="15353" width="9.7109375" style="322" customWidth="1"/>
    <col min="15354" max="15354" width="15.140625" style="322" customWidth="1"/>
    <col min="15355" max="15355" width="5.140625" style="322" customWidth="1"/>
    <col min="15356" max="15356" width="9.7109375" style="322" customWidth="1"/>
    <col min="15357" max="15357" width="13.7109375" style="322" customWidth="1"/>
    <col min="15358" max="15358" width="5.140625" style="322" customWidth="1"/>
    <col min="15359" max="15359" width="9.7109375" style="322" customWidth="1"/>
    <col min="15360" max="15360" width="12.5703125" style="322" customWidth="1"/>
    <col min="15361" max="15361" width="5.140625" style="322" customWidth="1"/>
    <col min="15362" max="15362" width="9.7109375" style="322" customWidth="1"/>
    <col min="15363" max="15363" width="12.7109375" style="322" customWidth="1"/>
    <col min="15364" max="15364" width="5.140625" style="322" customWidth="1"/>
    <col min="15365" max="15365" width="9.7109375" style="322" customWidth="1"/>
    <col min="15366" max="15366" width="12.7109375" style="322" customWidth="1"/>
    <col min="15367" max="15367" width="5.140625" style="322" customWidth="1"/>
    <col min="15368" max="15368" width="9.7109375" style="322" customWidth="1"/>
    <col min="15369" max="15369" width="12.7109375" style="322" customWidth="1"/>
    <col min="15370" max="15370" width="5.140625" style="322" customWidth="1"/>
    <col min="15371" max="15371" width="9.7109375" style="322" customWidth="1"/>
    <col min="15372" max="15372" width="12.7109375" style="322" customWidth="1"/>
    <col min="15373" max="15373" width="5.140625" style="322" customWidth="1"/>
    <col min="15374" max="15374" width="9.7109375" style="322" customWidth="1"/>
    <col min="15375" max="15375" width="12.7109375" style="322" customWidth="1"/>
    <col min="15376" max="15376" width="5.140625" style="322" customWidth="1"/>
    <col min="15377" max="15377" width="9.7109375" style="322" customWidth="1"/>
    <col min="15378" max="15378" width="12.7109375" style="322" customWidth="1"/>
    <col min="15379" max="15379" width="5.140625" style="322" customWidth="1"/>
    <col min="15380" max="15380" width="9.7109375" style="322" customWidth="1"/>
    <col min="15381" max="15381" width="12.7109375" style="322" customWidth="1"/>
    <col min="15382" max="15382" width="5.140625" style="322" customWidth="1"/>
    <col min="15383" max="15383" width="9.7109375" style="322" customWidth="1"/>
    <col min="15384" max="15384" width="12.7109375" style="322" customWidth="1"/>
    <col min="15385" max="15385" width="5.140625" style="322" customWidth="1"/>
    <col min="15386" max="15386" width="9.7109375" style="322" customWidth="1"/>
    <col min="15387" max="15387" width="12.7109375" style="322" customWidth="1"/>
    <col min="15388" max="15388" width="5.140625" style="322" customWidth="1"/>
    <col min="15389" max="15389" width="9.7109375" style="322" customWidth="1"/>
    <col min="15390" max="15390" width="12.7109375" style="322" customWidth="1"/>
    <col min="15391" max="15391" width="5.140625" style="322" customWidth="1"/>
    <col min="15392" max="15392" width="9.7109375" style="322" customWidth="1"/>
    <col min="15393" max="15393" width="12.7109375" style="322" customWidth="1"/>
    <col min="15394" max="15394" width="37.7109375" style="322" customWidth="1"/>
    <col min="15395" max="15597" width="9.140625" style="322"/>
    <col min="15598" max="15598" width="1.7109375" style="322" customWidth="1"/>
    <col min="15599" max="15599" width="3.5703125" style="322" customWidth="1"/>
    <col min="15600" max="15600" width="11" style="322" customWidth="1"/>
    <col min="15601" max="15601" width="20.7109375" style="322" customWidth="1"/>
    <col min="15602" max="15603" width="11.7109375" style="322" customWidth="1"/>
    <col min="15604" max="15604" width="9.7109375" style="322" customWidth="1"/>
    <col min="15605" max="15605" width="10.140625" style="322" bestFit="1" customWidth="1"/>
    <col min="15606" max="15607" width="7.7109375" style="322" customWidth="1"/>
    <col min="15608" max="15608" width="4" style="322" customWidth="1"/>
    <col min="15609" max="15609" width="9.7109375" style="322" customWidth="1"/>
    <col min="15610" max="15610" width="15.140625" style="322" customWidth="1"/>
    <col min="15611" max="15611" width="5.140625" style="322" customWidth="1"/>
    <col min="15612" max="15612" width="9.7109375" style="322" customWidth="1"/>
    <col min="15613" max="15613" width="13.7109375" style="322" customWidth="1"/>
    <col min="15614" max="15614" width="5.140625" style="322" customWidth="1"/>
    <col min="15615" max="15615" width="9.7109375" style="322" customWidth="1"/>
    <col min="15616" max="15616" width="12.5703125" style="322" customWidth="1"/>
    <col min="15617" max="15617" width="5.140625" style="322" customWidth="1"/>
    <col min="15618" max="15618" width="9.7109375" style="322" customWidth="1"/>
    <col min="15619" max="15619" width="12.7109375" style="322" customWidth="1"/>
    <col min="15620" max="15620" width="5.140625" style="322" customWidth="1"/>
    <col min="15621" max="15621" width="9.7109375" style="322" customWidth="1"/>
    <col min="15622" max="15622" width="12.7109375" style="322" customWidth="1"/>
    <col min="15623" max="15623" width="5.140625" style="322" customWidth="1"/>
    <col min="15624" max="15624" width="9.7109375" style="322" customWidth="1"/>
    <col min="15625" max="15625" width="12.7109375" style="322" customWidth="1"/>
    <col min="15626" max="15626" width="5.140625" style="322" customWidth="1"/>
    <col min="15627" max="15627" width="9.7109375" style="322" customWidth="1"/>
    <col min="15628" max="15628" width="12.7109375" style="322" customWidth="1"/>
    <col min="15629" max="15629" width="5.140625" style="322" customWidth="1"/>
    <col min="15630" max="15630" width="9.7109375" style="322" customWidth="1"/>
    <col min="15631" max="15631" width="12.7109375" style="322" customWidth="1"/>
    <col min="15632" max="15632" width="5.140625" style="322" customWidth="1"/>
    <col min="15633" max="15633" width="9.7109375" style="322" customWidth="1"/>
    <col min="15634" max="15634" width="12.7109375" style="322" customWidth="1"/>
    <col min="15635" max="15635" width="5.140625" style="322" customWidth="1"/>
    <col min="15636" max="15636" width="9.7109375" style="322" customWidth="1"/>
    <col min="15637" max="15637" width="12.7109375" style="322" customWidth="1"/>
    <col min="15638" max="15638" width="5.140625" style="322" customWidth="1"/>
    <col min="15639" max="15639" width="9.7109375" style="322" customWidth="1"/>
    <col min="15640" max="15640" width="12.7109375" style="322" customWidth="1"/>
    <col min="15641" max="15641" width="5.140625" style="322" customWidth="1"/>
    <col min="15642" max="15642" width="9.7109375" style="322" customWidth="1"/>
    <col min="15643" max="15643" width="12.7109375" style="322" customWidth="1"/>
    <col min="15644" max="15644" width="5.140625" style="322" customWidth="1"/>
    <col min="15645" max="15645" width="9.7109375" style="322" customWidth="1"/>
    <col min="15646" max="15646" width="12.7109375" style="322" customWidth="1"/>
    <col min="15647" max="15647" width="5.140625" style="322" customWidth="1"/>
    <col min="15648" max="15648" width="9.7109375" style="322" customWidth="1"/>
    <col min="15649" max="15649" width="12.7109375" style="322" customWidth="1"/>
    <col min="15650" max="15650" width="37.7109375" style="322" customWidth="1"/>
    <col min="15651" max="15853" width="9.140625" style="322"/>
    <col min="15854" max="15854" width="1.7109375" style="322" customWidth="1"/>
    <col min="15855" max="15855" width="3.5703125" style="322" customWidth="1"/>
    <col min="15856" max="15856" width="11" style="322" customWidth="1"/>
    <col min="15857" max="15857" width="20.7109375" style="322" customWidth="1"/>
    <col min="15858" max="15859" width="11.7109375" style="322" customWidth="1"/>
    <col min="15860" max="15860" width="9.7109375" style="322" customWidth="1"/>
    <col min="15861" max="15861" width="10.140625" style="322" bestFit="1" customWidth="1"/>
    <col min="15862" max="15863" width="7.7109375" style="322" customWidth="1"/>
    <col min="15864" max="15864" width="4" style="322" customWidth="1"/>
    <col min="15865" max="15865" width="9.7109375" style="322" customWidth="1"/>
    <col min="15866" max="15866" width="15.140625" style="322" customWidth="1"/>
    <col min="15867" max="15867" width="5.140625" style="322" customWidth="1"/>
    <col min="15868" max="15868" width="9.7109375" style="322" customWidth="1"/>
    <col min="15869" max="15869" width="13.7109375" style="322" customWidth="1"/>
    <col min="15870" max="15870" width="5.140625" style="322" customWidth="1"/>
    <col min="15871" max="15871" width="9.7109375" style="322" customWidth="1"/>
    <col min="15872" max="15872" width="12.5703125" style="322" customWidth="1"/>
    <col min="15873" max="15873" width="5.140625" style="322" customWidth="1"/>
    <col min="15874" max="15874" width="9.7109375" style="322" customWidth="1"/>
    <col min="15875" max="15875" width="12.7109375" style="322" customWidth="1"/>
    <col min="15876" max="15876" width="5.140625" style="322" customWidth="1"/>
    <col min="15877" max="15877" width="9.7109375" style="322" customWidth="1"/>
    <col min="15878" max="15878" width="12.7109375" style="322" customWidth="1"/>
    <col min="15879" max="15879" width="5.140625" style="322" customWidth="1"/>
    <col min="15880" max="15880" width="9.7109375" style="322" customWidth="1"/>
    <col min="15881" max="15881" width="12.7109375" style="322" customWidth="1"/>
    <col min="15882" max="15882" width="5.140625" style="322" customWidth="1"/>
    <col min="15883" max="15883" width="9.7109375" style="322" customWidth="1"/>
    <col min="15884" max="15884" width="12.7109375" style="322" customWidth="1"/>
    <col min="15885" max="15885" width="5.140625" style="322" customWidth="1"/>
    <col min="15886" max="15886" width="9.7109375" style="322" customWidth="1"/>
    <col min="15887" max="15887" width="12.7109375" style="322" customWidth="1"/>
    <col min="15888" max="15888" width="5.140625" style="322" customWidth="1"/>
    <col min="15889" max="15889" width="9.7109375" style="322" customWidth="1"/>
    <col min="15890" max="15890" width="12.7109375" style="322" customWidth="1"/>
    <col min="15891" max="15891" width="5.140625" style="322" customWidth="1"/>
    <col min="15892" max="15892" width="9.7109375" style="322" customWidth="1"/>
    <col min="15893" max="15893" width="12.7109375" style="322" customWidth="1"/>
    <col min="15894" max="15894" width="5.140625" style="322" customWidth="1"/>
    <col min="15895" max="15895" width="9.7109375" style="322" customWidth="1"/>
    <col min="15896" max="15896" width="12.7109375" style="322" customWidth="1"/>
    <col min="15897" max="15897" width="5.140625" style="322" customWidth="1"/>
    <col min="15898" max="15898" width="9.7109375" style="322" customWidth="1"/>
    <col min="15899" max="15899" width="12.7109375" style="322" customWidth="1"/>
    <col min="15900" max="15900" width="5.140625" style="322" customWidth="1"/>
    <col min="15901" max="15901" width="9.7109375" style="322" customWidth="1"/>
    <col min="15902" max="15902" width="12.7109375" style="322" customWidth="1"/>
    <col min="15903" max="15903" width="5.140625" style="322" customWidth="1"/>
    <col min="15904" max="15904" width="9.7109375" style="322" customWidth="1"/>
    <col min="15905" max="15905" width="12.7109375" style="322" customWidth="1"/>
    <col min="15906" max="15906" width="37.7109375" style="322" customWidth="1"/>
    <col min="15907" max="16109" width="9.140625" style="322"/>
    <col min="16110" max="16110" width="1.7109375" style="322" customWidth="1"/>
    <col min="16111" max="16111" width="3.5703125" style="322" customWidth="1"/>
    <col min="16112" max="16112" width="11" style="322" customWidth="1"/>
    <col min="16113" max="16113" width="20.7109375" style="322" customWidth="1"/>
    <col min="16114" max="16115" width="11.7109375" style="322" customWidth="1"/>
    <col min="16116" max="16116" width="9.7109375" style="322" customWidth="1"/>
    <col min="16117" max="16117" width="10.140625" style="322" bestFit="1" customWidth="1"/>
    <col min="16118" max="16119" width="7.7109375" style="322" customWidth="1"/>
    <col min="16120" max="16120" width="4" style="322" customWidth="1"/>
    <col min="16121" max="16121" width="9.7109375" style="322" customWidth="1"/>
    <col min="16122" max="16122" width="15.140625" style="322" customWidth="1"/>
    <col min="16123" max="16123" width="5.140625" style="322" customWidth="1"/>
    <col min="16124" max="16124" width="9.7109375" style="322" customWidth="1"/>
    <col min="16125" max="16125" width="13.7109375" style="322" customWidth="1"/>
    <col min="16126" max="16126" width="5.140625" style="322" customWidth="1"/>
    <col min="16127" max="16127" width="9.7109375" style="322" customWidth="1"/>
    <col min="16128" max="16128" width="12.5703125" style="322" customWidth="1"/>
    <col min="16129" max="16129" width="5.140625" style="322" customWidth="1"/>
    <col min="16130" max="16130" width="9.7109375" style="322" customWidth="1"/>
    <col min="16131" max="16131" width="12.7109375" style="322" customWidth="1"/>
    <col min="16132" max="16132" width="5.140625" style="322" customWidth="1"/>
    <col min="16133" max="16133" width="9.7109375" style="322" customWidth="1"/>
    <col min="16134" max="16134" width="12.7109375" style="322" customWidth="1"/>
    <col min="16135" max="16135" width="5.140625" style="322" customWidth="1"/>
    <col min="16136" max="16136" width="9.7109375" style="322" customWidth="1"/>
    <col min="16137" max="16137" width="12.7109375" style="322" customWidth="1"/>
    <col min="16138" max="16138" width="5.140625" style="322" customWidth="1"/>
    <col min="16139" max="16139" width="9.7109375" style="322" customWidth="1"/>
    <col min="16140" max="16140" width="12.7109375" style="322" customWidth="1"/>
    <col min="16141" max="16141" width="5.140625" style="322" customWidth="1"/>
    <col min="16142" max="16142" width="9.7109375" style="322" customWidth="1"/>
    <col min="16143" max="16143" width="12.7109375" style="322" customWidth="1"/>
    <col min="16144" max="16144" width="5.140625" style="322" customWidth="1"/>
    <col min="16145" max="16145" width="9.7109375" style="322" customWidth="1"/>
    <col min="16146" max="16146" width="12.7109375" style="322" customWidth="1"/>
    <col min="16147" max="16147" width="5.140625" style="322" customWidth="1"/>
    <col min="16148" max="16148" width="9.7109375" style="322" customWidth="1"/>
    <col min="16149" max="16149" width="12.7109375" style="322" customWidth="1"/>
    <col min="16150" max="16150" width="5.140625" style="322" customWidth="1"/>
    <col min="16151" max="16151" width="9.7109375" style="322" customWidth="1"/>
    <col min="16152" max="16152" width="12.7109375" style="322" customWidth="1"/>
    <col min="16153" max="16153" width="5.140625" style="322" customWidth="1"/>
    <col min="16154" max="16154" width="9.7109375" style="322" customWidth="1"/>
    <col min="16155" max="16155" width="12.7109375" style="322" customWidth="1"/>
    <col min="16156" max="16156" width="5.140625" style="322" customWidth="1"/>
    <col min="16157" max="16157" width="9.7109375" style="322" customWidth="1"/>
    <col min="16158" max="16158" width="12.7109375" style="322" customWidth="1"/>
    <col min="16159" max="16159" width="5.140625" style="322" customWidth="1"/>
    <col min="16160" max="16160" width="9.7109375" style="322" customWidth="1"/>
    <col min="16161" max="16161" width="12.7109375" style="322" customWidth="1"/>
    <col min="16162" max="16162" width="37.7109375" style="322" customWidth="1"/>
    <col min="16163" max="16384" width="9.140625" style="322"/>
  </cols>
  <sheetData>
    <row r="1" spans="1:34" ht="13.5" thickBot="1"/>
    <row r="2" spans="1:34" s="324" customFormat="1" ht="18" thickBot="1">
      <c r="A2" s="323">
        <v>1</v>
      </c>
      <c r="B2" s="842" t="s">
        <v>978</v>
      </c>
      <c r="C2" s="843"/>
      <c r="D2" s="843"/>
      <c r="E2" s="843"/>
      <c r="F2" s="843"/>
      <c r="G2" s="844"/>
      <c r="H2" s="858" t="s">
        <v>979</v>
      </c>
      <c r="I2" s="859"/>
      <c r="J2" s="859"/>
      <c r="K2" s="859"/>
      <c r="L2" s="860"/>
      <c r="M2" s="860"/>
      <c r="N2" s="860"/>
      <c r="O2" s="860"/>
      <c r="P2" s="860"/>
      <c r="Q2" s="860"/>
      <c r="R2" s="860"/>
      <c r="S2" s="860"/>
      <c r="T2" s="860"/>
      <c r="U2" s="860"/>
      <c r="V2" s="860"/>
      <c r="W2" s="860"/>
      <c r="X2" s="860"/>
      <c r="Y2" s="860"/>
      <c r="Z2" s="860"/>
      <c r="AA2" s="860"/>
      <c r="AB2" s="860"/>
      <c r="AC2" s="860"/>
      <c r="AD2" s="860"/>
      <c r="AE2" s="860"/>
      <c r="AF2" s="860"/>
      <c r="AG2" s="860"/>
      <c r="AH2" s="861"/>
    </row>
    <row r="3" spans="1:34" ht="15">
      <c r="B3" s="862" t="s">
        <v>980</v>
      </c>
      <c r="C3" s="864" t="s">
        <v>981</v>
      </c>
      <c r="D3" s="865"/>
      <c r="E3" s="868" t="s">
        <v>982</v>
      </c>
      <c r="F3" s="868" t="s">
        <v>983</v>
      </c>
      <c r="G3" s="870" t="s">
        <v>984</v>
      </c>
      <c r="H3" s="872" t="s">
        <v>985</v>
      </c>
      <c r="I3" s="873"/>
      <c r="J3" s="874">
        <v>44501</v>
      </c>
      <c r="K3" s="857"/>
      <c r="L3" s="875">
        <f>EDATE(J3,-1)</f>
        <v>44470</v>
      </c>
      <c r="M3" s="876"/>
      <c r="N3" s="875">
        <f>EDATE(L3,-1)</f>
        <v>44440</v>
      </c>
      <c r="O3" s="876"/>
      <c r="P3" s="875">
        <f>EDATE(N3,-1)</f>
        <v>44409</v>
      </c>
      <c r="Q3" s="876"/>
      <c r="R3" s="875">
        <f>EDATE(P3,-1)</f>
        <v>44378</v>
      </c>
      <c r="S3" s="876"/>
      <c r="T3" s="875">
        <f>EDATE(R3,-1)</f>
        <v>44348</v>
      </c>
      <c r="U3" s="876"/>
      <c r="V3" s="875">
        <f>EDATE(T3,-1)</f>
        <v>44317</v>
      </c>
      <c r="W3" s="876"/>
      <c r="X3" s="875">
        <f>EDATE(V3,-1)</f>
        <v>44287</v>
      </c>
      <c r="Y3" s="876"/>
      <c r="Z3" s="875">
        <f>EDATE(X3,-1)</f>
        <v>44256</v>
      </c>
      <c r="AA3" s="876"/>
      <c r="AB3" s="875">
        <f>EDATE(Z3,-1)</f>
        <v>44228</v>
      </c>
      <c r="AC3" s="876"/>
      <c r="AD3" s="875">
        <f>EDATE(AB3,-1)</f>
        <v>44197</v>
      </c>
      <c r="AE3" s="876"/>
      <c r="AF3" s="875">
        <f>EDATE(AD3,-1)</f>
        <v>44166</v>
      </c>
      <c r="AG3" s="876"/>
      <c r="AH3" s="877" t="s">
        <v>986</v>
      </c>
    </row>
    <row r="4" spans="1:34" ht="15">
      <c r="B4" s="863"/>
      <c r="C4" s="866"/>
      <c r="D4" s="867"/>
      <c r="E4" s="869"/>
      <c r="F4" s="869"/>
      <c r="G4" s="871"/>
      <c r="H4" s="325" t="s">
        <v>987</v>
      </c>
      <c r="I4" s="326" t="s">
        <v>982</v>
      </c>
      <c r="J4" s="327" t="s">
        <v>638</v>
      </c>
      <c r="K4" s="328" t="s">
        <v>982</v>
      </c>
      <c r="L4" s="329" t="s">
        <v>638</v>
      </c>
      <c r="M4" s="330" t="s">
        <v>982</v>
      </c>
      <c r="N4" s="329" t="s">
        <v>638</v>
      </c>
      <c r="O4" s="330" t="s">
        <v>982</v>
      </c>
      <c r="P4" s="329" t="s">
        <v>638</v>
      </c>
      <c r="Q4" s="330" t="s">
        <v>982</v>
      </c>
      <c r="R4" s="329" t="s">
        <v>638</v>
      </c>
      <c r="S4" s="330" t="s">
        <v>982</v>
      </c>
      <c r="T4" s="329" t="s">
        <v>638</v>
      </c>
      <c r="U4" s="330" t="s">
        <v>982</v>
      </c>
      <c r="V4" s="329" t="s">
        <v>638</v>
      </c>
      <c r="W4" s="330" t="s">
        <v>982</v>
      </c>
      <c r="X4" s="329" t="s">
        <v>638</v>
      </c>
      <c r="Y4" s="330" t="s">
        <v>982</v>
      </c>
      <c r="Z4" s="329" t="s">
        <v>638</v>
      </c>
      <c r="AA4" s="330" t="s">
        <v>982</v>
      </c>
      <c r="AB4" s="329" t="s">
        <v>638</v>
      </c>
      <c r="AC4" s="330" t="s">
        <v>982</v>
      </c>
      <c r="AD4" s="329" t="s">
        <v>638</v>
      </c>
      <c r="AE4" s="330" t="s">
        <v>982</v>
      </c>
      <c r="AF4" s="329" t="s">
        <v>638</v>
      </c>
      <c r="AG4" s="330" t="s">
        <v>982</v>
      </c>
      <c r="AH4" s="878"/>
    </row>
    <row r="5" spans="1:34">
      <c r="B5" s="331"/>
      <c r="C5" s="879"/>
      <c r="D5" s="880"/>
      <c r="E5" s="332"/>
      <c r="F5" s="332"/>
      <c r="G5" s="332"/>
      <c r="H5" s="333">
        <f t="shared" ref="H5" si="0">COUNT(J5,L5,N5,P5,R5,T5,V5,X5,Z5,AB5,AD5,AF5)</f>
        <v>0</v>
      </c>
      <c r="I5" s="333">
        <f t="shared" ref="I5" si="1">SUM(K5,M5,O5,Q5,S5,U5,W5,AE5,Y5,AA5,AC5,AG5)</f>
        <v>0</v>
      </c>
      <c r="J5" s="334"/>
      <c r="K5" s="334"/>
      <c r="L5" s="334"/>
      <c r="M5" s="334"/>
      <c r="N5" s="334"/>
      <c r="O5" s="334"/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4"/>
      <c r="AA5" s="334"/>
      <c r="AB5" s="334"/>
      <c r="AC5" s="334"/>
      <c r="AD5" s="334"/>
      <c r="AE5" s="334"/>
      <c r="AF5" s="334"/>
      <c r="AG5" s="334"/>
      <c r="AH5" s="335"/>
    </row>
    <row r="6" spans="1:34" ht="13.5" thickBot="1">
      <c r="B6" s="331"/>
      <c r="C6" s="879"/>
      <c r="D6" s="880"/>
      <c r="E6" s="332"/>
      <c r="F6" s="332"/>
      <c r="G6" s="332"/>
      <c r="H6" s="333">
        <f t="shared" ref="H6" si="2">COUNT(J6,L6,N6,P6,R6,T6,V6,X6,Z6,AB6,AD6,AF6)</f>
        <v>0</v>
      </c>
      <c r="I6" s="333">
        <f>SUM(K6,M6,O6,Q6,S6,U6,W6,AE6,Y6,AA6,AC6,AG6)</f>
        <v>0</v>
      </c>
      <c r="J6" s="334"/>
      <c r="K6" s="334"/>
      <c r="L6" s="334"/>
      <c r="M6" s="334"/>
      <c r="N6" s="334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4"/>
      <c r="AA6" s="334"/>
      <c r="AB6" s="334"/>
      <c r="AC6" s="334"/>
      <c r="AD6" s="334"/>
      <c r="AE6" s="334"/>
      <c r="AF6" s="334"/>
      <c r="AG6" s="334"/>
      <c r="AH6" s="335"/>
    </row>
    <row r="7" spans="1:34" ht="15.75" thickBot="1">
      <c r="B7" s="850" t="s">
        <v>145</v>
      </c>
      <c r="C7" s="851"/>
      <c r="D7" s="336">
        <f>SUBTOTAL(103,C$6:$C$6)</f>
        <v>0</v>
      </c>
      <c r="E7" s="337">
        <f>SUBTOTAL(109,E$6:$E$6)</f>
        <v>0</v>
      </c>
      <c r="F7" s="337"/>
      <c r="G7" s="337"/>
      <c r="H7" s="338">
        <f>SUBTOTAL(109,H$6:$H$6)</f>
        <v>0</v>
      </c>
      <c r="I7" s="338">
        <f>SUBTOTAL(109,I$6:$I$6)</f>
        <v>0</v>
      </c>
      <c r="J7" s="338">
        <f>SUBTOTAL(103,J$6:$J$6)</f>
        <v>0</v>
      </c>
      <c r="K7" s="338">
        <f>SUBTOTAL(109,K$6:$K$6)</f>
        <v>0</v>
      </c>
      <c r="L7" s="338">
        <f>SUBTOTAL(103,L$6:$L$6)</f>
        <v>0</v>
      </c>
      <c r="M7" s="338">
        <f>SUBTOTAL(109,M$6:$M$6)</f>
        <v>0</v>
      </c>
      <c r="N7" s="338">
        <f>SUBTOTAL(103,N$6:$N$6)</f>
        <v>0</v>
      </c>
      <c r="O7" s="338">
        <f>SUBTOTAL(109,O$6:$O$6)</f>
        <v>0</v>
      </c>
      <c r="P7" s="338">
        <f>SUBTOTAL(103,P$6:$P$6)</f>
        <v>0</v>
      </c>
      <c r="Q7" s="338">
        <f>SUBTOTAL(109,Q$6:$Q$6)</f>
        <v>0</v>
      </c>
      <c r="R7" s="338">
        <f>SUBTOTAL(103,R$6:$R$6)</f>
        <v>0</v>
      </c>
      <c r="S7" s="338">
        <f>SUBTOTAL(109,S$6:$S$6)</f>
        <v>0</v>
      </c>
      <c r="T7" s="338">
        <f>SUBTOTAL(103,T$6:$T$6)</f>
        <v>0</v>
      </c>
      <c r="U7" s="338">
        <f>SUBTOTAL(109,U$6:$U$6)</f>
        <v>0</v>
      </c>
      <c r="V7" s="338">
        <f>SUBTOTAL(103,V$6:$V$6)</f>
        <v>0</v>
      </c>
      <c r="W7" s="338">
        <f>SUBTOTAL(109,W$6:$W$6)</f>
        <v>0</v>
      </c>
      <c r="X7" s="338">
        <f>SUBTOTAL(103,X$6:$X$6)</f>
        <v>0</v>
      </c>
      <c r="Y7" s="338">
        <f>SUBTOTAL(109,Y$6:$Y$6)</f>
        <v>0</v>
      </c>
      <c r="Z7" s="338">
        <f>SUBTOTAL(103,Z$6:$Z$6)</f>
        <v>0</v>
      </c>
      <c r="AA7" s="338">
        <f>SUBTOTAL(109,AA$6:$AA$6)</f>
        <v>0</v>
      </c>
      <c r="AB7" s="338">
        <f>SUBTOTAL(103,AB$6:$AB$6)</f>
        <v>0</v>
      </c>
      <c r="AC7" s="338">
        <f>SUBTOTAL(109,AC$6:$AC$6)</f>
        <v>0</v>
      </c>
      <c r="AD7" s="338">
        <f>SUBTOTAL(103,AD$6:$AD$6)</f>
        <v>0</v>
      </c>
      <c r="AE7" s="338">
        <f>SUBTOTAL(109,AE$6:$AE$6)</f>
        <v>0</v>
      </c>
      <c r="AF7" s="338">
        <f>SUBTOTAL(103,AF$6:$AF$6)</f>
        <v>0</v>
      </c>
      <c r="AG7" s="338">
        <f>SUBTOTAL(109,AG$6:$AG$6)</f>
        <v>0</v>
      </c>
      <c r="AH7" s="339">
        <f>SUBTOTAL(103,AH$6:$AH$6)</f>
        <v>0</v>
      </c>
    </row>
    <row r="8" spans="1:34" ht="13.5" thickBot="1"/>
    <row r="9" spans="1:34" s="324" customFormat="1" ht="18" thickBot="1">
      <c r="A9" s="323">
        <v>2</v>
      </c>
      <c r="B9" s="842" t="s">
        <v>988</v>
      </c>
      <c r="C9" s="843"/>
      <c r="D9" s="843"/>
      <c r="E9" s="843"/>
      <c r="F9" s="843"/>
      <c r="G9" s="844"/>
      <c r="H9" s="881" t="s">
        <v>989</v>
      </c>
      <c r="I9" s="843"/>
      <c r="J9" s="843"/>
      <c r="K9" s="843"/>
      <c r="L9" s="843"/>
      <c r="M9" s="843"/>
      <c r="N9" s="843"/>
      <c r="O9" s="843"/>
      <c r="P9" s="843"/>
      <c r="Q9" s="843"/>
      <c r="R9" s="843"/>
      <c r="S9" s="843"/>
      <c r="T9" s="843"/>
      <c r="U9" s="844"/>
    </row>
    <row r="10" spans="1:34" ht="15">
      <c r="B10" s="862" t="s">
        <v>980</v>
      </c>
      <c r="C10" s="864" t="s">
        <v>990</v>
      </c>
      <c r="D10" s="865"/>
      <c r="E10" s="864" t="s">
        <v>984</v>
      </c>
      <c r="F10" s="882"/>
      <c r="G10" s="883"/>
      <c r="H10" s="872" t="s">
        <v>991</v>
      </c>
      <c r="I10" s="873"/>
      <c r="J10" s="874">
        <f>J3</f>
        <v>44501</v>
      </c>
      <c r="K10" s="857"/>
      <c r="L10" s="855">
        <f>EDATE(J10,-1)</f>
        <v>44470</v>
      </c>
      <c r="M10" s="856"/>
      <c r="N10" s="855">
        <f>EDATE(L10,-1)</f>
        <v>44440</v>
      </c>
      <c r="O10" s="856"/>
      <c r="P10" s="855">
        <f>EDATE(N10,-1)</f>
        <v>44409</v>
      </c>
      <c r="Q10" s="856"/>
      <c r="R10" s="855">
        <f>EDATE(P10,-1)</f>
        <v>44378</v>
      </c>
      <c r="S10" s="856"/>
      <c r="T10" s="855">
        <f>EDATE(R10,-1)</f>
        <v>44348</v>
      </c>
      <c r="U10" s="857"/>
    </row>
    <row r="11" spans="1:34" ht="15">
      <c r="B11" s="863"/>
      <c r="C11" s="866"/>
      <c r="D11" s="867"/>
      <c r="E11" s="866"/>
      <c r="F11" s="884"/>
      <c r="G11" s="885"/>
      <c r="H11" s="325" t="s">
        <v>987</v>
      </c>
      <c r="I11" s="326" t="s">
        <v>992</v>
      </c>
      <c r="J11" s="327" t="s">
        <v>987</v>
      </c>
      <c r="K11" s="328" t="s">
        <v>992</v>
      </c>
      <c r="L11" s="329" t="s">
        <v>987</v>
      </c>
      <c r="M11" s="330" t="s">
        <v>992</v>
      </c>
      <c r="N11" s="329" t="s">
        <v>987</v>
      </c>
      <c r="O11" s="330" t="s">
        <v>992</v>
      </c>
      <c r="P11" s="329" t="s">
        <v>987</v>
      </c>
      <c r="Q11" s="330" t="s">
        <v>992</v>
      </c>
      <c r="R11" s="329" t="s">
        <v>987</v>
      </c>
      <c r="S11" s="330" t="s">
        <v>992</v>
      </c>
      <c r="T11" s="329" t="s">
        <v>987</v>
      </c>
      <c r="U11" s="328" t="s">
        <v>992</v>
      </c>
    </row>
    <row r="12" spans="1:34">
      <c r="B12" s="331"/>
      <c r="C12" s="840"/>
      <c r="D12" s="840"/>
      <c r="E12" s="841"/>
      <c r="F12" s="841"/>
      <c r="G12" s="841"/>
      <c r="H12" s="340">
        <f>SUM(J12,L12,N12,P12,R12,T12)</f>
        <v>0</v>
      </c>
      <c r="I12" s="340">
        <f>SUM(K12,M12,O12,Q12,S12,U12)</f>
        <v>0</v>
      </c>
      <c r="J12" s="341">
        <v>0</v>
      </c>
      <c r="K12" s="341">
        <v>0</v>
      </c>
      <c r="L12" s="341">
        <v>0</v>
      </c>
      <c r="M12" s="341">
        <v>0</v>
      </c>
      <c r="N12" s="341">
        <v>0</v>
      </c>
      <c r="O12" s="341">
        <v>0</v>
      </c>
      <c r="P12" s="341">
        <v>0</v>
      </c>
      <c r="Q12" s="341">
        <v>0</v>
      </c>
      <c r="R12" s="341">
        <v>0</v>
      </c>
      <c r="S12" s="341">
        <v>0</v>
      </c>
      <c r="T12" s="341">
        <v>0</v>
      </c>
      <c r="U12" s="342">
        <v>0</v>
      </c>
    </row>
    <row r="13" spans="1:34">
      <c r="B13" s="350"/>
      <c r="C13" s="840"/>
      <c r="D13" s="840"/>
      <c r="E13" s="841"/>
      <c r="F13" s="841"/>
      <c r="G13" s="841"/>
      <c r="H13" s="340">
        <f t="shared" ref="H13:H17" si="3">SUM(J13,L13,N13,P13,R13,T13)</f>
        <v>0</v>
      </c>
      <c r="I13" s="340">
        <f t="shared" ref="I13:I17" si="4">SUM(K13,M13,O13,Q13,S13,U13)</f>
        <v>0</v>
      </c>
      <c r="J13" s="341">
        <v>0</v>
      </c>
      <c r="K13" s="341">
        <v>0</v>
      </c>
      <c r="L13" s="341">
        <v>0</v>
      </c>
      <c r="M13" s="341">
        <v>0</v>
      </c>
      <c r="N13" s="341">
        <v>0</v>
      </c>
      <c r="O13" s="341">
        <v>0</v>
      </c>
      <c r="P13" s="341">
        <v>0</v>
      </c>
      <c r="Q13" s="341">
        <v>0</v>
      </c>
      <c r="R13" s="341">
        <v>0</v>
      </c>
      <c r="S13" s="341">
        <v>0</v>
      </c>
      <c r="T13" s="341">
        <v>0</v>
      </c>
      <c r="U13" s="342">
        <v>0</v>
      </c>
    </row>
    <row r="14" spans="1:34">
      <c r="B14" s="350"/>
      <c r="C14" s="840"/>
      <c r="D14" s="840"/>
      <c r="E14" s="841"/>
      <c r="F14" s="841"/>
      <c r="G14" s="841"/>
      <c r="H14" s="340">
        <f t="shared" si="3"/>
        <v>0</v>
      </c>
      <c r="I14" s="340">
        <f t="shared" si="4"/>
        <v>0</v>
      </c>
      <c r="J14" s="341">
        <v>0</v>
      </c>
      <c r="K14" s="341">
        <v>0</v>
      </c>
      <c r="L14" s="341">
        <v>0</v>
      </c>
      <c r="M14" s="341">
        <v>0</v>
      </c>
      <c r="N14" s="341">
        <v>0</v>
      </c>
      <c r="O14" s="341">
        <v>0</v>
      </c>
      <c r="P14" s="341">
        <v>0</v>
      </c>
      <c r="Q14" s="341">
        <v>0</v>
      </c>
      <c r="R14" s="341">
        <v>0</v>
      </c>
      <c r="S14" s="341">
        <v>0</v>
      </c>
      <c r="T14" s="341">
        <v>0</v>
      </c>
      <c r="U14" s="342">
        <v>0</v>
      </c>
    </row>
    <row r="15" spans="1:34">
      <c r="B15" s="350"/>
      <c r="C15" s="840"/>
      <c r="D15" s="840"/>
      <c r="E15" s="841"/>
      <c r="F15" s="841"/>
      <c r="G15" s="841"/>
      <c r="H15" s="340">
        <f t="shared" si="3"/>
        <v>0</v>
      </c>
      <c r="I15" s="340">
        <f t="shared" si="4"/>
        <v>0</v>
      </c>
      <c r="J15" s="341">
        <v>0</v>
      </c>
      <c r="K15" s="341">
        <v>0</v>
      </c>
      <c r="L15" s="341">
        <v>0</v>
      </c>
      <c r="M15" s="341">
        <v>0</v>
      </c>
      <c r="N15" s="341">
        <v>0</v>
      </c>
      <c r="O15" s="341">
        <v>0</v>
      </c>
      <c r="P15" s="341">
        <v>0</v>
      </c>
      <c r="Q15" s="341">
        <v>0</v>
      </c>
      <c r="R15" s="341">
        <v>0</v>
      </c>
      <c r="S15" s="341">
        <v>0</v>
      </c>
      <c r="T15" s="341">
        <v>0</v>
      </c>
      <c r="U15" s="342">
        <v>0</v>
      </c>
    </row>
    <row r="16" spans="1:34">
      <c r="B16" s="350"/>
      <c r="C16" s="840"/>
      <c r="D16" s="840"/>
      <c r="E16" s="841"/>
      <c r="F16" s="841"/>
      <c r="G16" s="841"/>
      <c r="H16" s="340">
        <f t="shared" si="3"/>
        <v>0</v>
      </c>
      <c r="I16" s="340">
        <f t="shared" si="4"/>
        <v>0</v>
      </c>
      <c r="J16" s="341">
        <v>0</v>
      </c>
      <c r="K16" s="341">
        <v>0</v>
      </c>
      <c r="L16" s="341">
        <v>0</v>
      </c>
      <c r="M16" s="341">
        <v>0</v>
      </c>
      <c r="N16" s="341">
        <v>0</v>
      </c>
      <c r="O16" s="341">
        <v>0</v>
      </c>
      <c r="P16" s="341">
        <v>0</v>
      </c>
      <c r="Q16" s="341">
        <v>0</v>
      </c>
      <c r="R16" s="341">
        <v>0</v>
      </c>
      <c r="S16" s="341">
        <v>0</v>
      </c>
      <c r="T16" s="341">
        <v>0</v>
      </c>
      <c r="U16" s="342">
        <v>0</v>
      </c>
    </row>
    <row r="17" spans="1:21" ht="13.5" thickBot="1">
      <c r="B17" s="343"/>
      <c r="C17" s="845"/>
      <c r="D17" s="846"/>
      <c r="E17" s="847"/>
      <c r="F17" s="848"/>
      <c r="G17" s="849"/>
      <c r="H17" s="340">
        <f t="shared" si="3"/>
        <v>0</v>
      </c>
      <c r="I17" s="340">
        <f t="shared" si="4"/>
        <v>0</v>
      </c>
      <c r="J17" s="341">
        <v>0</v>
      </c>
      <c r="K17" s="341">
        <v>0</v>
      </c>
      <c r="L17" s="341">
        <v>0</v>
      </c>
      <c r="M17" s="341">
        <v>0</v>
      </c>
      <c r="N17" s="341">
        <v>0</v>
      </c>
      <c r="O17" s="341">
        <v>0</v>
      </c>
      <c r="P17" s="341">
        <v>0</v>
      </c>
      <c r="Q17" s="341">
        <v>0</v>
      </c>
      <c r="R17" s="341">
        <v>0</v>
      </c>
      <c r="S17" s="341">
        <v>0</v>
      </c>
      <c r="T17" s="341">
        <v>0</v>
      </c>
      <c r="U17" s="342">
        <v>0</v>
      </c>
    </row>
    <row r="18" spans="1:21" ht="15.75" thickBot="1">
      <c r="B18" s="850" t="s">
        <v>145</v>
      </c>
      <c r="C18" s="851"/>
      <c r="D18" s="344"/>
      <c r="E18" s="852"/>
      <c r="F18" s="853"/>
      <c r="G18" s="854"/>
      <c r="H18" s="338">
        <f t="shared" ref="H18:U18" si="5">SUBTOTAL(109,H12:H17)</f>
        <v>0</v>
      </c>
      <c r="I18" s="338">
        <f t="shared" si="5"/>
        <v>0</v>
      </c>
      <c r="J18" s="338">
        <f t="shared" si="5"/>
        <v>0</v>
      </c>
      <c r="K18" s="338">
        <f t="shared" si="5"/>
        <v>0</v>
      </c>
      <c r="L18" s="338">
        <f t="shared" si="5"/>
        <v>0</v>
      </c>
      <c r="M18" s="338">
        <f t="shared" si="5"/>
        <v>0</v>
      </c>
      <c r="N18" s="338">
        <f t="shared" si="5"/>
        <v>0</v>
      </c>
      <c r="O18" s="338">
        <f t="shared" si="5"/>
        <v>0</v>
      </c>
      <c r="P18" s="338">
        <f t="shared" si="5"/>
        <v>0</v>
      </c>
      <c r="Q18" s="338">
        <f t="shared" si="5"/>
        <v>0</v>
      </c>
      <c r="R18" s="338">
        <f t="shared" si="5"/>
        <v>0</v>
      </c>
      <c r="S18" s="338">
        <f t="shared" si="5"/>
        <v>0</v>
      </c>
      <c r="T18" s="338">
        <f t="shared" si="5"/>
        <v>0</v>
      </c>
      <c r="U18" s="339">
        <f t="shared" si="5"/>
        <v>0</v>
      </c>
    </row>
    <row r="19" spans="1:21" ht="13.5" thickBot="1"/>
    <row r="20" spans="1:21" s="324" customFormat="1" ht="18" thickBot="1">
      <c r="A20" s="323">
        <v>3</v>
      </c>
      <c r="B20" s="842" t="s">
        <v>993</v>
      </c>
      <c r="C20" s="843"/>
      <c r="D20" s="843"/>
      <c r="E20" s="843"/>
      <c r="F20" s="843"/>
      <c r="G20" s="844"/>
    </row>
    <row r="21" spans="1:21" ht="30">
      <c r="B21" s="345" t="s">
        <v>980</v>
      </c>
      <c r="C21" s="346" t="s">
        <v>638</v>
      </c>
      <c r="D21" s="347" t="s">
        <v>981</v>
      </c>
      <c r="E21" s="347" t="s">
        <v>982</v>
      </c>
      <c r="F21" s="348" t="s">
        <v>983</v>
      </c>
      <c r="G21" s="349" t="s">
        <v>984</v>
      </c>
    </row>
    <row r="22" spans="1:21">
      <c r="B22" s="350"/>
      <c r="C22" s="351"/>
      <c r="D22" s="352"/>
      <c r="E22" s="353"/>
      <c r="F22" s="353"/>
      <c r="G22" s="354"/>
    </row>
    <row r="23" spans="1:21" ht="13.5" thickBot="1">
      <c r="B23" s="343"/>
      <c r="C23" s="355"/>
      <c r="D23" s="355"/>
      <c r="E23" s="356"/>
      <c r="F23" s="356"/>
      <c r="G23" s="357"/>
    </row>
  </sheetData>
  <mergeCells count="51">
    <mergeCell ref="L10:M10"/>
    <mergeCell ref="N10:O10"/>
    <mergeCell ref="P10:Q10"/>
    <mergeCell ref="B10:B11"/>
    <mergeCell ref="C10:D11"/>
    <mergeCell ref="E10:G11"/>
    <mergeCell ref="H10:I10"/>
    <mergeCell ref="J10:K10"/>
    <mergeCell ref="C6:D6"/>
    <mergeCell ref="C5:D5"/>
    <mergeCell ref="B7:C7"/>
    <mergeCell ref="B9:G9"/>
    <mergeCell ref="H9:U9"/>
    <mergeCell ref="AD3:AE3"/>
    <mergeCell ref="AF3:AG3"/>
    <mergeCell ref="AH3:AH4"/>
    <mergeCell ref="N3:O3"/>
    <mergeCell ref="P3:Q3"/>
    <mergeCell ref="R3:S3"/>
    <mergeCell ref="T3:U3"/>
    <mergeCell ref="V3:W3"/>
    <mergeCell ref="X3:Y3"/>
    <mergeCell ref="R10:S10"/>
    <mergeCell ref="T10:U10"/>
    <mergeCell ref="C12:D12"/>
    <mergeCell ref="E12:G12"/>
    <mergeCell ref="B2:G2"/>
    <mergeCell ref="H2:AH2"/>
    <mergeCell ref="B3:B4"/>
    <mergeCell ref="C3:D4"/>
    <mergeCell ref="E3:E4"/>
    <mergeCell ref="F3:F4"/>
    <mergeCell ref="G3:G4"/>
    <mergeCell ref="H3:I3"/>
    <mergeCell ref="J3:K3"/>
    <mergeCell ref="L3:M3"/>
    <mergeCell ref="Z3:AA3"/>
    <mergeCell ref="AB3:AC3"/>
    <mergeCell ref="B20:G20"/>
    <mergeCell ref="C17:D17"/>
    <mergeCell ref="E17:G17"/>
    <mergeCell ref="B18:C18"/>
    <mergeCell ref="E18:G18"/>
    <mergeCell ref="C13:D13"/>
    <mergeCell ref="C14:D14"/>
    <mergeCell ref="C15:D15"/>
    <mergeCell ref="C16:D16"/>
    <mergeCell ref="E13:G13"/>
    <mergeCell ref="E14:G14"/>
    <mergeCell ref="E15:G15"/>
    <mergeCell ref="E16:G16"/>
  </mergeCells>
  <dataValidations count="2">
    <dataValidation type="list" allowBlank="1" showInputMessage="1" showErrorMessage="1" sqref="WUE11:WUE16 IF65536:IF65537 SB65536:SB65537 ABX65536:ABX65537 ALT65536:ALT65537 AVP65536:AVP65537 BFL65536:BFL65537 BPH65536:BPH65537 BZD65536:BZD65537 CIZ65536:CIZ65537 CSV65536:CSV65537 DCR65536:DCR65537 DMN65536:DMN65537 DWJ65536:DWJ65537 EGF65536:EGF65537 EQB65536:EQB65537 EZX65536:EZX65537 FJT65536:FJT65537 FTP65536:FTP65537 GDL65536:GDL65537 GNH65536:GNH65537 GXD65536:GXD65537 HGZ65536:HGZ65537 HQV65536:HQV65537 IAR65536:IAR65537 IKN65536:IKN65537 IUJ65536:IUJ65537 JEF65536:JEF65537 JOB65536:JOB65537 JXX65536:JXX65537 KHT65536:KHT65537 KRP65536:KRP65537 LBL65536:LBL65537 LLH65536:LLH65537 LVD65536:LVD65537 MEZ65536:MEZ65537 MOV65536:MOV65537 MYR65536:MYR65537 NIN65536:NIN65537 NSJ65536:NSJ65537 OCF65536:OCF65537 OMB65536:OMB65537 OVX65536:OVX65537 PFT65536:PFT65537 PPP65536:PPP65537 PZL65536:PZL65537 QJH65536:QJH65537 QTD65536:QTD65537 RCZ65536:RCZ65537 RMV65536:RMV65537 RWR65536:RWR65537 SGN65536:SGN65537 SQJ65536:SQJ65537 TAF65536:TAF65537 TKB65536:TKB65537 TTX65536:TTX65537 UDT65536:UDT65537 UNP65536:UNP65537 UXL65536:UXL65537 VHH65536:VHH65537 VRD65536:VRD65537 WAZ65536:WAZ65537 WKV65536:WKV65537 WUR65536:WUR65537 IF131072:IF131073 SB131072:SB131073 ABX131072:ABX131073 ALT131072:ALT131073 AVP131072:AVP131073 BFL131072:BFL131073 BPH131072:BPH131073 BZD131072:BZD131073 CIZ131072:CIZ131073 CSV131072:CSV131073 DCR131072:DCR131073 DMN131072:DMN131073 DWJ131072:DWJ131073 EGF131072:EGF131073 EQB131072:EQB131073 EZX131072:EZX131073 FJT131072:FJT131073 FTP131072:FTP131073 GDL131072:GDL131073 GNH131072:GNH131073 GXD131072:GXD131073 HGZ131072:HGZ131073 HQV131072:HQV131073 IAR131072:IAR131073 IKN131072:IKN131073 IUJ131072:IUJ131073 JEF131072:JEF131073 JOB131072:JOB131073 JXX131072:JXX131073 KHT131072:KHT131073 KRP131072:KRP131073 LBL131072:LBL131073 LLH131072:LLH131073 LVD131072:LVD131073 MEZ131072:MEZ131073 MOV131072:MOV131073 MYR131072:MYR131073 NIN131072:NIN131073 NSJ131072:NSJ131073 OCF131072:OCF131073 OMB131072:OMB131073 OVX131072:OVX131073 PFT131072:PFT131073 PPP131072:PPP131073 PZL131072:PZL131073 QJH131072:QJH131073 QTD131072:QTD131073 RCZ131072:RCZ131073 RMV131072:RMV131073 RWR131072:RWR131073 SGN131072:SGN131073 SQJ131072:SQJ131073 TAF131072:TAF131073 TKB131072:TKB131073 TTX131072:TTX131073 UDT131072:UDT131073 UNP131072:UNP131073 UXL131072:UXL131073 VHH131072:VHH131073 VRD131072:VRD131073 WAZ131072:WAZ131073 WKV131072:WKV131073 WUR131072:WUR131073 IF196608:IF196609 SB196608:SB196609 ABX196608:ABX196609 ALT196608:ALT196609 AVP196608:AVP196609 BFL196608:BFL196609 BPH196608:BPH196609 BZD196608:BZD196609 CIZ196608:CIZ196609 CSV196608:CSV196609 DCR196608:DCR196609 DMN196608:DMN196609 DWJ196608:DWJ196609 EGF196608:EGF196609 EQB196608:EQB196609 EZX196608:EZX196609 FJT196608:FJT196609 FTP196608:FTP196609 GDL196608:GDL196609 GNH196608:GNH196609 GXD196608:GXD196609 HGZ196608:HGZ196609 HQV196608:HQV196609 IAR196608:IAR196609 IKN196608:IKN196609 IUJ196608:IUJ196609 JEF196608:JEF196609 JOB196608:JOB196609 JXX196608:JXX196609 KHT196608:KHT196609 KRP196608:KRP196609 LBL196608:LBL196609 LLH196608:LLH196609 LVD196608:LVD196609 MEZ196608:MEZ196609 MOV196608:MOV196609 MYR196608:MYR196609 NIN196608:NIN196609 NSJ196608:NSJ196609 OCF196608:OCF196609 OMB196608:OMB196609 OVX196608:OVX196609 PFT196608:PFT196609 PPP196608:PPP196609 PZL196608:PZL196609 QJH196608:QJH196609 QTD196608:QTD196609 RCZ196608:RCZ196609 RMV196608:RMV196609 RWR196608:RWR196609 SGN196608:SGN196609 SQJ196608:SQJ196609 TAF196608:TAF196609 TKB196608:TKB196609 TTX196608:TTX196609 UDT196608:UDT196609 UNP196608:UNP196609 UXL196608:UXL196609 VHH196608:VHH196609 VRD196608:VRD196609 WAZ196608:WAZ196609 WKV196608:WKV196609 WUR196608:WUR196609 IF262144:IF262145 SB262144:SB262145 ABX262144:ABX262145 ALT262144:ALT262145 AVP262144:AVP262145 BFL262144:BFL262145 BPH262144:BPH262145 BZD262144:BZD262145 CIZ262144:CIZ262145 CSV262144:CSV262145 DCR262144:DCR262145 DMN262144:DMN262145 DWJ262144:DWJ262145 EGF262144:EGF262145 EQB262144:EQB262145 EZX262144:EZX262145 FJT262144:FJT262145 FTP262144:FTP262145 GDL262144:GDL262145 GNH262144:GNH262145 GXD262144:GXD262145 HGZ262144:HGZ262145 HQV262144:HQV262145 IAR262144:IAR262145 IKN262144:IKN262145 IUJ262144:IUJ262145 JEF262144:JEF262145 JOB262144:JOB262145 JXX262144:JXX262145 KHT262144:KHT262145 KRP262144:KRP262145 LBL262144:LBL262145 LLH262144:LLH262145 LVD262144:LVD262145 MEZ262144:MEZ262145 MOV262144:MOV262145 MYR262144:MYR262145 NIN262144:NIN262145 NSJ262144:NSJ262145 OCF262144:OCF262145 OMB262144:OMB262145 OVX262144:OVX262145 PFT262144:PFT262145 PPP262144:PPP262145 PZL262144:PZL262145 QJH262144:QJH262145 QTD262144:QTD262145 RCZ262144:RCZ262145 RMV262144:RMV262145 RWR262144:RWR262145 SGN262144:SGN262145 SQJ262144:SQJ262145 TAF262144:TAF262145 TKB262144:TKB262145 TTX262144:TTX262145 UDT262144:UDT262145 UNP262144:UNP262145 UXL262144:UXL262145 VHH262144:VHH262145 VRD262144:VRD262145 WAZ262144:WAZ262145 WKV262144:WKV262145 WUR262144:WUR262145 IF327680:IF327681 SB327680:SB327681 ABX327680:ABX327681 ALT327680:ALT327681 AVP327680:AVP327681 BFL327680:BFL327681 BPH327680:BPH327681 BZD327680:BZD327681 CIZ327680:CIZ327681 CSV327680:CSV327681 DCR327680:DCR327681 DMN327680:DMN327681 DWJ327680:DWJ327681 EGF327680:EGF327681 EQB327680:EQB327681 EZX327680:EZX327681 FJT327680:FJT327681 FTP327680:FTP327681 GDL327680:GDL327681 GNH327680:GNH327681 GXD327680:GXD327681 HGZ327680:HGZ327681 HQV327680:HQV327681 IAR327680:IAR327681 IKN327680:IKN327681 IUJ327680:IUJ327681 JEF327680:JEF327681 JOB327680:JOB327681 JXX327680:JXX327681 KHT327680:KHT327681 KRP327680:KRP327681 LBL327680:LBL327681 LLH327680:LLH327681 LVD327680:LVD327681 MEZ327680:MEZ327681 MOV327680:MOV327681 MYR327680:MYR327681 NIN327680:NIN327681 NSJ327680:NSJ327681 OCF327680:OCF327681 OMB327680:OMB327681 OVX327680:OVX327681 PFT327680:PFT327681 PPP327680:PPP327681 PZL327680:PZL327681 QJH327680:QJH327681 QTD327680:QTD327681 RCZ327680:RCZ327681 RMV327680:RMV327681 RWR327680:RWR327681 SGN327680:SGN327681 SQJ327680:SQJ327681 TAF327680:TAF327681 TKB327680:TKB327681 TTX327680:TTX327681 UDT327680:UDT327681 UNP327680:UNP327681 UXL327680:UXL327681 VHH327680:VHH327681 VRD327680:VRD327681 WAZ327680:WAZ327681 WKV327680:WKV327681 WUR327680:WUR327681 IF393216:IF393217 SB393216:SB393217 ABX393216:ABX393217 ALT393216:ALT393217 AVP393216:AVP393217 BFL393216:BFL393217 BPH393216:BPH393217 BZD393216:BZD393217 CIZ393216:CIZ393217 CSV393216:CSV393217 DCR393216:DCR393217 DMN393216:DMN393217 DWJ393216:DWJ393217 EGF393216:EGF393217 EQB393216:EQB393217 EZX393216:EZX393217 FJT393216:FJT393217 FTP393216:FTP393217 GDL393216:GDL393217 GNH393216:GNH393217 GXD393216:GXD393217 HGZ393216:HGZ393217 HQV393216:HQV393217 IAR393216:IAR393217 IKN393216:IKN393217 IUJ393216:IUJ393217 JEF393216:JEF393217 JOB393216:JOB393217 JXX393216:JXX393217 KHT393216:KHT393217 KRP393216:KRP393217 LBL393216:LBL393217 LLH393216:LLH393217 LVD393216:LVD393217 MEZ393216:MEZ393217 MOV393216:MOV393217 MYR393216:MYR393217 NIN393216:NIN393217 NSJ393216:NSJ393217 OCF393216:OCF393217 OMB393216:OMB393217 OVX393216:OVX393217 PFT393216:PFT393217 PPP393216:PPP393217 PZL393216:PZL393217 QJH393216:QJH393217 QTD393216:QTD393217 RCZ393216:RCZ393217 RMV393216:RMV393217 RWR393216:RWR393217 SGN393216:SGN393217 SQJ393216:SQJ393217 TAF393216:TAF393217 TKB393216:TKB393217 TTX393216:TTX393217 UDT393216:UDT393217 UNP393216:UNP393217 UXL393216:UXL393217 VHH393216:VHH393217 VRD393216:VRD393217 WAZ393216:WAZ393217 WKV393216:WKV393217 WUR393216:WUR393217 IF458752:IF458753 SB458752:SB458753 ABX458752:ABX458753 ALT458752:ALT458753 AVP458752:AVP458753 BFL458752:BFL458753 BPH458752:BPH458753 BZD458752:BZD458753 CIZ458752:CIZ458753 CSV458752:CSV458753 DCR458752:DCR458753 DMN458752:DMN458753 DWJ458752:DWJ458753 EGF458752:EGF458753 EQB458752:EQB458753 EZX458752:EZX458753 FJT458752:FJT458753 FTP458752:FTP458753 GDL458752:GDL458753 GNH458752:GNH458753 GXD458752:GXD458753 HGZ458752:HGZ458753 HQV458752:HQV458753 IAR458752:IAR458753 IKN458752:IKN458753 IUJ458752:IUJ458753 JEF458752:JEF458753 JOB458752:JOB458753 JXX458752:JXX458753 KHT458752:KHT458753 KRP458752:KRP458753 LBL458752:LBL458753 LLH458752:LLH458753 LVD458752:LVD458753 MEZ458752:MEZ458753 MOV458752:MOV458753 MYR458752:MYR458753 NIN458752:NIN458753 NSJ458752:NSJ458753 OCF458752:OCF458753 OMB458752:OMB458753 OVX458752:OVX458753 PFT458752:PFT458753 PPP458752:PPP458753 PZL458752:PZL458753 QJH458752:QJH458753 QTD458752:QTD458753 RCZ458752:RCZ458753 RMV458752:RMV458753 RWR458752:RWR458753 SGN458752:SGN458753 SQJ458752:SQJ458753 TAF458752:TAF458753 TKB458752:TKB458753 TTX458752:TTX458753 UDT458752:UDT458753 UNP458752:UNP458753 UXL458752:UXL458753 VHH458752:VHH458753 VRD458752:VRD458753 WAZ458752:WAZ458753 WKV458752:WKV458753 WUR458752:WUR458753 IF524288:IF524289 SB524288:SB524289 ABX524288:ABX524289 ALT524288:ALT524289 AVP524288:AVP524289 BFL524288:BFL524289 BPH524288:BPH524289 BZD524288:BZD524289 CIZ524288:CIZ524289 CSV524288:CSV524289 DCR524288:DCR524289 DMN524288:DMN524289 DWJ524288:DWJ524289 EGF524288:EGF524289 EQB524288:EQB524289 EZX524288:EZX524289 FJT524288:FJT524289 FTP524288:FTP524289 GDL524288:GDL524289 GNH524288:GNH524289 GXD524288:GXD524289 HGZ524288:HGZ524289 HQV524288:HQV524289 IAR524288:IAR524289 IKN524288:IKN524289 IUJ524288:IUJ524289 JEF524288:JEF524289 JOB524288:JOB524289 JXX524288:JXX524289 KHT524288:KHT524289 KRP524288:KRP524289 LBL524288:LBL524289 LLH524288:LLH524289 LVD524288:LVD524289 MEZ524288:MEZ524289 MOV524288:MOV524289 MYR524288:MYR524289 NIN524288:NIN524289 NSJ524288:NSJ524289 OCF524288:OCF524289 OMB524288:OMB524289 OVX524288:OVX524289 PFT524288:PFT524289 PPP524288:PPP524289 PZL524288:PZL524289 QJH524288:QJH524289 QTD524288:QTD524289 RCZ524288:RCZ524289 RMV524288:RMV524289 RWR524288:RWR524289 SGN524288:SGN524289 SQJ524288:SQJ524289 TAF524288:TAF524289 TKB524288:TKB524289 TTX524288:TTX524289 UDT524288:UDT524289 UNP524288:UNP524289 UXL524288:UXL524289 VHH524288:VHH524289 VRD524288:VRD524289 WAZ524288:WAZ524289 WKV524288:WKV524289 WUR524288:WUR524289 IF589824:IF589825 SB589824:SB589825 ABX589824:ABX589825 ALT589824:ALT589825 AVP589824:AVP589825 BFL589824:BFL589825 BPH589824:BPH589825 BZD589824:BZD589825 CIZ589824:CIZ589825 CSV589824:CSV589825 DCR589824:DCR589825 DMN589824:DMN589825 DWJ589824:DWJ589825 EGF589824:EGF589825 EQB589824:EQB589825 EZX589824:EZX589825 FJT589824:FJT589825 FTP589824:FTP589825 GDL589824:GDL589825 GNH589824:GNH589825 GXD589824:GXD589825 HGZ589824:HGZ589825 HQV589824:HQV589825 IAR589824:IAR589825 IKN589824:IKN589825 IUJ589824:IUJ589825 JEF589824:JEF589825 JOB589824:JOB589825 JXX589824:JXX589825 KHT589824:KHT589825 KRP589824:KRP589825 LBL589824:LBL589825 LLH589824:LLH589825 LVD589824:LVD589825 MEZ589824:MEZ589825 MOV589824:MOV589825 MYR589824:MYR589825 NIN589824:NIN589825 NSJ589824:NSJ589825 OCF589824:OCF589825 OMB589824:OMB589825 OVX589824:OVX589825 PFT589824:PFT589825 PPP589824:PPP589825 PZL589824:PZL589825 QJH589824:QJH589825 QTD589824:QTD589825 RCZ589824:RCZ589825 RMV589824:RMV589825 RWR589824:RWR589825 SGN589824:SGN589825 SQJ589824:SQJ589825 TAF589824:TAF589825 TKB589824:TKB589825 TTX589824:TTX589825 UDT589824:UDT589825 UNP589824:UNP589825 UXL589824:UXL589825 VHH589824:VHH589825 VRD589824:VRD589825 WAZ589824:WAZ589825 WKV589824:WKV589825 WUR589824:WUR589825 IF655360:IF655361 SB655360:SB655361 ABX655360:ABX655361 ALT655360:ALT655361 AVP655360:AVP655361 BFL655360:BFL655361 BPH655360:BPH655361 BZD655360:BZD655361 CIZ655360:CIZ655361 CSV655360:CSV655361 DCR655360:DCR655361 DMN655360:DMN655361 DWJ655360:DWJ655361 EGF655360:EGF655361 EQB655360:EQB655361 EZX655360:EZX655361 FJT655360:FJT655361 FTP655360:FTP655361 GDL655360:GDL655361 GNH655360:GNH655361 GXD655360:GXD655361 HGZ655360:HGZ655361 HQV655360:HQV655361 IAR655360:IAR655361 IKN655360:IKN655361 IUJ655360:IUJ655361 JEF655360:JEF655361 JOB655360:JOB655361 JXX655360:JXX655361 KHT655360:KHT655361 KRP655360:KRP655361 LBL655360:LBL655361 LLH655360:LLH655361 LVD655360:LVD655361 MEZ655360:MEZ655361 MOV655360:MOV655361 MYR655360:MYR655361 NIN655360:NIN655361 NSJ655360:NSJ655361 OCF655360:OCF655361 OMB655360:OMB655361 OVX655360:OVX655361 PFT655360:PFT655361 PPP655360:PPP655361 PZL655360:PZL655361 QJH655360:QJH655361 QTD655360:QTD655361 RCZ655360:RCZ655361 RMV655360:RMV655361 RWR655360:RWR655361 SGN655360:SGN655361 SQJ655360:SQJ655361 TAF655360:TAF655361 TKB655360:TKB655361 TTX655360:TTX655361 UDT655360:UDT655361 UNP655360:UNP655361 UXL655360:UXL655361 VHH655360:VHH655361 VRD655360:VRD655361 WAZ655360:WAZ655361 WKV655360:WKV655361 WUR655360:WUR655361 IF720896:IF720897 SB720896:SB720897 ABX720896:ABX720897 ALT720896:ALT720897 AVP720896:AVP720897 BFL720896:BFL720897 BPH720896:BPH720897 BZD720896:BZD720897 CIZ720896:CIZ720897 CSV720896:CSV720897 DCR720896:DCR720897 DMN720896:DMN720897 DWJ720896:DWJ720897 EGF720896:EGF720897 EQB720896:EQB720897 EZX720896:EZX720897 FJT720896:FJT720897 FTP720896:FTP720897 GDL720896:GDL720897 GNH720896:GNH720897 GXD720896:GXD720897 HGZ720896:HGZ720897 HQV720896:HQV720897 IAR720896:IAR720897 IKN720896:IKN720897 IUJ720896:IUJ720897 JEF720896:JEF720897 JOB720896:JOB720897 JXX720896:JXX720897 KHT720896:KHT720897 KRP720896:KRP720897 LBL720896:LBL720897 LLH720896:LLH720897 LVD720896:LVD720897 MEZ720896:MEZ720897 MOV720896:MOV720897 MYR720896:MYR720897 NIN720896:NIN720897 NSJ720896:NSJ720897 OCF720896:OCF720897 OMB720896:OMB720897 OVX720896:OVX720897 PFT720896:PFT720897 PPP720896:PPP720897 PZL720896:PZL720897 QJH720896:QJH720897 QTD720896:QTD720897 RCZ720896:RCZ720897 RMV720896:RMV720897 RWR720896:RWR720897 SGN720896:SGN720897 SQJ720896:SQJ720897 TAF720896:TAF720897 TKB720896:TKB720897 TTX720896:TTX720897 UDT720896:UDT720897 UNP720896:UNP720897 UXL720896:UXL720897 VHH720896:VHH720897 VRD720896:VRD720897 WAZ720896:WAZ720897 WKV720896:WKV720897 WUR720896:WUR720897 IF786432:IF786433 SB786432:SB786433 ABX786432:ABX786433 ALT786432:ALT786433 AVP786432:AVP786433 BFL786432:BFL786433 BPH786432:BPH786433 BZD786432:BZD786433 CIZ786432:CIZ786433 CSV786432:CSV786433 DCR786432:DCR786433 DMN786432:DMN786433 DWJ786432:DWJ786433 EGF786432:EGF786433 EQB786432:EQB786433 EZX786432:EZX786433 FJT786432:FJT786433 FTP786432:FTP786433 GDL786432:GDL786433 GNH786432:GNH786433 GXD786432:GXD786433 HGZ786432:HGZ786433 HQV786432:HQV786433 IAR786432:IAR786433 IKN786432:IKN786433 IUJ786432:IUJ786433 JEF786432:JEF786433 JOB786432:JOB786433 JXX786432:JXX786433 KHT786432:KHT786433 KRP786432:KRP786433 LBL786432:LBL786433 LLH786432:LLH786433 LVD786432:LVD786433 MEZ786432:MEZ786433 MOV786432:MOV786433 MYR786432:MYR786433 NIN786432:NIN786433 NSJ786432:NSJ786433 OCF786432:OCF786433 OMB786432:OMB786433 OVX786432:OVX786433 PFT786432:PFT786433 PPP786432:PPP786433 PZL786432:PZL786433 QJH786432:QJH786433 QTD786432:QTD786433 RCZ786432:RCZ786433 RMV786432:RMV786433 RWR786432:RWR786433 SGN786432:SGN786433 SQJ786432:SQJ786433 TAF786432:TAF786433 TKB786432:TKB786433 TTX786432:TTX786433 UDT786432:UDT786433 UNP786432:UNP786433 UXL786432:UXL786433 VHH786432:VHH786433 VRD786432:VRD786433 WAZ786432:WAZ786433 WKV786432:WKV786433 WUR786432:WUR786433 IF851968:IF851969 SB851968:SB851969 ABX851968:ABX851969 ALT851968:ALT851969 AVP851968:AVP851969 BFL851968:BFL851969 BPH851968:BPH851969 BZD851968:BZD851969 CIZ851968:CIZ851969 CSV851968:CSV851969 DCR851968:DCR851969 DMN851968:DMN851969 DWJ851968:DWJ851969 EGF851968:EGF851969 EQB851968:EQB851969 EZX851968:EZX851969 FJT851968:FJT851969 FTP851968:FTP851969 GDL851968:GDL851969 GNH851968:GNH851969 GXD851968:GXD851969 HGZ851968:HGZ851969 HQV851968:HQV851969 IAR851968:IAR851969 IKN851968:IKN851969 IUJ851968:IUJ851969 JEF851968:JEF851969 JOB851968:JOB851969 JXX851968:JXX851969 KHT851968:KHT851969 KRP851968:KRP851969 LBL851968:LBL851969 LLH851968:LLH851969 LVD851968:LVD851969 MEZ851968:MEZ851969 MOV851968:MOV851969 MYR851968:MYR851969 NIN851968:NIN851969 NSJ851968:NSJ851969 OCF851968:OCF851969 OMB851968:OMB851969 OVX851968:OVX851969 PFT851968:PFT851969 PPP851968:PPP851969 PZL851968:PZL851969 QJH851968:QJH851969 QTD851968:QTD851969 RCZ851968:RCZ851969 RMV851968:RMV851969 RWR851968:RWR851969 SGN851968:SGN851969 SQJ851968:SQJ851969 TAF851968:TAF851969 TKB851968:TKB851969 TTX851968:TTX851969 UDT851968:UDT851969 UNP851968:UNP851969 UXL851968:UXL851969 VHH851968:VHH851969 VRD851968:VRD851969 WAZ851968:WAZ851969 WKV851968:WKV851969 WUR851968:WUR851969 IF917504:IF917505 SB917504:SB917505 ABX917504:ABX917505 ALT917504:ALT917505 AVP917504:AVP917505 BFL917504:BFL917505 BPH917504:BPH917505 BZD917504:BZD917505 CIZ917504:CIZ917505 CSV917504:CSV917505 DCR917504:DCR917505 DMN917504:DMN917505 DWJ917504:DWJ917505 EGF917504:EGF917505 EQB917504:EQB917505 EZX917504:EZX917505 FJT917504:FJT917505 FTP917504:FTP917505 GDL917504:GDL917505 GNH917504:GNH917505 GXD917504:GXD917505 HGZ917504:HGZ917505 HQV917504:HQV917505 IAR917504:IAR917505 IKN917504:IKN917505 IUJ917504:IUJ917505 JEF917504:JEF917505 JOB917504:JOB917505 JXX917504:JXX917505 KHT917504:KHT917505 KRP917504:KRP917505 LBL917504:LBL917505 LLH917504:LLH917505 LVD917504:LVD917505 MEZ917504:MEZ917505 MOV917504:MOV917505 MYR917504:MYR917505 NIN917504:NIN917505 NSJ917504:NSJ917505 OCF917504:OCF917505 OMB917504:OMB917505 OVX917504:OVX917505 PFT917504:PFT917505 PPP917504:PPP917505 PZL917504:PZL917505 QJH917504:QJH917505 QTD917504:QTD917505 RCZ917504:RCZ917505 RMV917504:RMV917505 RWR917504:RWR917505 SGN917504:SGN917505 SQJ917504:SQJ917505 TAF917504:TAF917505 TKB917504:TKB917505 TTX917504:TTX917505 UDT917504:UDT917505 UNP917504:UNP917505 UXL917504:UXL917505 VHH917504:VHH917505 VRD917504:VRD917505 WAZ917504:WAZ917505 WKV917504:WKV917505 WUR917504:WUR917505 IF983040:IF983041 SB983040:SB983041 ABX983040:ABX983041 ALT983040:ALT983041 AVP983040:AVP983041 BFL983040:BFL983041 BPH983040:BPH983041 BZD983040:BZD983041 CIZ983040:CIZ983041 CSV983040:CSV983041 DCR983040:DCR983041 DMN983040:DMN983041 DWJ983040:DWJ983041 EGF983040:EGF983041 EQB983040:EQB983041 EZX983040:EZX983041 FJT983040:FJT983041 FTP983040:FTP983041 GDL983040:GDL983041 GNH983040:GNH983041 GXD983040:GXD983041 HGZ983040:HGZ983041 HQV983040:HQV983041 IAR983040:IAR983041 IKN983040:IKN983041 IUJ983040:IUJ983041 JEF983040:JEF983041 JOB983040:JOB983041 JXX983040:JXX983041 KHT983040:KHT983041 KRP983040:KRP983041 LBL983040:LBL983041 LLH983040:LLH983041 LVD983040:LVD983041 MEZ983040:MEZ983041 MOV983040:MOV983041 MYR983040:MYR983041 NIN983040:NIN983041 NSJ983040:NSJ983041 OCF983040:OCF983041 OMB983040:OMB983041 OVX983040:OVX983041 PFT983040:PFT983041 PPP983040:PPP983041 PZL983040:PZL983041 QJH983040:QJH983041 QTD983040:QTD983041 RCZ983040:RCZ983041 RMV983040:RMV983041 RWR983040:RWR983041 SGN983040:SGN983041 SQJ983040:SQJ983041 TAF983040:TAF983041 TKB983040:TKB983041 TTX983040:TTX983041 UDT983040:UDT983041 UNP983040:UNP983041 UXL983040:UXL983041 VHH983040:VHH983041 VRD983040:VRD983041 WAZ983040:WAZ983041 WKV983040:WKV983041 WUR983040:WUR983041 HS11:HS16 RO11:RO16 ABK11:ABK16 ALG11:ALG16 AVC11:AVC16 BEY11:BEY16 BOU11:BOU16 BYQ11:BYQ16 CIM11:CIM16 CSI11:CSI16 DCE11:DCE16 DMA11:DMA16 DVW11:DVW16 EFS11:EFS16 EPO11:EPO16 EZK11:EZK16 FJG11:FJG16 FTC11:FTC16 GCY11:GCY16 GMU11:GMU16 GWQ11:GWQ16 HGM11:HGM16 HQI11:HQI16 IAE11:IAE16 IKA11:IKA16 ITW11:ITW16 JDS11:JDS16 JNO11:JNO16 JXK11:JXK16 KHG11:KHG16 KRC11:KRC16 LAY11:LAY16 LKU11:LKU16 LUQ11:LUQ16 MEM11:MEM16 MOI11:MOI16 MYE11:MYE16 NIA11:NIA16 NRW11:NRW16 OBS11:OBS16 OLO11:OLO16 OVK11:OVK16 PFG11:PFG16 PPC11:PPC16 PYY11:PYY16 QIU11:QIU16 QSQ11:QSQ16 RCM11:RCM16 RMI11:RMI16 RWE11:RWE16 SGA11:SGA16 SPW11:SPW16 SZS11:SZS16 TJO11:TJO16 TTK11:TTK16 UDG11:UDG16 UNC11:UNC16 UWY11:UWY16 VGU11:VGU16 VQQ11:VQQ16 WAM11:WAM16 WKI11:WKI16 SB5:SB6 ABX5:ABX6 ALT5:ALT6 AVP5:AVP6 BFL5:BFL6 BPH5:BPH6 BZD5:BZD6 CIZ5:CIZ6 CSV5:CSV6 DCR5:DCR6 DMN5:DMN6 DWJ5:DWJ6 EGF5:EGF6 EQB5:EQB6 EZX5:EZX6 FJT5:FJT6 FTP5:FTP6 GDL5:GDL6 GNH5:GNH6 GXD5:GXD6 HGZ5:HGZ6 HQV5:HQV6 IAR5:IAR6 IKN5:IKN6 IUJ5:IUJ6 JEF5:JEF6 JOB5:JOB6 JXX5:JXX6 KHT5:KHT6 KRP5:KRP6 LBL5:LBL6 LLH5:LLH6 LVD5:LVD6 MEZ5:MEZ6 MOV5:MOV6 MYR5:MYR6 NIN5:NIN6 NSJ5:NSJ6 OCF5:OCF6 OMB5:OMB6 OVX5:OVX6 PFT5:PFT6 PPP5:PPP6 PZL5:PZL6 QJH5:QJH6 QTD5:QTD6 RCZ5:RCZ6 RMV5:RMV6 RWR5:RWR6 SGN5:SGN6 SQJ5:SQJ6 TAF5:TAF6 TKB5:TKB6 TTX5:TTX6 UDT5:UDT6 UNP5:UNP6 UXL5:UXL6 VHH5:VHH6 VRD5:VRD6 WAZ5:WAZ6 WKV5:WKV6 WUR5:WUR6 IF5:IF6" xr:uid="{DF5C3E5E-081A-44FB-813F-87E351470613}">
      <formula1>"Home Loan, LAP,Vehicle Loan,CVL, Personal Loan,Business Loan, CC/OD,Term Loan,Machinery Loan,Education Loan"</formula1>
    </dataValidation>
    <dataValidation allowBlank="1" showInputMessage="1" sqref="J12:U17" xr:uid="{FEDB4D0E-A452-4CA5-834D-441303E2FD24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Error" error="Not a valid Date" promptTitle="Date" prompt="Insert a date (DD)" xr:uid="{939330BA-B23D-4C00-9F97-941185606B9F}">
          <x14:formula1>
            <xm:f>1</xm:f>
          </x14:formula1>
          <x14:formula2>
            <xm:f>31</xm:f>
          </x14:formula2>
          <xm:sqref>J65537:J65538 IT65536:IT65537 SP65536:SP65537 ACL65536:ACL65537 AMH65536:AMH65537 AWD65536:AWD65537 BFZ65536:BFZ65537 BPV65536:BPV65537 BZR65536:BZR65537 CJN65536:CJN65537 CTJ65536:CTJ65537 DDF65536:DDF65537 DNB65536:DNB65537 DWX65536:DWX65537 EGT65536:EGT65537 EQP65536:EQP65537 FAL65536:FAL65537 FKH65536:FKH65537 FUD65536:FUD65537 GDZ65536:GDZ65537 GNV65536:GNV65537 GXR65536:GXR65537 HHN65536:HHN65537 HRJ65536:HRJ65537 IBF65536:IBF65537 ILB65536:ILB65537 IUX65536:IUX65537 JET65536:JET65537 JOP65536:JOP65537 JYL65536:JYL65537 KIH65536:KIH65537 KSD65536:KSD65537 LBZ65536:LBZ65537 LLV65536:LLV65537 LVR65536:LVR65537 MFN65536:MFN65537 MPJ65536:MPJ65537 MZF65536:MZF65537 NJB65536:NJB65537 NSX65536:NSX65537 OCT65536:OCT65537 OMP65536:OMP65537 OWL65536:OWL65537 PGH65536:PGH65537 PQD65536:PQD65537 PZZ65536:PZZ65537 QJV65536:QJV65537 QTR65536:QTR65537 RDN65536:RDN65537 RNJ65536:RNJ65537 RXF65536:RXF65537 SHB65536:SHB65537 SQX65536:SQX65537 TAT65536:TAT65537 TKP65536:TKP65537 TUL65536:TUL65537 UEH65536:UEH65537 UOD65536:UOD65537 UXZ65536:UXZ65537 VHV65536:VHV65537 VRR65536:VRR65537 WBN65536:WBN65537 WLJ65536:WLJ65537 WVF65536:WVF65537 J131073:J131074 IT131072:IT131073 SP131072:SP131073 ACL131072:ACL131073 AMH131072:AMH131073 AWD131072:AWD131073 BFZ131072:BFZ131073 BPV131072:BPV131073 BZR131072:BZR131073 CJN131072:CJN131073 CTJ131072:CTJ131073 DDF131072:DDF131073 DNB131072:DNB131073 DWX131072:DWX131073 EGT131072:EGT131073 EQP131072:EQP131073 FAL131072:FAL131073 FKH131072:FKH131073 FUD131072:FUD131073 GDZ131072:GDZ131073 GNV131072:GNV131073 GXR131072:GXR131073 HHN131072:HHN131073 HRJ131072:HRJ131073 IBF131072:IBF131073 ILB131072:ILB131073 IUX131072:IUX131073 JET131072:JET131073 JOP131072:JOP131073 JYL131072:JYL131073 KIH131072:KIH131073 KSD131072:KSD131073 LBZ131072:LBZ131073 LLV131072:LLV131073 LVR131072:LVR131073 MFN131072:MFN131073 MPJ131072:MPJ131073 MZF131072:MZF131073 NJB131072:NJB131073 NSX131072:NSX131073 OCT131072:OCT131073 OMP131072:OMP131073 OWL131072:OWL131073 PGH131072:PGH131073 PQD131072:PQD131073 PZZ131072:PZZ131073 QJV131072:QJV131073 QTR131072:QTR131073 RDN131072:RDN131073 RNJ131072:RNJ131073 RXF131072:RXF131073 SHB131072:SHB131073 SQX131072:SQX131073 TAT131072:TAT131073 TKP131072:TKP131073 TUL131072:TUL131073 UEH131072:UEH131073 UOD131072:UOD131073 UXZ131072:UXZ131073 VHV131072:VHV131073 VRR131072:VRR131073 WBN131072:WBN131073 WLJ131072:WLJ131073 WVF131072:WVF131073 J196609:J196610 IT196608:IT196609 SP196608:SP196609 ACL196608:ACL196609 AMH196608:AMH196609 AWD196608:AWD196609 BFZ196608:BFZ196609 BPV196608:BPV196609 BZR196608:BZR196609 CJN196608:CJN196609 CTJ196608:CTJ196609 DDF196608:DDF196609 DNB196608:DNB196609 DWX196608:DWX196609 EGT196608:EGT196609 EQP196608:EQP196609 FAL196608:FAL196609 FKH196608:FKH196609 FUD196608:FUD196609 GDZ196608:GDZ196609 GNV196608:GNV196609 GXR196608:GXR196609 HHN196608:HHN196609 HRJ196608:HRJ196609 IBF196608:IBF196609 ILB196608:ILB196609 IUX196608:IUX196609 JET196608:JET196609 JOP196608:JOP196609 JYL196608:JYL196609 KIH196608:KIH196609 KSD196608:KSD196609 LBZ196608:LBZ196609 LLV196608:LLV196609 LVR196608:LVR196609 MFN196608:MFN196609 MPJ196608:MPJ196609 MZF196608:MZF196609 NJB196608:NJB196609 NSX196608:NSX196609 OCT196608:OCT196609 OMP196608:OMP196609 OWL196608:OWL196609 PGH196608:PGH196609 PQD196608:PQD196609 PZZ196608:PZZ196609 QJV196608:QJV196609 QTR196608:QTR196609 RDN196608:RDN196609 RNJ196608:RNJ196609 RXF196608:RXF196609 SHB196608:SHB196609 SQX196608:SQX196609 TAT196608:TAT196609 TKP196608:TKP196609 TUL196608:TUL196609 UEH196608:UEH196609 UOD196608:UOD196609 UXZ196608:UXZ196609 VHV196608:VHV196609 VRR196608:VRR196609 WBN196608:WBN196609 WLJ196608:WLJ196609 WVF196608:WVF196609 J262145:J262146 IT262144:IT262145 SP262144:SP262145 ACL262144:ACL262145 AMH262144:AMH262145 AWD262144:AWD262145 BFZ262144:BFZ262145 BPV262144:BPV262145 BZR262144:BZR262145 CJN262144:CJN262145 CTJ262144:CTJ262145 DDF262144:DDF262145 DNB262144:DNB262145 DWX262144:DWX262145 EGT262144:EGT262145 EQP262144:EQP262145 FAL262144:FAL262145 FKH262144:FKH262145 FUD262144:FUD262145 GDZ262144:GDZ262145 GNV262144:GNV262145 GXR262144:GXR262145 HHN262144:HHN262145 HRJ262144:HRJ262145 IBF262144:IBF262145 ILB262144:ILB262145 IUX262144:IUX262145 JET262144:JET262145 JOP262144:JOP262145 JYL262144:JYL262145 KIH262144:KIH262145 KSD262144:KSD262145 LBZ262144:LBZ262145 LLV262144:LLV262145 LVR262144:LVR262145 MFN262144:MFN262145 MPJ262144:MPJ262145 MZF262144:MZF262145 NJB262144:NJB262145 NSX262144:NSX262145 OCT262144:OCT262145 OMP262144:OMP262145 OWL262144:OWL262145 PGH262144:PGH262145 PQD262144:PQD262145 PZZ262144:PZZ262145 QJV262144:QJV262145 QTR262144:QTR262145 RDN262144:RDN262145 RNJ262144:RNJ262145 RXF262144:RXF262145 SHB262144:SHB262145 SQX262144:SQX262145 TAT262144:TAT262145 TKP262144:TKP262145 TUL262144:TUL262145 UEH262144:UEH262145 UOD262144:UOD262145 UXZ262144:UXZ262145 VHV262144:VHV262145 VRR262144:VRR262145 WBN262144:WBN262145 WLJ262144:WLJ262145 WVF262144:WVF262145 J327681:J327682 IT327680:IT327681 SP327680:SP327681 ACL327680:ACL327681 AMH327680:AMH327681 AWD327680:AWD327681 BFZ327680:BFZ327681 BPV327680:BPV327681 BZR327680:BZR327681 CJN327680:CJN327681 CTJ327680:CTJ327681 DDF327680:DDF327681 DNB327680:DNB327681 DWX327680:DWX327681 EGT327680:EGT327681 EQP327680:EQP327681 FAL327680:FAL327681 FKH327680:FKH327681 FUD327680:FUD327681 GDZ327680:GDZ327681 GNV327680:GNV327681 GXR327680:GXR327681 HHN327680:HHN327681 HRJ327680:HRJ327681 IBF327680:IBF327681 ILB327680:ILB327681 IUX327680:IUX327681 JET327680:JET327681 JOP327680:JOP327681 JYL327680:JYL327681 KIH327680:KIH327681 KSD327680:KSD327681 LBZ327680:LBZ327681 LLV327680:LLV327681 LVR327680:LVR327681 MFN327680:MFN327681 MPJ327680:MPJ327681 MZF327680:MZF327681 NJB327680:NJB327681 NSX327680:NSX327681 OCT327680:OCT327681 OMP327680:OMP327681 OWL327680:OWL327681 PGH327680:PGH327681 PQD327680:PQD327681 PZZ327680:PZZ327681 QJV327680:QJV327681 QTR327680:QTR327681 RDN327680:RDN327681 RNJ327680:RNJ327681 RXF327680:RXF327681 SHB327680:SHB327681 SQX327680:SQX327681 TAT327680:TAT327681 TKP327680:TKP327681 TUL327680:TUL327681 UEH327680:UEH327681 UOD327680:UOD327681 UXZ327680:UXZ327681 VHV327680:VHV327681 VRR327680:VRR327681 WBN327680:WBN327681 WLJ327680:WLJ327681 WVF327680:WVF327681 J393217:J393218 IT393216:IT393217 SP393216:SP393217 ACL393216:ACL393217 AMH393216:AMH393217 AWD393216:AWD393217 BFZ393216:BFZ393217 BPV393216:BPV393217 BZR393216:BZR393217 CJN393216:CJN393217 CTJ393216:CTJ393217 DDF393216:DDF393217 DNB393216:DNB393217 DWX393216:DWX393217 EGT393216:EGT393217 EQP393216:EQP393217 FAL393216:FAL393217 FKH393216:FKH393217 FUD393216:FUD393217 GDZ393216:GDZ393217 GNV393216:GNV393217 GXR393216:GXR393217 HHN393216:HHN393217 HRJ393216:HRJ393217 IBF393216:IBF393217 ILB393216:ILB393217 IUX393216:IUX393217 JET393216:JET393217 JOP393216:JOP393217 JYL393216:JYL393217 KIH393216:KIH393217 KSD393216:KSD393217 LBZ393216:LBZ393217 LLV393216:LLV393217 LVR393216:LVR393217 MFN393216:MFN393217 MPJ393216:MPJ393217 MZF393216:MZF393217 NJB393216:NJB393217 NSX393216:NSX393217 OCT393216:OCT393217 OMP393216:OMP393217 OWL393216:OWL393217 PGH393216:PGH393217 PQD393216:PQD393217 PZZ393216:PZZ393217 QJV393216:QJV393217 QTR393216:QTR393217 RDN393216:RDN393217 RNJ393216:RNJ393217 RXF393216:RXF393217 SHB393216:SHB393217 SQX393216:SQX393217 TAT393216:TAT393217 TKP393216:TKP393217 TUL393216:TUL393217 UEH393216:UEH393217 UOD393216:UOD393217 UXZ393216:UXZ393217 VHV393216:VHV393217 VRR393216:VRR393217 WBN393216:WBN393217 WLJ393216:WLJ393217 WVF393216:WVF393217 J458753:J458754 IT458752:IT458753 SP458752:SP458753 ACL458752:ACL458753 AMH458752:AMH458753 AWD458752:AWD458753 BFZ458752:BFZ458753 BPV458752:BPV458753 BZR458752:BZR458753 CJN458752:CJN458753 CTJ458752:CTJ458753 DDF458752:DDF458753 DNB458752:DNB458753 DWX458752:DWX458753 EGT458752:EGT458753 EQP458752:EQP458753 FAL458752:FAL458753 FKH458752:FKH458753 FUD458752:FUD458753 GDZ458752:GDZ458753 GNV458752:GNV458753 GXR458752:GXR458753 HHN458752:HHN458753 HRJ458752:HRJ458753 IBF458752:IBF458753 ILB458752:ILB458753 IUX458752:IUX458753 JET458752:JET458753 JOP458752:JOP458753 JYL458752:JYL458753 KIH458752:KIH458753 KSD458752:KSD458753 LBZ458752:LBZ458753 LLV458752:LLV458753 LVR458752:LVR458753 MFN458752:MFN458753 MPJ458752:MPJ458753 MZF458752:MZF458753 NJB458752:NJB458753 NSX458752:NSX458753 OCT458752:OCT458753 OMP458752:OMP458753 OWL458752:OWL458753 PGH458752:PGH458753 PQD458752:PQD458753 PZZ458752:PZZ458753 QJV458752:QJV458753 QTR458752:QTR458753 RDN458752:RDN458753 RNJ458752:RNJ458753 RXF458752:RXF458753 SHB458752:SHB458753 SQX458752:SQX458753 TAT458752:TAT458753 TKP458752:TKP458753 TUL458752:TUL458753 UEH458752:UEH458753 UOD458752:UOD458753 UXZ458752:UXZ458753 VHV458752:VHV458753 VRR458752:VRR458753 WBN458752:WBN458753 WLJ458752:WLJ458753 WVF458752:WVF458753 J524289:J524290 IT524288:IT524289 SP524288:SP524289 ACL524288:ACL524289 AMH524288:AMH524289 AWD524288:AWD524289 BFZ524288:BFZ524289 BPV524288:BPV524289 BZR524288:BZR524289 CJN524288:CJN524289 CTJ524288:CTJ524289 DDF524288:DDF524289 DNB524288:DNB524289 DWX524288:DWX524289 EGT524288:EGT524289 EQP524288:EQP524289 FAL524288:FAL524289 FKH524288:FKH524289 FUD524288:FUD524289 GDZ524288:GDZ524289 GNV524288:GNV524289 GXR524288:GXR524289 HHN524288:HHN524289 HRJ524288:HRJ524289 IBF524288:IBF524289 ILB524288:ILB524289 IUX524288:IUX524289 JET524288:JET524289 JOP524288:JOP524289 JYL524288:JYL524289 KIH524288:KIH524289 KSD524288:KSD524289 LBZ524288:LBZ524289 LLV524288:LLV524289 LVR524288:LVR524289 MFN524288:MFN524289 MPJ524288:MPJ524289 MZF524288:MZF524289 NJB524288:NJB524289 NSX524288:NSX524289 OCT524288:OCT524289 OMP524288:OMP524289 OWL524288:OWL524289 PGH524288:PGH524289 PQD524288:PQD524289 PZZ524288:PZZ524289 QJV524288:QJV524289 QTR524288:QTR524289 RDN524288:RDN524289 RNJ524288:RNJ524289 RXF524288:RXF524289 SHB524288:SHB524289 SQX524288:SQX524289 TAT524288:TAT524289 TKP524288:TKP524289 TUL524288:TUL524289 UEH524288:UEH524289 UOD524288:UOD524289 UXZ524288:UXZ524289 VHV524288:VHV524289 VRR524288:VRR524289 WBN524288:WBN524289 WLJ524288:WLJ524289 WVF524288:WVF524289 J589825:J589826 IT589824:IT589825 SP589824:SP589825 ACL589824:ACL589825 AMH589824:AMH589825 AWD589824:AWD589825 BFZ589824:BFZ589825 BPV589824:BPV589825 BZR589824:BZR589825 CJN589824:CJN589825 CTJ589824:CTJ589825 DDF589824:DDF589825 DNB589824:DNB589825 DWX589824:DWX589825 EGT589824:EGT589825 EQP589824:EQP589825 FAL589824:FAL589825 FKH589824:FKH589825 FUD589824:FUD589825 GDZ589824:GDZ589825 GNV589824:GNV589825 GXR589824:GXR589825 HHN589824:HHN589825 HRJ589824:HRJ589825 IBF589824:IBF589825 ILB589824:ILB589825 IUX589824:IUX589825 JET589824:JET589825 JOP589824:JOP589825 JYL589824:JYL589825 KIH589824:KIH589825 KSD589824:KSD589825 LBZ589824:LBZ589825 LLV589824:LLV589825 LVR589824:LVR589825 MFN589824:MFN589825 MPJ589824:MPJ589825 MZF589824:MZF589825 NJB589824:NJB589825 NSX589824:NSX589825 OCT589824:OCT589825 OMP589824:OMP589825 OWL589824:OWL589825 PGH589824:PGH589825 PQD589824:PQD589825 PZZ589824:PZZ589825 QJV589824:QJV589825 QTR589824:QTR589825 RDN589824:RDN589825 RNJ589824:RNJ589825 RXF589824:RXF589825 SHB589824:SHB589825 SQX589824:SQX589825 TAT589824:TAT589825 TKP589824:TKP589825 TUL589824:TUL589825 UEH589824:UEH589825 UOD589824:UOD589825 UXZ589824:UXZ589825 VHV589824:VHV589825 VRR589824:VRR589825 WBN589824:WBN589825 WLJ589824:WLJ589825 WVF589824:WVF589825 J655361:J655362 IT655360:IT655361 SP655360:SP655361 ACL655360:ACL655361 AMH655360:AMH655361 AWD655360:AWD655361 BFZ655360:BFZ655361 BPV655360:BPV655361 BZR655360:BZR655361 CJN655360:CJN655361 CTJ655360:CTJ655361 DDF655360:DDF655361 DNB655360:DNB655361 DWX655360:DWX655361 EGT655360:EGT655361 EQP655360:EQP655361 FAL655360:FAL655361 FKH655360:FKH655361 FUD655360:FUD655361 GDZ655360:GDZ655361 GNV655360:GNV655361 GXR655360:GXR655361 HHN655360:HHN655361 HRJ655360:HRJ655361 IBF655360:IBF655361 ILB655360:ILB655361 IUX655360:IUX655361 JET655360:JET655361 JOP655360:JOP655361 JYL655360:JYL655361 KIH655360:KIH655361 KSD655360:KSD655361 LBZ655360:LBZ655361 LLV655360:LLV655361 LVR655360:LVR655361 MFN655360:MFN655361 MPJ655360:MPJ655361 MZF655360:MZF655361 NJB655360:NJB655361 NSX655360:NSX655361 OCT655360:OCT655361 OMP655360:OMP655361 OWL655360:OWL655361 PGH655360:PGH655361 PQD655360:PQD655361 PZZ655360:PZZ655361 QJV655360:QJV655361 QTR655360:QTR655361 RDN655360:RDN655361 RNJ655360:RNJ655361 RXF655360:RXF655361 SHB655360:SHB655361 SQX655360:SQX655361 TAT655360:TAT655361 TKP655360:TKP655361 TUL655360:TUL655361 UEH655360:UEH655361 UOD655360:UOD655361 UXZ655360:UXZ655361 VHV655360:VHV655361 VRR655360:VRR655361 WBN655360:WBN655361 WLJ655360:WLJ655361 WVF655360:WVF655361 J720897:J720898 IT720896:IT720897 SP720896:SP720897 ACL720896:ACL720897 AMH720896:AMH720897 AWD720896:AWD720897 BFZ720896:BFZ720897 BPV720896:BPV720897 BZR720896:BZR720897 CJN720896:CJN720897 CTJ720896:CTJ720897 DDF720896:DDF720897 DNB720896:DNB720897 DWX720896:DWX720897 EGT720896:EGT720897 EQP720896:EQP720897 FAL720896:FAL720897 FKH720896:FKH720897 FUD720896:FUD720897 GDZ720896:GDZ720897 GNV720896:GNV720897 GXR720896:GXR720897 HHN720896:HHN720897 HRJ720896:HRJ720897 IBF720896:IBF720897 ILB720896:ILB720897 IUX720896:IUX720897 JET720896:JET720897 JOP720896:JOP720897 JYL720896:JYL720897 KIH720896:KIH720897 KSD720896:KSD720897 LBZ720896:LBZ720897 LLV720896:LLV720897 LVR720896:LVR720897 MFN720896:MFN720897 MPJ720896:MPJ720897 MZF720896:MZF720897 NJB720896:NJB720897 NSX720896:NSX720897 OCT720896:OCT720897 OMP720896:OMP720897 OWL720896:OWL720897 PGH720896:PGH720897 PQD720896:PQD720897 PZZ720896:PZZ720897 QJV720896:QJV720897 QTR720896:QTR720897 RDN720896:RDN720897 RNJ720896:RNJ720897 RXF720896:RXF720897 SHB720896:SHB720897 SQX720896:SQX720897 TAT720896:TAT720897 TKP720896:TKP720897 TUL720896:TUL720897 UEH720896:UEH720897 UOD720896:UOD720897 UXZ720896:UXZ720897 VHV720896:VHV720897 VRR720896:VRR720897 WBN720896:WBN720897 WLJ720896:WLJ720897 WVF720896:WVF720897 J786433:J786434 IT786432:IT786433 SP786432:SP786433 ACL786432:ACL786433 AMH786432:AMH786433 AWD786432:AWD786433 BFZ786432:BFZ786433 BPV786432:BPV786433 BZR786432:BZR786433 CJN786432:CJN786433 CTJ786432:CTJ786433 DDF786432:DDF786433 DNB786432:DNB786433 DWX786432:DWX786433 EGT786432:EGT786433 EQP786432:EQP786433 FAL786432:FAL786433 FKH786432:FKH786433 FUD786432:FUD786433 GDZ786432:GDZ786433 GNV786432:GNV786433 GXR786432:GXR786433 HHN786432:HHN786433 HRJ786432:HRJ786433 IBF786432:IBF786433 ILB786432:ILB786433 IUX786432:IUX786433 JET786432:JET786433 JOP786432:JOP786433 JYL786432:JYL786433 KIH786432:KIH786433 KSD786432:KSD786433 LBZ786432:LBZ786433 LLV786432:LLV786433 LVR786432:LVR786433 MFN786432:MFN786433 MPJ786432:MPJ786433 MZF786432:MZF786433 NJB786432:NJB786433 NSX786432:NSX786433 OCT786432:OCT786433 OMP786432:OMP786433 OWL786432:OWL786433 PGH786432:PGH786433 PQD786432:PQD786433 PZZ786432:PZZ786433 QJV786432:QJV786433 QTR786432:QTR786433 RDN786432:RDN786433 RNJ786432:RNJ786433 RXF786432:RXF786433 SHB786432:SHB786433 SQX786432:SQX786433 TAT786432:TAT786433 TKP786432:TKP786433 TUL786432:TUL786433 UEH786432:UEH786433 UOD786432:UOD786433 UXZ786432:UXZ786433 VHV786432:VHV786433 VRR786432:VRR786433 WBN786432:WBN786433 WLJ786432:WLJ786433 WVF786432:WVF786433 J851969:J851970 IT851968:IT851969 SP851968:SP851969 ACL851968:ACL851969 AMH851968:AMH851969 AWD851968:AWD851969 BFZ851968:BFZ851969 BPV851968:BPV851969 BZR851968:BZR851969 CJN851968:CJN851969 CTJ851968:CTJ851969 DDF851968:DDF851969 DNB851968:DNB851969 DWX851968:DWX851969 EGT851968:EGT851969 EQP851968:EQP851969 FAL851968:FAL851969 FKH851968:FKH851969 FUD851968:FUD851969 GDZ851968:GDZ851969 GNV851968:GNV851969 GXR851968:GXR851969 HHN851968:HHN851969 HRJ851968:HRJ851969 IBF851968:IBF851969 ILB851968:ILB851969 IUX851968:IUX851969 JET851968:JET851969 JOP851968:JOP851969 JYL851968:JYL851969 KIH851968:KIH851969 KSD851968:KSD851969 LBZ851968:LBZ851969 LLV851968:LLV851969 LVR851968:LVR851969 MFN851968:MFN851969 MPJ851968:MPJ851969 MZF851968:MZF851969 NJB851968:NJB851969 NSX851968:NSX851969 OCT851968:OCT851969 OMP851968:OMP851969 OWL851968:OWL851969 PGH851968:PGH851969 PQD851968:PQD851969 PZZ851968:PZZ851969 QJV851968:QJV851969 QTR851968:QTR851969 RDN851968:RDN851969 RNJ851968:RNJ851969 RXF851968:RXF851969 SHB851968:SHB851969 SQX851968:SQX851969 TAT851968:TAT851969 TKP851968:TKP851969 TUL851968:TUL851969 UEH851968:UEH851969 UOD851968:UOD851969 UXZ851968:UXZ851969 VHV851968:VHV851969 VRR851968:VRR851969 WBN851968:WBN851969 WLJ851968:WLJ851969 WVF851968:WVF851969 J917505:J917506 IT917504:IT917505 SP917504:SP917505 ACL917504:ACL917505 AMH917504:AMH917505 AWD917504:AWD917505 BFZ917504:BFZ917505 BPV917504:BPV917505 BZR917504:BZR917505 CJN917504:CJN917505 CTJ917504:CTJ917505 DDF917504:DDF917505 DNB917504:DNB917505 DWX917504:DWX917505 EGT917504:EGT917505 EQP917504:EQP917505 FAL917504:FAL917505 FKH917504:FKH917505 FUD917504:FUD917505 GDZ917504:GDZ917505 GNV917504:GNV917505 GXR917504:GXR917505 HHN917504:HHN917505 HRJ917504:HRJ917505 IBF917504:IBF917505 ILB917504:ILB917505 IUX917504:IUX917505 JET917504:JET917505 JOP917504:JOP917505 JYL917504:JYL917505 KIH917504:KIH917505 KSD917504:KSD917505 LBZ917504:LBZ917505 LLV917504:LLV917505 LVR917504:LVR917505 MFN917504:MFN917505 MPJ917504:MPJ917505 MZF917504:MZF917505 NJB917504:NJB917505 NSX917504:NSX917505 OCT917504:OCT917505 OMP917504:OMP917505 OWL917504:OWL917505 PGH917504:PGH917505 PQD917504:PQD917505 PZZ917504:PZZ917505 QJV917504:QJV917505 QTR917504:QTR917505 RDN917504:RDN917505 RNJ917504:RNJ917505 RXF917504:RXF917505 SHB917504:SHB917505 SQX917504:SQX917505 TAT917504:TAT917505 TKP917504:TKP917505 TUL917504:TUL917505 UEH917504:UEH917505 UOD917504:UOD917505 UXZ917504:UXZ917505 VHV917504:VHV917505 VRR917504:VRR917505 WBN917504:WBN917505 WLJ917504:WLJ917505 WVF917504:WVF917505 J983041:J983042 IT983040:IT983041 SP983040:SP983041 ACL983040:ACL983041 AMH983040:AMH983041 AWD983040:AWD983041 BFZ983040:BFZ983041 BPV983040:BPV983041 BZR983040:BZR983041 CJN983040:CJN983041 CTJ983040:CTJ983041 DDF983040:DDF983041 DNB983040:DNB983041 DWX983040:DWX983041 EGT983040:EGT983041 EQP983040:EQP983041 FAL983040:FAL983041 FKH983040:FKH983041 FUD983040:FUD983041 GDZ983040:GDZ983041 GNV983040:GNV983041 GXR983040:GXR983041 HHN983040:HHN983041 HRJ983040:HRJ983041 IBF983040:IBF983041 ILB983040:ILB983041 IUX983040:IUX983041 JET983040:JET983041 JOP983040:JOP983041 JYL983040:JYL983041 KIH983040:KIH983041 KSD983040:KSD983041 LBZ983040:LBZ983041 LLV983040:LLV983041 LVR983040:LVR983041 MFN983040:MFN983041 MPJ983040:MPJ983041 MZF983040:MZF983041 NJB983040:NJB983041 NSX983040:NSX983041 OCT983040:OCT983041 OMP983040:OMP983041 OWL983040:OWL983041 PGH983040:PGH983041 PQD983040:PQD983041 PZZ983040:PZZ983041 QJV983040:QJV983041 QTR983040:QTR983041 RDN983040:RDN983041 RNJ983040:RNJ983041 RXF983040:RXF983041 SHB983040:SHB983041 SQX983040:SQX983041 TAT983040:TAT983041 TKP983040:TKP983041 TUL983040:TUL983041 UEH983040:UEH983041 UOD983040:UOD983041 UXZ983040:UXZ983041 VHV983040:VHV983041 VRR983040:VRR983041 WBN983040:WBN983041 WLJ983040:WLJ983041 WVF983040:WVF983041 L65537:L65538 IW65536:IW65537 SS65536:SS65537 ACO65536:ACO65537 AMK65536:AMK65537 AWG65536:AWG65537 BGC65536:BGC65537 BPY65536:BPY65537 BZU65536:BZU65537 CJQ65536:CJQ65537 CTM65536:CTM65537 DDI65536:DDI65537 DNE65536:DNE65537 DXA65536:DXA65537 EGW65536:EGW65537 EQS65536:EQS65537 FAO65536:FAO65537 FKK65536:FKK65537 FUG65536:FUG65537 GEC65536:GEC65537 GNY65536:GNY65537 GXU65536:GXU65537 HHQ65536:HHQ65537 HRM65536:HRM65537 IBI65536:IBI65537 ILE65536:ILE65537 IVA65536:IVA65537 JEW65536:JEW65537 JOS65536:JOS65537 JYO65536:JYO65537 KIK65536:KIK65537 KSG65536:KSG65537 LCC65536:LCC65537 LLY65536:LLY65537 LVU65536:LVU65537 MFQ65536:MFQ65537 MPM65536:MPM65537 MZI65536:MZI65537 NJE65536:NJE65537 NTA65536:NTA65537 OCW65536:OCW65537 OMS65536:OMS65537 OWO65536:OWO65537 PGK65536:PGK65537 PQG65536:PQG65537 QAC65536:QAC65537 QJY65536:QJY65537 QTU65536:QTU65537 RDQ65536:RDQ65537 RNM65536:RNM65537 RXI65536:RXI65537 SHE65536:SHE65537 SRA65536:SRA65537 TAW65536:TAW65537 TKS65536:TKS65537 TUO65536:TUO65537 UEK65536:UEK65537 UOG65536:UOG65537 UYC65536:UYC65537 VHY65536:VHY65537 VRU65536:VRU65537 WBQ65536:WBQ65537 WLM65536:WLM65537 WVI65536:WVI65537 L131073:L131074 IW131072:IW131073 SS131072:SS131073 ACO131072:ACO131073 AMK131072:AMK131073 AWG131072:AWG131073 BGC131072:BGC131073 BPY131072:BPY131073 BZU131072:BZU131073 CJQ131072:CJQ131073 CTM131072:CTM131073 DDI131072:DDI131073 DNE131072:DNE131073 DXA131072:DXA131073 EGW131072:EGW131073 EQS131072:EQS131073 FAO131072:FAO131073 FKK131072:FKK131073 FUG131072:FUG131073 GEC131072:GEC131073 GNY131072:GNY131073 GXU131072:GXU131073 HHQ131072:HHQ131073 HRM131072:HRM131073 IBI131072:IBI131073 ILE131072:ILE131073 IVA131072:IVA131073 JEW131072:JEW131073 JOS131072:JOS131073 JYO131072:JYO131073 KIK131072:KIK131073 KSG131072:KSG131073 LCC131072:LCC131073 LLY131072:LLY131073 LVU131072:LVU131073 MFQ131072:MFQ131073 MPM131072:MPM131073 MZI131072:MZI131073 NJE131072:NJE131073 NTA131072:NTA131073 OCW131072:OCW131073 OMS131072:OMS131073 OWO131072:OWO131073 PGK131072:PGK131073 PQG131072:PQG131073 QAC131072:QAC131073 QJY131072:QJY131073 QTU131072:QTU131073 RDQ131072:RDQ131073 RNM131072:RNM131073 RXI131072:RXI131073 SHE131072:SHE131073 SRA131072:SRA131073 TAW131072:TAW131073 TKS131072:TKS131073 TUO131072:TUO131073 UEK131072:UEK131073 UOG131072:UOG131073 UYC131072:UYC131073 VHY131072:VHY131073 VRU131072:VRU131073 WBQ131072:WBQ131073 WLM131072:WLM131073 WVI131072:WVI131073 L196609:L196610 IW196608:IW196609 SS196608:SS196609 ACO196608:ACO196609 AMK196608:AMK196609 AWG196608:AWG196609 BGC196608:BGC196609 BPY196608:BPY196609 BZU196608:BZU196609 CJQ196608:CJQ196609 CTM196608:CTM196609 DDI196608:DDI196609 DNE196608:DNE196609 DXA196608:DXA196609 EGW196608:EGW196609 EQS196608:EQS196609 FAO196608:FAO196609 FKK196608:FKK196609 FUG196608:FUG196609 GEC196608:GEC196609 GNY196608:GNY196609 GXU196608:GXU196609 HHQ196608:HHQ196609 HRM196608:HRM196609 IBI196608:IBI196609 ILE196608:ILE196609 IVA196608:IVA196609 JEW196608:JEW196609 JOS196608:JOS196609 JYO196608:JYO196609 KIK196608:KIK196609 KSG196608:KSG196609 LCC196608:LCC196609 LLY196608:LLY196609 LVU196608:LVU196609 MFQ196608:MFQ196609 MPM196608:MPM196609 MZI196608:MZI196609 NJE196608:NJE196609 NTA196608:NTA196609 OCW196608:OCW196609 OMS196608:OMS196609 OWO196608:OWO196609 PGK196608:PGK196609 PQG196608:PQG196609 QAC196608:QAC196609 QJY196608:QJY196609 QTU196608:QTU196609 RDQ196608:RDQ196609 RNM196608:RNM196609 RXI196608:RXI196609 SHE196608:SHE196609 SRA196608:SRA196609 TAW196608:TAW196609 TKS196608:TKS196609 TUO196608:TUO196609 UEK196608:UEK196609 UOG196608:UOG196609 UYC196608:UYC196609 VHY196608:VHY196609 VRU196608:VRU196609 WBQ196608:WBQ196609 WLM196608:WLM196609 WVI196608:WVI196609 L262145:L262146 IW262144:IW262145 SS262144:SS262145 ACO262144:ACO262145 AMK262144:AMK262145 AWG262144:AWG262145 BGC262144:BGC262145 BPY262144:BPY262145 BZU262144:BZU262145 CJQ262144:CJQ262145 CTM262144:CTM262145 DDI262144:DDI262145 DNE262144:DNE262145 DXA262144:DXA262145 EGW262144:EGW262145 EQS262144:EQS262145 FAO262144:FAO262145 FKK262144:FKK262145 FUG262144:FUG262145 GEC262144:GEC262145 GNY262144:GNY262145 GXU262144:GXU262145 HHQ262144:HHQ262145 HRM262144:HRM262145 IBI262144:IBI262145 ILE262144:ILE262145 IVA262144:IVA262145 JEW262144:JEW262145 JOS262144:JOS262145 JYO262144:JYO262145 KIK262144:KIK262145 KSG262144:KSG262145 LCC262144:LCC262145 LLY262144:LLY262145 LVU262144:LVU262145 MFQ262144:MFQ262145 MPM262144:MPM262145 MZI262144:MZI262145 NJE262144:NJE262145 NTA262144:NTA262145 OCW262144:OCW262145 OMS262144:OMS262145 OWO262144:OWO262145 PGK262144:PGK262145 PQG262144:PQG262145 QAC262144:QAC262145 QJY262144:QJY262145 QTU262144:QTU262145 RDQ262144:RDQ262145 RNM262144:RNM262145 RXI262144:RXI262145 SHE262144:SHE262145 SRA262144:SRA262145 TAW262144:TAW262145 TKS262144:TKS262145 TUO262144:TUO262145 UEK262144:UEK262145 UOG262144:UOG262145 UYC262144:UYC262145 VHY262144:VHY262145 VRU262144:VRU262145 WBQ262144:WBQ262145 WLM262144:WLM262145 WVI262144:WVI262145 L327681:L327682 IW327680:IW327681 SS327680:SS327681 ACO327680:ACO327681 AMK327680:AMK327681 AWG327680:AWG327681 BGC327680:BGC327681 BPY327680:BPY327681 BZU327680:BZU327681 CJQ327680:CJQ327681 CTM327680:CTM327681 DDI327680:DDI327681 DNE327680:DNE327681 DXA327680:DXA327681 EGW327680:EGW327681 EQS327680:EQS327681 FAO327680:FAO327681 FKK327680:FKK327681 FUG327680:FUG327681 GEC327680:GEC327681 GNY327680:GNY327681 GXU327680:GXU327681 HHQ327680:HHQ327681 HRM327680:HRM327681 IBI327680:IBI327681 ILE327680:ILE327681 IVA327680:IVA327681 JEW327680:JEW327681 JOS327680:JOS327681 JYO327680:JYO327681 KIK327680:KIK327681 KSG327680:KSG327681 LCC327680:LCC327681 LLY327680:LLY327681 LVU327680:LVU327681 MFQ327680:MFQ327681 MPM327680:MPM327681 MZI327680:MZI327681 NJE327680:NJE327681 NTA327680:NTA327681 OCW327680:OCW327681 OMS327680:OMS327681 OWO327680:OWO327681 PGK327680:PGK327681 PQG327680:PQG327681 QAC327680:QAC327681 QJY327680:QJY327681 QTU327680:QTU327681 RDQ327680:RDQ327681 RNM327680:RNM327681 RXI327680:RXI327681 SHE327680:SHE327681 SRA327680:SRA327681 TAW327680:TAW327681 TKS327680:TKS327681 TUO327680:TUO327681 UEK327680:UEK327681 UOG327680:UOG327681 UYC327680:UYC327681 VHY327680:VHY327681 VRU327680:VRU327681 WBQ327680:WBQ327681 WLM327680:WLM327681 WVI327680:WVI327681 L393217:L393218 IW393216:IW393217 SS393216:SS393217 ACO393216:ACO393217 AMK393216:AMK393217 AWG393216:AWG393217 BGC393216:BGC393217 BPY393216:BPY393217 BZU393216:BZU393217 CJQ393216:CJQ393217 CTM393216:CTM393217 DDI393216:DDI393217 DNE393216:DNE393217 DXA393216:DXA393217 EGW393216:EGW393217 EQS393216:EQS393217 FAO393216:FAO393217 FKK393216:FKK393217 FUG393216:FUG393217 GEC393216:GEC393217 GNY393216:GNY393217 GXU393216:GXU393217 HHQ393216:HHQ393217 HRM393216:HRM393217 IBI393216:IBI393217 ILE393216:ILE393217 IVA393216:IVA393217 JEW393216:JEW393217 JOS393216:JOS393217 JYO393216:JYO393217 KIK393216:KIK393217 KSG393216:KSG393217 LCC393216:LCC393217 LLY393216:LLY393217 LVU393216:LVU393217 MFQ393216:MFQ393217 MPM393216:MPM393217 MZI393216:MZI393217 NJE393216:NJE393217 NTA393216:NTA393217 OCW393216:OCW393217 OMS393216:OMS393217 OWO393216:OWO393217 PGK393216:PGK393217 PQG393216:PQG393217 QAC393216:QAC393217 QJY393216:QJY393217 QTU393216:QTU393217 RDQ393216:RDQ393217 RNM393216:RNM393217 RXI393216:RXI393217 SHE393216:SHE393217 SRA393216:SRA393217 TAW393216:TAW393217 TKS393216:TKS393217 TUO393216:TUO393217 UEK393216:UEK393217 UOG393216:UOG393217 UYC393216:UYC393217 VHY393216:VHY393217 VRU393216:VRU393217 WBQ393216:WBQ393217 WLM393216:WLM393217 WVI393216:WVI393217 L458753:L458754 IW458752:IW458753 SS458752:SS458753 ACO458752:ACO458753 AMK458752:AMK458753 AWG458752:AWG458753 BGC458752:BGC458753 BPY458752:BPY458753 BZU458752:BZU458753 CJQ458752:CJQ458753 CTM458752:CTM458753 DDI458752:DDI458753 DNE458752:DNE458753 DXA458752:DXA458753 EGW458752:EGW458753 EQS458752:EQS458753 FAO458752:FAO458753 FKK458752:FKK458753 FUG458752:FUG458753 GEC458752:GEC458753 GNY458752:GNY458753 GXU458752:GXU458753 HHQ458752:HHQ458753 HRM458752:HRM458753 IBI458752:IBI458753 ILE458752:ILE458753 IVA458752:IVA458753 JEW458752:JEW458753 JOS458752:JOS458753 JYO458752:JYO458753 KIK458752:KIK458753 KSG458752:KSG458753 LCC458752:LCC458753 LLY458752:LLY458753 LVU458752:LVU458753 MFQ458752:MFQ458753 MPM458752:MPM458753 MZI458752:MZI458753 NJE458752:NJE458753 NTA458752:NTA458753 OCW458752:OCW458753 OMS458752:OMS458753 OWO458752:OWO458753 PGK458752:PGK458753 PQG458752:PQG458753 QAC458752:QAC458753 QJY458752:QJY458753 QTU458752:QTU458753 RDQ458752:RDQ458753 RNM458752:RNM458753 RXI458752:RXI458753 SHE458752:SHE458753 SRA458752:SRA458753 TAW458752:TAW458753 TKS458752:TKS458753 TUO458752:TUO458753 UEK458752:UEK458753 UOG458752:UOG458753 UYC458752:UYC458753 VHY458752:VHY458753 VRU458752:VRU458753 WBQ458752:WBQ458753 WLM458752:WLM458753 WVI458752:WVI458753 L524289:L524290 IW524288:IW524289 SS524288:SS524289 ACO524288:ACO524289 AMK524288:AMK524289 AWG524288:AWG524289 BGC524288:BGC524289 BPY524288:BPY524289 BZU524288:BZU524289 CJQ524288:CJQ524289 CTM524288:CTM524289 DDI524288:DDI524289 DNE524288:DNE524289 DXA524288:DXA524289 EGW524288:EGW524289 EQS524288:EQS524289 FAO524288:FAO524289 FKK524288:FKK524289 FUG524288:FUG524289 GEC524288:GEC524289 GNY524288:GNY524289 GXU524288:GXU524289 HHQ524288:HHQ524289 HRM524288:HRM524289 IBI524288:IBI524289 ILE524288:ILE524289 IVA524288:IVA524289 JEW524288:JEW524289 JOS524288:JOS524289 JYO524288:JYO524289 KIK524288:KIK524289 KSG524288:KSG524289 LCC524288:LCC524289 LLY524288:LLY524289 LVU524288:LVU524289 MFQ524288:MFQ524289 MPM524288:MPM524289 MZI524288:MZI524289 NJE524288:NJE524289 NTA524288:NTA524289 OCW524288:OCW524289 OMS524288:OMS524289 OWO524288:OWO524289 PGK524288:PGK524289 PQG524288:PQG524289 QAC524288:QAC524289 QJY524288:QJY524289 QTU524288:QTU524289 RDQ524288:RDQ524289 RNM524288:RNM524289 RXI524288:RXI524289 SHE524288:SHE524289 SRA524288:SRA524289 TAW524288:TAW524289 TKS524288:TKS524289 TUO524288:TUO524289 UEK524288:UEK524289 UOG524288:UOG524289 UYC524288:UYC524289 VHY524288:VHY524289 VRU524288:VRU524289 WBQ524288:WBQ524289 WLM524288:WLM524289 WVI524288:WVI524289 L589825:L589826 IW589824:IW589825 SS589824:SS589825 ACO589824:ACO589825 AMK589824:AMK589825 AWG589824:AWG589825 BGC589824:BGC589825 BPY589824:BPY589825 BZU589824:BZU589825 CJQ589824:CJQ589825 CTM589824:CTM589825 DDI589824:DDI589825 DNE589824:DNE589825 DXA589824:DXA589825 EGW589824:EGW589825 EQS589824:EQS589825 FAO589824:FAO589825 FKK589824:FKK589825 FUG589824:FUG589825 GEC589824:GEC589825 GNY589824:GNY589825 GXU589824:GXU589825 HHQ589824:HHQ589825 HRM589824:HRM589825 IBI589824:IBI589825 ILE589824:ILE589825 IVA589824:IVA589825 JEW589824:JEW589825 JOS589824:JOS589825 JYO589824:JYO589825 KIK589824:KIK589825 KSG589824:KSG589825 LCC589824:LCC589825 LLY589824:LLY589825 LVU589824:LVU589825 MFQ589824:MFQ589825 MPM589824:MPM589825 MZI589824:MZI589825 NJE589824:NJE589825 NTA589824:NTA589825 OCW589824:OCW589825 OMS589824:OMS589825 OWO589824:OWO589825 PGK589824:PGK589825 PQG589824:PQG589825 QAC589824:QAC589825 QJY589824:QJY589825 QTU589824:QTU589825 RDQ589824:RDQ589825 RNM589824:RNM589825 RXI589824:RXI589825 SHE589824:SHE589825 SRA589824:SRA589825 TAW589824:TAW589825 TKS589824:TKS589825 TUO589824:TUO589825 UEK589824:UEK589825 UOG589824:UOG589825 UYC589824:UYC589825 VHY589824:VHY589825 VRU589824:VRU589825 WBQ589824:WBQ589825 WLM589824:WLM589825 WVI589824:WVI589825 L655361:L655362 IW655360:IW655361 SS655360:SS655361 ACO655360:ACO655361 AMK655360:AMK655361 AWG655360:AWG655361 BGC655360:BGC655361 BPY655360:BPY655361 BZU655360:BZU655361 CJQ655360:CJQ655361 CTM655360:CTM655361 DDI655360:DDI655361 DNE655360:DNE655361 DXA655360:DXA655361 EGW655360:EGW655361 EQS655360:EQS655361 FAO655360:FAO655361 FKK655360:FKK655361 FUG655360:FUG655361 GEC655360:GEC655361 GNY655360:GNY655361 GXU655360:GXU655361 HHQ655360:HHQ655361 HRM655360:HRM655361 IBI655360:IBI655361 ILE655360:ILE655361 IVA655360:IVA655361 JEW655360:JEW655361 JOS655360:JOS655361 JYO655360:JYO655361 KIK655360:KIK655361 KSG655360:KSG655361 LCC655360:LCC655361 LLY655360:LLY655361 LVU655360:LVU655361 MFQ655360:MFQ655361 MPM655360:MPM655361 MZI655360:MZI655361 NJE655360:NJE655361 NTA655360:NTA655361 OCW655360:OCW655361 OMS655360:OMS655361 OWO655360:OWO655361 PGK655360:PGK655361 PQG655360:PQG655361 QAC655360:QAC655361 QJY655360:QJY655361 QTU655360:QTU655361 RDQ655360:RDQ655361 RNM655360:RNM655361 RXI655360:RXI655361 SHE655360:SHE655361 SRA655360:SRA655361 TAW655360:TAW655361 TKS655360:TKS655361 TUO655360:TUO655361 UEK655360:UEK655361 UOG655360:UOG655361 UYC655360:UYC655361 VHY655360:VHY655361 VRU655360:VRU655361 WBQ655360:WBQ655361 WLM655360:WLM655361 WVI655360:WVI655361 L720897:L720898 IW720896:IW720897 SS720896:SS720897 ACO720896:ACO720897 AMK720896:AMK720897 AWG720896:AWG720897 BGC720896:BGC720897 BPY720896:BPY720897 BZU720896:BZU720897 CJQ720896:CJQ720897 CTM720896:CTM720897 DDI720896:DDI720897 DNE720896:DNE720897 DXA720896:DXA720897 EGW720896:EGW720897 EQS720896:EQS720897 FAO720896:FAO720897 FKK720896:FKK720897 FUG720896:FUG720897 GEC720896:GEC720897 GNY720896:GNY720897 GXU720896:GXU720897 HHQ720896:HHQ720897 HRM720896:HRM720897 IBI720896:IBI720897 ILE720896:ILE720897 IVA720896:IVA720897 JEW720896:JEW720897 JOS720896:JOS720897 JYO720896:JYO720897 KIK720896:KIK720897 KSG720896:KSG720897 LCC720896:LCC720897 LLY720896:LLY720897 LVU720896:LVU720897 MFQ720896:MFQ720897 MPM720896:MPM720897 MZI720896:MZI720897 NJE720896:NJE720897 NTA720896:NTA720897 OCW720896:OCW720897 OMS720896:OMS720897 OWO720896:OWO720897 PGK720896:PGK720897 PQG720896:PQG720897 QAC720896:QAC720897 QJY720896:QJY720897 QTU720896:QTU720897 RDQ720896:RDQ720897 RNM720896:RNM720897 RXI720896:RXI720897 SHE720896:SHE720897 SRA720896:SRA720897 TAW720896:TAW720897 TKS720896:TKS720897 TUO720896:TUO720897 UEK720896:UEK720897 UOG720896:UOG720897 UYC720896:UYC720897 VHY720896:VHY720897 VRU720896:VRU720897 WBQ720896:WBQ720897 WLM720896:WLM720897 WVI720896:WVI720897 L786433:L786434 IW786432:IW786433 SS786432:SS786433 ACO786432:ACO786433 AMK786432:AMK786433 AWG786432:AWG786433 BGC786432:BGC786433 BPY786432:BPY786433 BZU786432:BZU786433 CJQ786432:CJQ786433 CTM786432:CTM786433 DDI786432:DDI786433 DNE786432:DNE786433 DXA786432:DXA786433 EGW786432:EGW786433 EQS786432:EQS786433 FAO786432:FAO786433 FKK786432:FKK786433 FUG786432:FUG786433 GEC786432:GEC786433 GNY786432:GNY786433 GXU786432:GXU786433 HHQ786432:HHQ786433 HRM786432:HRM786433 IBI786432:IBI786433 ILE786432:ILE786433 IVA786432:IVA786433 JEW786432:JEW786433 JOS786432:JOS786433 JYO786432:JYO786433 KIK786432:KIK786433 KSG786432:KSG786433 LCC786432:LCC786433 LLY786432:LLY786433 LVU786432:LVU786433 MFQ786432:MFQ786433 MPM786432:MPM786433 MZI786432:MZI786433 NJE786432:NJE786433 NTA786432:NTA786433 OCW786432:OCW786433 OMS786432:OMS786433 OWO786432:OWO786433 PGK786432:PGK786433 PQG786432:PQG786433 QAC786432:QAC786433 QJY786432:QJY786433 QTU786432:QTU786433 RDQ786432:RDQ786433 RNM786432:RNM786433 RXI786432:RXI786433 SHE786432:SHE786433 SRA786432:SRA786433 TAW786432:TAW786433 TKS786432:TKS786433 TUO786432:TUO786433 UEK786432:UEK786433 UOG786432:UOG786433 UYC786432:UYC786433 VHY786432:VHY786433 VRU786432:VRU786433 WBQ786432:WBQ786433 WLM786432:WLM786433 WVI786432:WVI786433 L851969:L851970 IW851968:IW851969 SS851968:SS851969 ACO851968:ACO851969 AMK851968:AMK851969 AWG851968:AWG851969 BGC851968:BGC851969 BPY851968:BPY851969 BZU851968:BZU851969 CJQ851968:CJQ851969 CTM851968:CTM851969 DDI851968:DDI851969 DNE851968:DNE851969 DXA851968:DXA851969 EGW851968:EGW851969 EQS851968:EQS851969 FAO851968:FAO851969 FKK851968:FKK851969 FUG851968:FUG851969 GEC851968:GEC851969 GNY851968:GNY851969 GXU851968:GXU851969 HHQ851968:HHQ851969 HRM851968:HRM851969 IBI851968:IBI851969 ILE851968:ILE851969 IVA851968:IVA851969 JEW851968:JEW851969 JOS851968:JOS851969 JYO851968:JYO851969 KIK851968:KIK851969 KSG851968:KSG851969 LCC851968:LCC851969 LLY851968:LLY851969 LVU851968:LVU851969 MFQ851968:MFQ851969 MPM851968:MPM851969 MZI851968:MZI851969 NJE851968:NJE851969 NTA851968:NTA851969 OCW851968:OCW851969 OMS851968:OMS851969 OWO851968:OWO851969 PGK851968:PGK851969 PQG851968:PQG851969 QAC851968:QAC851969 QJY851968:QJY851969 QTU851968:QTU851969 RDQ851968:RDQ851969 RNM851968:RNM851969 RXI851968:RXI851969 SHE851968:SHE851969 SRA851968:SRA851969 TAW851968:TAW851969 TKS851968:TKS851969 TUO851968:TUO851969 UEK851968:UEK851969 UOG851968:UOG851969 UYC851968:UYC851969 VHY851968:VHY851969 VRU851968:VRU851969 WBQ851968:WBQ851969 WLM851968:WLM851969 WVI851968:WVI851969 L917505:L917506 IW917504:IW917505 SS917504:SS917505 ACO917504:ACO917505 AMK917504:AMK917505 AWG917504:AWG917505 BGC917504:BGC917505 BPY917504:BPY917505 BZU917504:BZU917505 CJQ917504:CJQ917505 CTM917504:CTM917505 DDI917504:DDI917505 DNE917504:DNE917505 DXA917504:DXA917505 EGW917504:EGW917505 EQS917504:EQS917505 FAO917504:FAO917505 FKK917504:FKK917505 FUG917504:FUG917505 GEC917504:GEC917505 GNY917504:GNY917505 GXU917504:GXU917505 HHQ917504:HHQ917505 HRM917504:HRM917505 IBI917504:IBI917505 ILE917504:ILE917505 IVA917504:IVA917505 JEW917504:JEW917505 JOS917504:JOS917505 JYO917504:JYO917505 KIK917504:KIK917505 KSG917504:KSG917505 LCC917504:LCC917505 LLY917504:LLY917505 LVU917504:LVU917505 MFQ917504:MFQ917505 MPM917504:MPM917505 MZI917504:MZI917505 NJE917504:NJE917505 NTA917504:NTA917505 OCW917504:OCW917505 OMS917504:OMS917505 OWO917504:OWO917505 PGK917504:PGK917505 PQG917504:PQG917505 QAC917504:QAC917505 QJY917504:QJY917505 QTU917504:QTU917505 RDQ917504:RDQ917505 RNM917504:RNM917505 RXI917504:RXI917505 SHE917504:SHE917505 SRA917504:SRA917505 TAW917504:TAW917505 TKS917504:TKS917505 TUO917504:TUO917505 UEK917504:UEK917505 UOG917504:UOG917505 UYC917504:UYC917505 VHY917504:VHY917505 VRU917504:VRU917505 WBQ917504:WBQ917505 WLM917504:WLM917505 WVI917504:WVI917505 L983041:L983042 IW983040:IW983041 SS983040:SS983041 ACO983040:ACO983041 AMK983040:AMK983041 AWG983040:AWG983041 BGC983040:BGC983041 BPY983040:BPY983041 BZU983040:BZU983041 CJQ983040:CJQ983041 CTM983040:CTM983041 DDI983040:DDI983041 DNE983040:DNE983041 DXA983040:DXA983041 EGW983040:EGW983041 EQS983040:EQS983041 FAO983040:FAO983041 FKK983040:FKK983041 FUG983040:FUG983041 GEC983040:GEC983041 GNY983040:GNY983041 GXU983040:GXU983041 HHQ983040:HHQ983041 HRM983040:HRM983041 IBI983040:IBI983041 ILE983040:ILE983041 IVA983040:IVA983041 JEW983040:JEW983041 JOS983040:JOS983041 JYO983040:JYO983041 KIK983040:KIK983041 KSG983040:KSG983041 LCC983040:LCC983041 LLY983040:LLY983041 LVU983040:LVU983041 MFQ983040:MFQ983041 MPM983040:MPM983041 MZI983040:MZI983041 NJE983040:NJE983041 NTA983040:NTA983041 OCW983040:OCW983041 OMS983040:OMS983041 OWO983040:OWO983041 PGK983040:PGK983041 PQG983040:PQG983041 QAC983040:QAC983041 QJY983040:QJY983041 QTU983040:QTU983041 RDQ983040:RDQ983041 RNM983040:RNM983041 RXI983040:RXI983041 SHE983040:SHE983041 SRA983040:SRA983041 TAW983040:TAW983041 TKS983040:TKS983041 TUO983040:TUO983041 UEK983040:UEK983041 UOG983040:UOG983041 UYC983040:UYC983041 VHY983040:VHY983041 VRU983040:VRU983041 WBQ983040:WBQ983041 WLM983040:WLM983041 WVI983040:WVI983041 N65537:N65538 IZ65536:IZ65537 SV65536:SV65537 ACR65536:ACR65537 AMN65536:AMN65537 AWJ65536:AWJ65537 BGF65536:BGF65537 BQB65536:BQB65537 BZX65536:BZX65537 CJT65536:CJT65537 CTP65536:CTP65537 DDL65536:DDL65537 DNH65536:DNH65537 DXD65536:DXD65537 EGZ65536:EGZ65537 EQV65536:EQV65537 FAR65536:FAR65537 FKN65536:FKN65537 FUJ65536:FUJ65537 GEF65536:GEF65537 GOB65536:GOB65537 GXX65536:GXX65537 HHT65536:HHT65537 HRP65536:HRP65537 IBL65536:IBL65537 ILH65536:ILH65537 IVD65536:IVD65537 JEZ65536:JEZ65537 JOV65536:JOV65537 JYR65536:JYR65537 KIN65536:KIN65537 KSJ65536:KSJ65537 LCF65536:LCF65537 LMB65536:LMB65537 LVX65536:LVX65537 MFT65536:MFT65537 MPP65536:MPP65537 MZL65536:MZL65537 NJH65536:NJH65537 NTD65536:NTD65537 OCZ65536:OCZ65537 OMV65536:OMV65537 OWR65536:OWR65537 PGN65536:PGN65537 PQJ65536:PQJ65537 QAF65536:QAF65537 QKB65536:QKB65537 QTX65536:QTX65537 RDT65536:RDT65537 RNP65536:RNP65537 RXL65536:RXL65537 SHH65536:SHH65537 SRD65536:SRD65537 TAZ65536:TAZ65537 TKV65536:TKV65537 TUR65536:TUR65537 UEN65536:UEN65537 UOJ65536:UOJ65537 UYF65536:UYF65537 VIB65536:VIB65537 VRX65536:VRX65537 WBT65536:WBT65537 WLP65536:WLP65537 WVL65536:WVL65537 N131073:N131074 IZ131072:IZ131073 SV131072:SV131073 ACR131072:ACR131073 AMN131072:AMN131073 AWJ131072:AWJ131073 BGF131072:BGF131073 BQB131072:BQB131073 BZX131072:BZX131073 CJT131072:CJT131073 CTP131072:CTP131073 DDL131072:DDL131073 DNH131072:DNH131073 DXD131072:DXD131073 EGZ131072:EGZ131073 EQV131072:EQV131073 FAR131072:FAR131073 FKN131072:FKN131073 FUJ131072:FUJ131073 GEF131072:GEF131073 GOB131072:GOB131073 GXX131072:GXX131073 HHT131072:HHT131073 HRP131072:HRP131073 IBL131072:IBL131073 ILH131072:ILH131073 IVD131072:IVD131073 JEZ131072:JEZ131073 JOV131072:JOV131073 JYR131072:JYR131073 KIN131072:KIN131073 KSJ131072:KSJ131073 LCF131072:LCF131073 LMB131072:LMB131073 LVX131072:LVX131073 MFT131072:MFT131073 MPP131072:MPP131073 MZL131072:MZL131073 NJH131072:NJH131073 NTD131072:NTD131073 OCZ131072:OCZ131073 OMV131072:OMV131073 OWR131072:OWR131073 PGN131072:PGN131073 PQJ131072:PQJ131073 QAF131072:QAF131073 QKB131072:QKB131073 QTX131072:QTX131073 RDT131072:RDT131073 RNP131072:RNP131073 RXL131072:RXL131073 SHH131072:SHH131073 SRD131072:SRD131073 TAZ131072:TAZ131073 TKV131072:TKV131073 TUR131072:TUR131073 UEN131072:UEN131073 UOJ131072:UOJ131073 UYF131072:UYF131073 VIB131072:VIB131073 VRX131072:VRX131073 WBT131072:WBT131073 WLP131072:WLP131073 WVL131072:WVL131073 N196609:N196610 IZ196608:IZ196609 SV196608:SV196609 ACR196608:ACR196609 AMN196608:AMN196609 AWJ196608:AWJ196609 BGF196608:BGF196609 BQB196608:BQB196609 BZX196608:BZX196609 CJT196608:CJT196609 CTP196608:CTP196609 DDL196608:DDL196609 DNH196608:DNH196609 DXD196608:DXD196609 EGZ196608:EGZ196609 EQV196608:EQV196609 FAR196608:FAR196609 FKN196608:FKN196609 FUJ196608:FUJ196609 GEF196608:GEF196609 GOB196608:GOB196609 GXX196608:GXX196609 HHT196608:HHT196609 HRP196608:HRP196609 IBL196608:IBL196609 ILH196608:ILH196609 IVD196608:IVD196609 JEZ196608:JEZ196609 JOV196608:JOV196609 JYR196608:JYR196609 KIN196608:KIN196609 KSJ196608:KSJ196609 LCF196608:LCF196609 LMB196608:LMB196609 LVX196608:LVX196609 MFT196608:MFT196609 MPP196608:MPP196609 MZL196608:MZL196609 NJH196608:NJH196609 NTD196608:NTD196609 OCZ196608:OCZ196609 OMV196608:OMV196609 OWR196608:OWR196609 PGN196608:PGN196609 PQJ196608:PQJ196609 QAF196608:QAF196609 QKB196608:QKB196609 QTX196608:QTX196609 RDT196608:RDT196609 RNP196608:RNP196609 RXL196608:RXL196609 SHH196608:SHH196609 SRD196608:SRD196609 TAZ196608:TAZ196609 TKV196608:TKV196609 TUR196608:TUR196609 UEN196608:UEN196609 UOJ196608:UOJ196609 UYF196608:UYF196609 VIB196608:VIB196609 VRX196608:VRX196609 WBT196608:WBT196609 WLP196608:WLP196609 WVL196608:WVL196609 N262145:N262146 IZ262144:IZ262145 SV262144:SV262145 ACR262144:ACR262145 AMN262144:AMN262145 AWJ262144:AWJ262145 BGF262144:BGF262145 BQB262144:BQB262145 BZX262144:BZX262145 CJT262144:CJT262145 CTP262144:CTP262145 DDL262144:DDL262145 DNH262144:DNH262145 DXD262144:DXD262145 EGZ262144:EGZ262145 EQV262144:EQV262145 FAR262144:FAR262145 FKN262144:FKN262145 FUJ262144:FUJ262145 GEF262144:GEF262145 GOB262144:GOB262145 GXX262144:GXX262145 HHT262144:HHT262145 HRP262144:HRP262145 IBL262144:IBL262145 ILH262144:ILH262145 IVD262144:IVD262145 JEZ262144:JEZ262145 JOV262144:JOV262145 JYR262144:JYR262145 KIN262144:KIN262145 KSJ262144:KSJ262145 LCF262144:LCF262145 LMB262144:LMB262145 LVX262144:LVX262145 MFT262144:MFT262145 MPP262144:MPP262145 MZL262144:MZL262145 NJH262144:NJH262145 NTD262144:NTD262145 OCZ262144:OCZ262145 OMV262144:OMV262145 OWR262144:OWR262145 PGN262144:PGN262145 PQJ262144:PQJ262145 QAF262144:QAF262145 QKB262144:QKB262145 QTX262144:QTX262145 RDT262144:RDT262145 RNP262144:RNP262145 RXL262144:RXL262145 SHH262144:SHH262145 SRD262144:SRD262145 TAZ262144:TAZ262145 TKV262144:TKV262145 TUR262144:TUR262145 UEN262144:UEN262145 UOJ262144:UOJ262145 UYF262144:UYF262145 VIB262144:VIB262145 VRX262144:VRX262145 WBT262144:WBT262145 WLP262144:WLP262145 WVL262144:WVL262145 N327681:N327682 IZ327680:IZ327681 SV327680:SV327681 ACR327680:ACR327681 AMN327680:AMN327681 AWJ327680:AWJ327681 BGF327680:BGF327681 BQB327680:BQB327681 BZX327680:BZX327681 CJT327680:CJT327681 CTP327680:CTP327681 DDL327680:DDL327681 DNH327680:DNH327681 DXD327680:DXD327681 EGZ327680:EGZ327681 EQV327680:EQV327681 FAR327680:FAR327681 FKN327680:FKN327681 FUJ327680:FUJ327681 GEF327680:GEF327681 GOB327680:GOB327681 GXX327680:GXX327681 HHT327680:HHT327681 HRP327680:HRP327681 IBL327680:IBL327681 ILH327680:ILH327681 IVD327680:IVD327681 JEZ327680:JEZ327681 JOV327680:JOV327681 JYR327680:JYR327681 KIN327680:KIN327681 KSJ327680:KSJ327681 LCF327680:LCF327681 LMB327680:LMB327681 LVX327680:LVX327681 MFT327680:MFT327681 MPP327680:MPP327681 MZL327680:MZL327681 NJH327680:NJH327681 NTD327680:NTD327681 OCZ327680:OCZ327681 OMV327680:OMV327681 OWR327680:OWR327681 PGN327680:PGN327681 PQJ327680:PQJ327681 QAF327680:QAF327681 QKB327680:QKB327681 QTX327680:QTX327681 RDT327680:RDT327681 RNP327680:RNP327681 RXL327680:RXL327681 SHH327680:SHH327681 SRD327680:SRD327681 TAZ327680:TAZ327681 TKV327680:TKV327681 TUR327680:TUR327681 UEN327680:UEN327681 UOJ327680:UOJ327681 UYF327680:UYF327681 VIB327680:VIB327681 VRX327680:VRX327681 WBT327680:WBT327681 WLP327680:WLP327681 WVL327680:WVL327681 N393217:N393218 IZ393216:IZ393217 SV393216:SV393217 ACR393216:ACR393217 AMN393216:AMN393217 AWJ393216:AWJ393217 BGF393216:BGF393217 BQB393216:BQB393217 BZX393216:BZX393217 CJT393216:CJT393217 CTP393216:CTP393217 DDL393216:DDL393217 DNH393216:DNH393217 DXD393216:DXD393217 EGZ393216:EGZ393217 EQV393216:EQV393217 FAR393216:FAR393217 FKN393216:FKN393217 FUJ393216:FUJ393217 GEF393216:GEF393217 GOB393216:GOB393217 GXX393216:GXX393217 HHT393216:HHT393217 HRP393216:HRP393217 IBL393216:IBL393217 ILH393216:ILH393217 IVD393216:IVD393217 JEZ393216:JEZ393217 JOV393216:JOV393217 JYR393216:JYR393217 KIN393216:KIN393217 KSJ393216:KSJ393217 LCF393216:LCF393217 LMB393216:LMB393217 LVX393216:LVX393217 MFT393216:MFT393217 MPP393216:MPP393217 MZL393216:MZL393217 NJH393216:NJH393217 NTD393216:NTD393217 OCZ393216:OCZ393217 OMV393216:OMV393217 OWR393216:OWR393217 PGN393216:PGN393217 PQJ393216:PQJ393217 QAF393216:QAF393217 QKB393216:QKB393217 QTX393216:QTX393217 RDT393216:RDT393217 RNP393216:RNP393217 RXL393216:RXL393217 SHH393216:SHH393217 SRD393216:SRD393217 TAZ393216:TAZ393217 TKV393216:TKV393217 TUR393216:TUR393217 UEN393216:UEN393217 UOJ393216:UOJ393217 UYF393216:UYF393217 VIB393216:VIB393217 VRX393216:VRX393217 WBT393216:WBT393217 WLP393216:WLP393217 WVL393216:WVL393217 N458753:N458754 IZ458752:IZ458753 SV458752:SV458753 ACR458752:ACR458753 AMN458752:AMN458753 AWJ458752:AWJ458753 BGF458752:BGF458753 BQB458752:BQB458753 BZX458752:BZX458753 CJT458752:CJT458753 CTP458752:CTP458753 DDL458752:DDL458753 DNH458752:DNH458753 DXD458752:DXD458753 EGZ458752:EGZ458753 EQV458752:EQV458753 FAR458752:FAR458753 FKN458752:FKN458753 FUJ458752:FUJ458753 GEF458752:GEF458753 GOB458752:GOB458753 GXX458752:GXX458753 HHT458752:HHT458753 HRP458752:HRP458753 IBL458752:IBL458753 ILH458752:ILH458753 IVD458752:IVD458753 JEZ458752:JEZ458753 JOV458752:JOV458753 JYR458752:JYR458753 KIN458752:KIN458753 KSJ458752:KSJ458753 LCF458752:LCF458753 LMB458752:LMB458753 LVX458752:LVX458753 MFT458752:MFT458753 MPP458752:MPP458753 MZL458752:MZL458753 NJH458752:NJH458753 NTD458752:NTD458753 OCZ458752:OCZ458753 OMV458752:OMV458753 OWR458752:OWR458753 PGN458752:PGN458753 PQJ458752:PQJ458753 QAF458752:QAF458753 QKB458752:QKB458753 QTX458752:QTX458753 RDT458752:RDT458753 RNP458752:RNP458753 RXL458752:RXL458753 SHH458752:SHH458753 SRD458752:SRD458753 TAZ458752:TAZ458753 TKV458752:TKV458753 TUR458752:TUR458753 UEN458752:UEN458753 UOJ458752:UOJ458753 UYF458752:UYF458753 VIB458752:VIB458753 VRX458752:VRX458753 WBT458752:WBT458753 WLP458752:WLP458753 WVL458752:WVL458753 N524289:N524290 IZ524288:IZ524289 SV524288:SV524289 ACR524288:ACR524289 AMN524288:AMN524289 AWJ524288:AWJ524289 BGF524288:BGF524289 BQB524288:BQB524289 BZX524288:BZX524289 CJT524288:CJT524289 CTP524288:CTP524289 DDL524288:DDL524289 DNH524288:DNH524289 DXD524288:DXD524289 EGZ524288:EGZ524289 EQV524288:EQV524289 FAR524288:FAR524289 FKN524288:FKN524289 FUJ524288:FUJ524289 GEF524288:GEF524289 GOB524288:GOB524289 GXX524288:GXX524289 HHT524288:HHT524289 HRP524288:HRP524289 IBL524288:IBL524289 ILH524288:ILH524289 IVD524288:IVD524289 JEZ524288:JEZ524289 JOV524288:JOV524289 JYR524288:JYR524289 KIN524288:KIN524289 KSJ524288:KSJ524289 LCF524288:LCF524289 LMB524288:LMB524289 LVX524288:LVX524289 MFT524288:MFT524289 MPP524288:MPP524289 MZL524288:MZL524289 NJH524288:NJH524289 NTD524288:NTD524289 OCZ524288:OCZ524289 OMV524288:OMV524289 OWR524288:OWR524289 PGN524288:PGN524289 PQJ524288:PQJ524289 QAF524288:QAF524289 QKB524288:QKB524289 QTX524288:QTX524289 RDT524288:RDT524289 RNP524288:RNP524289 RXL524288:RXL524289 SHH524288:SHH524289 SRD524288:SRD524289 TAZ524288:TAZ524289 TKV524288:TKV524289 TUR524288:TUR524289 UEN524288:UEN524289 UOJ524288:UOJ524289 UYF524288:UYF524289 VIB524288:VIB524289 VRX524288:VRX524289 WBT524288:WBT524289 WLP524288:WLP524289 WVL524288:WVL524289 N589825:N589826 IZ589824:IZ589825 SV589824:SV589825 ACR589824:ACR589825 AMN589824:AMN589825 AWJ589824:AWJ589825 BGF589824:BGF589825 BQB589824:BQB589825 BZX589824:BZX589825 CJT589824:CJT589825 CTP589824:CTP589825 DDL589824:DDL589825 DNH589824:DNH589825 DXD589824:DXD589825 EGZ589824:EGZ589825 EQV589824:EQV589825 FAR589824:FAR589825 FKN589824:FKN589825 FUJ589824:FUJ589825 GEF589824:GEF589825 GOB589824:GOB589825 GXX589824:GXX589825 HHT589824:HHT589825 HRP589824:HRP589825 IBL589824:IBL589825 ILH589824:ILH589825 IVD589824:IVD589825 JEZ589824:JEZ589825 JOV589824:JOV589825 JYR589824:JYR589825 KIN589824:KIN589825 KSJ589824:KSJ589825 LCF589824:LCF589825 LMB589824:LMB589825 LVX589824:LVX589825 MFT589824:MFT589825 MPP589824:MPP589825 MZL589824:MZL589825 NJH589824:NJH589825 NTD589824:NTD589825 OCZ589824:OCZ589825 OMV589824:OMV589825 OWR589824:OWR589825 PGN589824:PGN589825 PQJ589824:PQJ589825 QAF589824:QAF589825 QKB589824:QKB589825 QTX589824:QTX589825 RDT589824:RDT589825 RNP589824:RNP589825 RXL589824:RXL589825 SHH589824:SHH589825 SRD589824:SRD589825 TAZ589824:TAZ589825 TKV589824:TKV589825 TUR589824:TUR589825 UEN589824:UEN589825 UOJ589824:UOJ589825 UYF589824:UYF589825 VIB589824:VIB589825 VRX589824:VRX589825 WBT589824:WBT589825 WLP589824:WLP589825 WVL589824:WVL589825 N655361:N655362 IZ655360:IZ655361 SV655360:SV655361 ACR655360:ACR655361 AMN655360:AMN655361 AWJ655360:AWJ655361 BGF655360:BGF655361 BQB655360:BQB655361 BZX655360:BZX655361 CJT655360:CJT655361 CTP655360:CTP655361 DDL655360:DDL655361 DNH655360:DNH655361 DXD655360:DXD655361 EGZ655360:EGZ655361 EQV655360:EQV655361 FAR655360:FAR655361 FKN655360:FKN655361 FUJ655360:FUJ655361 GEF655360:GEF655361 GOB655360:GOB655361 GXX655360:GXX655361 HHT655360:HHT655361 HRP655360:HRP655361 IBL655360:IBL655361 ILH655360:ILH655361 IVD655360:IVD655361 JEZ655360:JEZ655361 JOV655360:JOV655361 JYR655360:JYR655361 KIN655360:KIN655361 KSJ655360:KSJ655361 LCF655360:LCF655361 LMB655360:LMB655361 LVX655360:LVX655361 MFT655360:MFT655361 MPP655360:MPP655361 MZL655360:MZL655361 NJH655360:NJH655361 NTD655360:NTD655361 OCZ655360:OCZ655361 OMV655360:OMV655361 OWR655360:OWR655361 PGN655360:PGN655361 PQJ655360:PQJ655361 QAF655360:QAF655361 QKB655360:QKB655361 QTX655360:QTX655361 RDT655360:RDT655361 RNP655360:RNP655361 RXL655360:RXL655361 SHH655360:SHH655361 SRD655360:SRD655361 TAZ655360:TAZ655361 TKV655360:TKV655361 TUR655360:TUR655361 UEN655360:UEN655361 UOJ655360:UOJ655361 UYF655360:UYF655361 VIB655360:VIB655361 VRX655360:VRX655361 WBT655360:WBT655361 WLP655360:WLP655361 WVL655360:WVL655361 N720897:N720898 IZ720896:IZ720897 SV720896:SV720897 ACR720896:ACR720897 AMN720896:AMN720897 AWJ720896:AWJ720897 BGF720896:BGF720897 BQB720896:BQB720897 BZX720896:BZX720897 CJT720896:CJT720897 CTP720896:CTP720897 DDL720896:DDL720897 DNH720896:DNH720897 DXD720896:DXD720897 EGZ720896:EGZ720897 EQV720896:EQV720897 FAR720896:FAR720897 FKN720896:FKN720897 FUJ720896:FUJ720897 GEF720896:GEF720897 GOB720896:GOB720897 GXX720896:GXX720897 HHT720896:HHT720897 HRP720896:HRP720897 IBL720896:IBL720897 ILH720896:ILH720897 IVD720896:IVD720897 JEZ720896:JEZ720897 JOV720896:JOV720897 JYR720896:JYR720897 KIN720896:KIN720897 KSJ720896:KSJ720897 LCF720896:LCF720897 LMB720896:LMB720897 LVX720896:LVX720897 MFT720896:MFT720897 MPP720896:MPP720897 MZL720896:MZL720897 NJH720896:NJH720897 NTD720896:NTD720897 OCZ720896:OCZ720897 OMV720896:OMV720897 OWR720896:OWR720897 PGN720896:PGN720897 PQJ720896:PQJ720897 QAF720896:QAF720897 QKB720896:QKB720897 QTX720896:QTX720897 RDT720896:RDT720897 RNP720896:RNP720897 RXL720896:RXL720897 SHH720896:SHH720897 SRD720896:SRD720897 TAZ720896:TAZ720897 TKV720896:TKV720897 TUR720896:TUR720897 UEN720896:UEN720897 UOJ720896:UOJ720897 UYF720896:UYF720897 VIB720896:VIB720897 VRX720896:VRX720897 WBT720896:WBT720897 WLP720896:WLP720897 WVL720896:WVL720897 N786433:N786434 IZ786432:IZ786433 SV786432:SV786433 ACR786432:ACR786433 AMN786432:AMN786433 AWJ786432:AWJ786433 BGF786432:BGF786433 BQB786432:BQB786433 BZX786432:BZX786433 CJT786432:CJT786433 CTP786432:CTP786433 DDL786432:DDL786433 DNH786432:DNH786433 DXD786432:DXD786433 EGZ786432:EGZ786433 EQV786432:EQV786433 FAR786432:FAR786433 FKN786432:FKN786433 FUJ786432:FUJ786433 GEF786432:GEF786433 GOB786432:GOB786433 GXX786432:GXX786433 HHT786432:HHT786433 HRP786432:HRP786433 IBL786432:IBL786433 ILH786432:ILH786433 IVD786432:IVD786433 JEZ786432:JEZ786433 JOV786432:JOV786433 JYR786432:JYR786433 KIN786432:KIN786433 KSJ786432:KSJ786433 LCF786432:LCF786433 LMB786432:LMB786433 LVX786432:LVX786433 MFT786432:MFT786433 MPP786432:MPP786433 MZL786432:MZL786433 NJH786432:NJH786433 NTD786432:NTD786433 OCZ786432:OCZ786433 OMV786432:OMV786433 OWR786432:OWR786433 PGN786432:PGN786433 PQJ786432:PQJ786433 QAF786432:QAF786433 QKB786432:QKB786433 QTX786432:QTX786433 RDT786432:RDT786433 RNP786432:RNP786433 RXL786432:RXL786433 SHH786432:SHH786433 SRD786432:SRD786433 TAZ786432:TAZ786433 TKV786432:TKV786433 TUR786432:TUR786433 UEN786432:UEN786433 UOJ786432:UOJ786433 UYF786432:UYF786433 VIB786432:VIB786433 VRX786432:VRX786433 WBT786432:WBT786433 WLP786432:WLP786433 WVL786432:WVL786433 N851969:N851970 IZ851968:IZ851969 SV851968:SV851969 ACR851968:ACR851969 AMN851968:AMN851969 AWJ851968:AWJ851969 BGF851968:BGF851969 BQB851968:BQB851969 BZX851968:BZX851969 CJT851968:CJT851969 CTP851968:CTP851969 DDL851968:DDL851969 DNH851968:DNH851969 DXD851968:DXD851969 EGZ851968:EGZ851969 EQV851968:EQV851969 FAR851968:FAR851969 FKN851968:FKN851969 FUJ851968:FUJ851969 GEF851968:GEF851969 GOB851968:GOB851969 GXX851968:GXX851969 HHT851968:HHT851969 HRP851968:HRP851969 IBL851968:IBL851969 ILH851968:ILH851969 IVD851968:IVD851969 JEZ851968:JEZ851969 JOV851968:JOV851969 JYR851968:JYR851969 KIN851968:KIN851969 KSJ851968:KSJ851969 LCF851968:LCF851969 LMB851968:LMB851969 LVX851968:LVX851969 MFT851968:MFT851969 MPP851968:MPP851969 MZL851968:MZL851969 NJH851968:NJH851969 NTD851968:NTD851969 OCZ851968:OCZ851969 OMV851968:OMV851969 OWR851968:OWR851969 PGN851968:PGN851969 PQJ851968:PQJ851969 QAF851968:QAF851969 QKB851968:QKB851969 QTX851968:QTX851969 RDT851968:RDT851969 RNP851968:RNP851969 RXL851968:RXL851969 SHH851968:SHH851969 SRD851968:SRD851969 TAZ851968:TAZ851969 TKV851968:TKV851969 TUR851968:TUR851969 UEN851968:UEN851969 UOJ851968:UOJ851969 UYF851968:UYF851969 VIB851968:VIB851969 VRX851968:VRX851969 WBT851968:WBT851969 WLP851968:WLP851969 WVL851968:WVL851969 N917505:N917506 IZ917504:IZ917505 SV917504:SV917505 ACR917504:ACR917505 AMN917504:AMN917505 AWJ917504:AWJ917505 BGF917504:BGF917505 BQB917504:BQB917505 BZX917504:BZX917505 CJT917504:CJT917505 CTP917504:CTP917505 DDL917504:DDL917505 DNH917504:DNH917505 DXD917504:DXD917505 EGZ917504:EGZ917505 EQV917504:EQV917505 FAR917504:FAR917505 FKN917504:FKN917505 FUJ917504:FUJ917505 GEF917504:GEF917505 GOB917504:GOB917505 GXX917504:GXX917505 HHT917504:HHT917505 HRP917504:HRP917505 IBL917504:IBL917505 ILH917504:ILH917505 IVD917504:IVD917505 JEZ917504:JEZ917505 JOV917504:JOV917505 JYR917504:JYR917505 KIN917504:KIN917505 KSJ917504:KSJ917505 LCF917504:LCF917505 LMB917504:LMB917505 LVX917504:LVX917505 MFT917504:MFT917505 MPP917504:MPP917505 MZL917504:MZL917505 NJH917504:NJH917505 NTD917504:NTD917505 OCZ917504:OCZ917505 OMV917504:OMV917505 OWR917504:OWR917505 PGN917504:PGN917505 PQJ917504:PQJ917505 QAF917504:QAF917505 QKB917504:QKB917505 QTX917504:QTX917505 RDT917504:RDT917505 RNP917504:RNP917505 RXL917504:RXL917505 SHH917504:SHH917505 SRD917504:SRD917505 TAZ917504:TAZ917505 TKV917504:TKV917505 TUR917504:TUR917505 UEN917504:UEN917505 UOJ917504:UOJ917505 UYF917504:UYF917505 VIB917504:VIB917505 VRX917504:VRX917505 WBT917504:WBT917505 WLP917504:WLP917505 WVL917504:WVL917505 N983041:N983042 IZ983040:IZ983041 SV983040:SV983041 ACR983040:ACR983041 AMN983040:AMN983041 AWJ983040:AWJ983041 BGF983040:BGF983041 BQB983040:BQB983041 BZX983040:BZX983041 CJT983040:CJT983041 CTP983040:CTP983041 DDL983040:DDL983041 DNH983040:DNH983041 DXD983040:DXD983041 EGZ983040:EGZ983041 EQV983040:EQV983041 FAR983040:FAR983041 FKN983040:FKN983041 FUJ983040:FUJ983041 GEF983040:GEF983041 GOB983040:GOB983041 GXX983040:GXX983041 HHT983040:HHT983041 HRP983040:HRP983041 IBL983040:IBL983041 ILH983040:ILH983041 IVD983040:IVD983041 JEZ983040:JEZ983041 JOV983040:JOV983041 JYR983040:JYR983041 KIN983040:KIN983041 KSJ983040:KSJ983041 LCF983040:LCF983041 LMB983040:LMB983041 LVX983040:LVX983041 MFT983040:MFT983041 MPP983040:MPP983041 MZL983040:MZL983041 NJH983040:NJH983041 NTD983040:NTD983041 OCZ983040:OCZ983041 OMV983040:OMV983041 OWR983040:OWR983041 PGN983040:PGN983041 PQJ983040:PQJ983041 QAF983040:QAF983041 QKB983040:QKB983041 QTX983040:QTX983041 RDT983040:RDT983041 RNP983040:RNP983041 RXL983040:RXL983041 SHH983040:SHH983041 SRD983040:SRD983041 TAZ983040:TAZ983041 TKV983040:TKV983041 TUR983040:TUR983041 UEN983040:UEN983041 UOJ983040:UOJ983041 UYF983040:UYF983041 VIB983040:VIB983041 VRX983040:VRX983041 WBT983040:WBT983041 WLP983040:WLP983041 WVL983040:WVL983041 P65537:P65538 JC65536:JC65537 SY65536:SY65537 ACU65536:ACU65537 AMQ65536:AMQ65537 AWM65536:AWM65537 BGI65536:BGI65537 BQE65536:BQE65537 CAA65536:CAA65537 CJW65536:CJW65537 CTS65536:CTS65537 DDO65536:DDO65537 DNK65536:DNK65537 DXG65536:DXG65537 EHC65536:EHC65537 EQY65536:EQY65537 FAU65536:FAU65537 FKQ65536:FKQ65537 FUM65536:FUM65537 GEI65536:GEI65537 GOE65536:GOE65537 GYA65536:GYA65537 HHW65536:HHW65537 HRS65536:HRS65537 IBO65536:IBO65537 ILK65536:ILK65537 IVG65536:IVG65537 JFC65536:JFC65537 JOY65536:JOY65537 JYU65536:JYU65537 KIQ65536:KIQ65537 KSM65536:KSM65537 LCI65536:LCI65537 LME65536:LME65537 LWA65536:LWA65537 MFW65536:MFW65537 MPS65536:MPS65537 MZO65536:MZO65537 NJK65536:NJK65537 NTG65536:NTG65537 ODC65536:ODC65537 OMY65536:OMY65537 OWU65536:OWU65537 PGQ65536:PGQ65537 PQM65536:PQM65537 QAI65536:QAI65537 QKE65536:QKE65537 QUA65536:QUA65537 RDW65536:RDW65537 RNS65536:RNS65537 RXO65536:RXO65537 SHK65536:SHK65537 SRG65536:SRG65537 TBC65536:TBC65537 TKY65536:TKY65537 TUU65536:TUU65537 UEQ65536:UEQ65537 UOM65536:UOM65537 UYI65536:UYI65537 VIE65536:VIE65537 VSA65536:VSA65537 WBW65536:WBW65537 WLS65536:WLS65537 WVO65536:WVO65537 P131073:P131074 JC131072:JC131073 SY131072:SY131073 ACU131072:ACU131073 AMQ131072:AMQ131073 AWM131072:AWM131073 BGI131072:BGI131073 BQE131072:BQE131073 CAA131072:CAA131073 CJW131072:CJW131073 CTS131072:CTS131073 DDO131072:DDO131073 DNK131072:DNK131073 DXG131072:DXG131073 EHC131072:EHC131073 EQY131072:EQY131073 FAU131072:FAU131073 FKQ131072:FKQ131073 FUM131072:FUM131073 GEI131072:GEI131073 GOE131072:GOE131073 GYA131072:GYA131073 HHW131072:HHW131073 HRS131072:HRS131073 IBO131072:IBO131073 ILK131072:ILK131073 IVG131072:IVG131073 JFC131072:JFC131073 JOY131072:JOY131073 JYU131072:JYU131073 KIQ131072:KIQ131073 KSM131072:KSM131073 LCI131072:LCI131073 LME131072:LME131073 LWA131072:LWA131073 MFW131072:MFW131073 MPS131072:MPS131073 MZO131072:MZO131073 NJK131072:NJK131073 NTG131072:NTG131073 ODC131072:ODC131073 OMY131072:OMY131073 OWU131072:OWU131073 PGQ131072:PGQ131073 PQM131072:PQM131073 QAI131072:QAI131073 QKE131072:QKE131073 QUA131072:QUA131073 RDW131072:RDW131073 RNS131072:RNS131073 RXO131072:RXO131073 SHK131072:SHK131073 SRG131072:SRG131073 TBC131072:TBC131073 TKY131072:TKY131073 TUU131072:TUU131073 UEQ131072:UEQ131073 UOM131072:UOM131073 UYI131072:UYI131073 VIE131072:VIE131073 VSA131072:VSA131073 WBW131072:WBW131073 WLS131072:WLS131073 WVO131072:WVO131073 P196609:P196610 JC196608:JC196609 SY196608:SY196609 ACU196608:ACU196609 AMQ196608:AMQ196609 AWM196608:AWM196609 BGI196608:BGI196609 BQE196608:BQE196609 CAA196608:CAA196609 CJW196608:CJW196609 CTS196608:CTS196609 DDO196608:DDO196609 DNK196608:DNK196609 DXG196608:DXG196609 EHC196608:EHC196609 EQY196608:EQY196609 FAU196608:FAU196609 FKQ196608:FKQ196609 FUM196608:FUM196609 GEI196608:GEI196609 GOE196608:GOE196609 GYA196608:GYA196609 HHW196608:HHW196609 HRS196608:HRS196609 IBO196608:IBO196609 ILK196608:ILK196609 IVG196608:IVG196609 JFC196608:JFC196609 JOY196608:JOY196609 JYU196608:JYU196609 KIQ196608:KIQ196609 KSM196608:KSM196609 LCI196608:LCI196609 LME196608:LME196609 LWA196608:LWA196609 MFW196608:MFW196609 MPS196608:MPS196609 MZO196608:MZO196609 NJK196608:NJK196609 NTG196608:NTG196609 ODC196608:ODC196609 OMY196608:OMY196609 OWU196608:OWU196609 PGQ196608:PGQ196609 PQM196608:PQM196609 QAI196608:QAI196609 QKE196608:QKE196609 QUA196608:QUA196609 RDW196608:RDW196609 RNS196608:RNS196609 RXO196608:RXO196609 SHK196608:SHK196609 SRG196608:SRG196609 TBC196608:TBC196609 TKY196608:TKY196609 TUU196608:TUU196609 UEQ196608:UEQ196609 UOM196608:UOM196609 UYI196608:UYI196609 VIE196608:VIE196609 VSA196608:VSA196609 WBW196608:WBW196609 WLS196608:WLS196609 WVO196608:WVO196609 P262145:P262146 JC262144:JC262145 SY262144:SY262145 ACU262144:ACU262145 AMQ262144:AMQ262145 AWM262144:AWM262145 BGI262144:BGI262145 BQE262144:BQE262145 CAA262144:CAA262145 CJW262144:CJW262145 CTS262144:CTS262145 DDO262144:DDO262145 DNK262144:DNK262145 DXG262144:DXG262145 EHC262144:EHC262145 EQY262144:EQY262145 FAU262144:FAU262145 FKQ262144:FKQ262145 FUM262144:FUM262145 GEI262144:GEI262145 GOE262144:GOE262145 GYA262144:GYA262145 HHW262144:HHW262145 HRS262144:HRS262145 IBO262144:IBO262145 ILK262144:ILK262145 IVG262144:IVG262145 JFC262144:JFC262145 JOY262144:JOY262145 JYU262144:JYU262145 KIQ262144:KIQ262145 KSM262144:KSM262145 LCI262144:LCI262145 LME262144:LME262145 LWA262144:LWA262145 MFW262144:MFW262145 MPS262144:MPS262145 MZO262144:MZO262145 NJK262144:NJK262145 NTG262144:NTG262145 ODC262144:ODC262145 OMY262144:OMY262145 OWU262144:OWU262145 PGQ262144:PGQ262145 PQM262144:PQM262145 QAI262144:QAI262145 QKE262144:QKE262145 QUA262144:QUA262145 RDW262144:RDW262145 RNS262144:RNS262145 RXO262144:RXO262145 SHK262144:SHK262145 SRG262144:SRG262145 TBC262144:TBC262145 TKY262144:TKY262145 TUU262144:TUU262145 UEQ262144:UEQ262145 UOM262144:UOM262145 UYI262144:UYI262145 VIE262144:VIE262145 VSA262144:VSA262145 WBW262144:WBW262145 WLS262144:WLS262145 WVO262144:WVO262145 P327681:P327682 JC327680:JC327681 SY327680:SY327681 ACU327680:ACU327681 AMQ327680:AMQ327681 AWM327680:AWM327681 BGI327680:BGI327681 BQE327680:BQE327681 CAA327680:CAA327681 CJW327680:CJW327681 CTS327680:CTS327681 DDO327680:DDO327681 DNK327680:DNK327681 DXG327680:DXG327681 EHC327680:EHC327681 EQY327680:EQY327681 FAU327680:FAU327681 FKQ327680:FKQ327681 FUM327680:FUM327681 GEI327680:GEI327681 GOE327680:GOE327681 GYA327680:GYA327681 HHW327680:HHW327681 HRS327680:HRS327681 IBO327680:IBO327681 ILK327680:ILK327681 IVG327680:IVG327681 JFC327680:JFC327681 JOY327680:JOY327681 JYU327680:JYU327681 KIQ327680:KIQ327681 KSM327680:KSM327681 LCI327680:LCI327681 LME327680:LME327681 LWA327680:LWA327681 MFW327680:MFW327681 MPS327680:MPS327681 MZO327680:MZO327681 NJK327680:NJK327681 NTG327680:NTG327681 ODC327680:ODC327681 OMY327680:OMY327681 OWU327680:OWU327681 PGQ327680:PGQ327681 PQM327680:PQM327681 QAI327680:QAI327681 QKE327680:QKE327681 QUA327680:QUA327681 RDW327680:RDW327681 RNS327680:RNS327681 RXO327680:RXO327681 SHK327680:SHK327681 SRG327680:SRG327681 TBC327680:TBC327681 TKY327680:TKY327681 TUU327680:TUU327681 UEQ327680:UEQ327681 UOM327680:UOM327681 UYI327680:UYI327681 VIE327680:VIE327681 VSA327680:VSA327681 WBW327680:WBW327681 WLS327680:WLS327681 WVO327680:WVO327681 P393217:P393218 JC393216:JC393217 SY393216:SY393217 ACU393216:ACU393217 AMQ393216:AMQ393217 AWM393216:AWM393217 BGI393216:BGI393217 BQE393216:BQE393217 CAA393216:CAA393217 CJW393216:CJW393217 CTS393216:CTS393217 DDO393216:DDO393217 DNK393216:DNK393217 DXG393216:DXG393217 EHC393216:EHC393217 EQY393216:EQY393217 FAU393216:FAU393217 FKQ393216:FKQ393217 FUM393216:FUM393217 GEI393216:GEI393217 GOE393216:GOE393217 GYA393216:GYA393217 HHW393216:HHW393217 HRS393216:HRS393217 IBO393216:IBO393217 ILK393216:ILK393217 IVG393216:IVG393217 JFC393216:JFC393217 JOY393216:JOY393217 JYU393216:JYU393217 KIQ393216:KIQ393217 KSM393216:KSM393217 LCI393216:LCI393217 LME393216:LME393217 LWA393216:LWA393217 MFW393216:MFW393217 MPS393216:MPS393217 MZO393216:MZO393217 NJK393216:NJK393217 NTG393216:NTG393217 ODC393216:ODC393217 OMY393216:OMY393217 OWU393216:OWU393217 PGQ393216:PGQ393217 PQM393216:PQM393217 QAI393216:QAI393217 QKE393216:QKE393217 QUA393216:QUA393217 RDW393216:RDW393217 RNS393216:RNS393217 RXO393216:RXO393217 SHK393216:SHK393217 SRG393216:SRG393217 TBC393216:TBC393217 TKY393216:TKY393217 TUU393216:TUU393217 UEQ393216:UEQ393217 UOM393216:UOM393217 UYI393216:UYI393217 VIE393216:VIE393217 VSA393216:VSA393217 WBW393216:WBW393217 WLS393216:WLS393217 WVO393216:WVO393217 P458753:P458754 JC458752:JC458753 SY458752:SY458753 ACU458752:ACU458753 AMQ458752:AMQ458753 AWM458752:AWM458753 BGI458752:BGI458753 BQE458752:BQE458753 CAA458752:CAA458753 CJW458752:CJW458753 CTS458752:CTS458753 DDO458752:DDO458753 DNK458752:DNK458753 DXG458752:DXG458753 EHC458752:EHC458753 EQY458752:EQY458753 FAU458752:FAU458753 FKQ458752:FKQ458753 FUM458752:FUM458753 GEI458752:GEI458753 GOE458752:GOE458753 GYA458752:GYA458753 HHW458752:HHW458753 HRS458752:HRS458753 IBO458752:IBO458753 ILK458752:ILK458753 IVG458752:IVG458753 JFC458752:JFC458753 JOY458752:JOY458753 JYU458752:JYU458753 KIQ458752:KIQ458753 KSM458752:KSM458753 LCI458752:LCI458753 LME458752:LME458753 LWA458752:LWA458753 MFW458752:MFW458753 MPS458752:MPS458753 MZO458752:MZO458753 NJK458752:NJK458753 NTG458752:NTG458753 ODC458752:ODC458753 OMY458752:OMY458753 OWU458752:OWU458753 PGQ458752:PGQ458753 PQM458752:PQM458753 QAI458752:QAI458753 QKE458752:QKE458753 QUA458752:QUA458753 RDW458752:RDW458753 RNS458752:RNS458753 RXO458752:RXO458753 SHK458752:SHK458753 SRG458752:SRG458753 TBC458752:TBC458753 TKY458752:TKY458753 TUU458752:TUU458753 UEQ458752:UEQ458753 UOM458752:UOM458753 UYI458752:UYI458753 VIE458752:VIE458753 VSA458752:VSA458753 WBW458752:WBW458753 WLS458752:WLS458753 WVO458752:WVO458753 P524289:P524290 JC524288:JC524289 SY524288:SY524289 ACU524288:ACU524289 AMQ524288:AMQ524289 AWM524288:AWM524289 BGI524288:BGI524289 BQE524288:BQE524289 CAA524288:CAA524289 CJW524288:CJW524289 CTS524288:CTS524289 DDO524288:DDO524289 DNK524288:DNK524289 DXG524288:DXG524289 EHC524288:EHC524289 EQY524288:EQY524289 FAU524288:FAU524289 FKQ524288:FKQ524289 FUM524288:FUM524289 GEI524288:GEI524289 GOE524288:GOE524289 GYA524288:GYA524289 HHW524288:HHW524289 HRS524288:HRS524289 IBO524288:IBO524289 ILK524288:ILK524289 IVG524288:IVG524289 JFC524288:JFC524289 JOY524288:JOY524289 JYU524288:JYU524289 KIQ524288:KIQ524289 KSM524288:KSM524289 LCI524288:LCI524289 LME524288:LME524289 LWA524288:LWA524289 MFW524288:MFW524289 MPS524288:MPS524289 MZO524288:MZO524289 NJK524288:NJK524289 NTG524288:NTG524289 ODC524288:ODC524289 OMY524288:OMY524289 OWU524288:OWU524289 PGQ524288:PGQ524289 PQM524288:PQM524289 QAI524288:QAI524289 QKE524288:QKE524289 QUA524288:QUA524289 RDW524288:RDW524289 RNS524288:RNS524289 RXO524288:RXO524289 SHK524288:SHK524289 SRG524288:SRG524289 TBC524288:TBC524289 TKY524288:TKY524289 TUU524288:TUU524289 UEQ524288:UEQ524289 UOM524288:UOM524289 UYI524288:UYI524289 VIE524288:VIE524289 VSA524288:VSA524289 WBW524288:WBW524289 WLS524288:WLS524289 WVO524288:WVO524289 P589825:P589826 JC589824:JC589825 SY589824:SY589825 ACU589824:ACU589825 AMQ589824:AMQ589825 AWM589824:AWM589825 BGI589824:BGI589825 BQE589824:BQE589825 CAA589824:CAA589825 CJW589824:CJW589825 CTS589824:CTS589825 DDO589824:DDO589825 DNK589824:DNK589825 DXG589824:DXG589825 EHC589824:EHC589825 EQY589824:EQY589825 FAU589824:FAU589825 FKQ589824:FKQ589825 FUM589824:FUM589825 GEI589824:GEI589825 GOE589824:GOE589825 GYA589824:GYA589825 HHW589824:HHW589825 HRS589824:HRS589825 IBO589824:IBO589825 ILK589824:ILK589825 IVG589824:IVG589825 JFC589824:JFC589825 JOY589824:JOY589825 JYU589824:JYU589825 KIQ589824:KIQ589825 KSM589824:KSM589825 LCI589824:LCI589825 LME589824:LME589825 LWA589824:LWA589825 MFW589824:MFW589825 MPS589824:MPS589825 MZO589824:MZO589825 NJK589824:NJK589825 NTG589824:NTG589825 ODC589824:ODC589825 OMY589824:OMY589825 OWU589824:OWU589825 PGQ589824:PGQ589825 PQM589824:PQM589825 QAI589824:QAI589825 QKE589824:QKE589825 QUA589824:QUA589825 RDW589824:RDW589825 RNS589824:RNS589825 RXO589824:RXO589825 SHK589824:SHK589825 SRG589824:SRG589825 TBC589824:TBC589825 TKY589824:TKY589825 TUU589824:TUU589825 UEQ589824:UEQ589825 UOM589824:UOM589825 UYI589824:UYI589825 VIE589824:VIE589825 VSA589824:VSA589825 WBW589824:WBW589825 WLS589824:WLS589825 WVO589824:WVO589825 P655361:P655362 JC655360:JC655361 SY655360:SY655361 ACU655360:ACU655361 AMQ655360:AMQ655361 AWM655360:AWM655361 BGI655360:BGI655361 BQE655360:BQE655361 CAA655360:CAA655361 CJW655360:CJW655361 CTS655360:CTS655361 DDO655360:DDO655361 DNK655360:DNK655361 DXG655360:DXG655361 EHC655360:EHC655361 EQY655360:EQY655361 FAU655360:FAU655361 FKQ655360:FKQ655361 FUM655360:FUM655361 GEI655360:GEI655361 GOE655360:GOE655361 GYA655360:GYA655361 HHW655360:HHW655361 HRS655360:HRS655361 IBO655360:IBO655361 ILK655360:ILK655361 IVG655360:IVG655361 JFC655360:JFC655361 JOY655360:JOY655361 JYU655360:JYU655361 KIQ655360:KIQ655361 KSM655360:KSM655361 LCI655360:LCI655361 LME655360:LME655361 LWA655360:LWA655361 MFW655360:MFW655361 MPS655360:MPS655361 MZO655360:MZO655361 NJK655360:NJK655361 NTG655360:NTG655361 ODC655360:ODC655361 OMY655360:OMY655361 OWU655360:OWU655361 PGQ655360:PGQ655361 PQM655360:PQM655361 QAI655360:QAI655361 QKE655360:QKE655361 QUA655360:QUA655361 RDW655360:RDW655361 RNS655360:RNS655361 RXO655360:RXO655361 SHK655360:SHK655361 SRG655360:SRG655361 TBC655360:TBC655361 TKY655360:TKY655361 TUU655360:TUU655361 UEQ655360:UEQ655361 UOM655360:UOM655361 UYI655360:UYI655361 VIE655360:VIE655361 VSA655360:VSA655361 WBW655360:WBW655361 WLS655360:WLS655361 WVO655360:WVO655361 P720897:P720898 JC720896:JC720897 SY720896:SY720897 ACU720896:ACU720897 AMQ720896:AMQ720897 AWM720896:AWM720897 BGI720896:BGI720897 BQE720896:BQE720897 CAA720896:CAA720897 CJW720896:CJW720897 CTS720896:CTS720897 DDO720896:DDO720897 DNK720896:DNK720897 DXG720896:DXG720897 EHC720896:EHC720897 EQY720896:EQY720897 FAU720896:FAU720897 FKQ720896:FKQ720897 FUM720896:FUM720897 GEI720896:GEI720897 GOE720896:GOE720897 GYA720896:GYA720897 HHW720896:HHW720897 HRS720896:HRS720897 IBO720896:IBO720897 ILK720896:ILK720897 IVG720896:IVG720897 JFC720896:JFC720897 JOY720896:JOY720897 JYU720896:JYU720897 KIQ720896:KIQ720897 KSM720896:KSM720897 LCI720896:LCI720897 LME720896:LME720897 LWA720896:LWA720897 MFW720896:MFW720897 MPS720896:MPS720897 MZO720896:MZO720897 NJK720896:NJK720897 NTG720896:NTG720897 ODC720896:ODC720897 OMY720896:OMY720897 OWU720896:OWU720897 PGQ720896:PGQ720897 PQM720896:PQM720897 QAI720896:QAI720897 QKE720896:QKE720897 QUA720896:QUA720897 RDW720896:RDW720897 RNS720896:RNS720897 RXO720896:RXO720897 SHK720896:SHK720897 SRG720896:SRG720897 TBC720896:TBC720897 TKY720896:TKY720897 TUU720896:TUU720897 UEQ720896:UEQ720897 UOM720896:UOM720897 UYI720896:UYI720897 VIE720896:VIE720897 VSA720896:VSA720897 WBW720896:WBW720897 WLS720896:WLS720897 WVO720896:WVO720897 P786433:P786434 JC786432:JC786433 SY786432:SY786433 ACU786432:ACU786433 AMQ786432:AMQ786433 AWM786432:AWM786433 BGI786432:BGI786433 BQE786432:BQE786433 CAA786432:CAA786433 CJW786432:CJW786433 CTS786432:CTS786433 DDO786432:DDO786433 DNK786432:DNK786433 DXG786432:DXG786433 EHC786432:EHC786433 EQY786432:EQY786433 FAU786432:FAU786433 FKQ786432:FKQ786433 FUM786432:FUM786433 GEI786432:GEI786433 GOE786432:GOE786433 GYA786432:GYA786433 HHW786432:HHW786433 HRS786432:HRS786433 IBO786432:IBO786433 ILK786432:ILK786433 IVG786432:IVG786433 JFC786432:JFC786433 JOY786432:JOY786433 JYU786432:JYU786433 KIQ786432:KIQ786433 KSM786432:KSM786433 LCI786432:LCI786433 LME786432:LME786433 LWA786432:LWA786433 MFW786432:MFW786433 MPS786432:MPS786433 MZO786432:MZO786433 NJK786432:NJK786433 NTG786432:NTG786433 ODC786432:ODC786433 OMY786432:OMY786433 OWU786432:OWU786433 PGQ786432:PGQ786433 PQM786432:PQM786433 QAI786432:QAI786433 QKE786432:QKE786433 QUA786432:QUA786433 RDW786432:RDW786433 RNS786432:RNS786433 RXO786432:RXO786433 SHK786432:SHK786433 SRG786432:SRG786433 TBC786432:TBC786433 TKY786432:TKY786433 TUU786432:TUU786433 UEQ786432:UEQ786433 UOM786432:UOM786433 UYI786432:UYI786433 VIE786432:VIE786433 VSA786432:VSA786433 WBW786432:WBW786433 WLS786432:WLS786433 WVO786432:WVO786433 P851969:P851970 JC851968:JC851969 SY851968:SY851969 ACU851968:ACU851969 AMQ851968:AMQ851969 AWM851968:AWM851969 BGI851968:BGI851969 BQE851968:BQE851969 CAA851968:CAA851969 CJW851968:CJW851969 CTS851968:CTS851969 DDO851968:DDO851969 DNK851968:DNK851969 DXG851968:DXG851969 EHC851968:EHC851969 EQY851968:EQY851969 FAU851968:FAU851969 FKQ851968:FKQ851969 FUM851968:FUM851969 GEI851968:GEI851969 GOE851968:GOE851969 GYA851968:GYA851969 HHW851968:HHW851969 HRS851968:HRS851969 IBO851968:IBO851969 ILK851968:ILK851969 IVG851968:IVG851969 JFC851968:JFC851969 JOY851968:JOY851969 JYU851968:JYU851969 KIQ851968:KIQ851969 KSM851968:KSM851969 LCI851968:LCI851969 LME851968:LME851969 LWA851968:LWA851969 MFW851968:MFW851969 MPS851968:MPS851969 MZO851968:MZO851969 NJK851968:NJK851969 NTG851968:NTG851969 ODC851968:ODC851969 OMY851968:OMY851969 OWU851968:OWU851969 PGQ851968:PGQ851969 PQM851968:PQM851969 QAI851968:QAI851969 QKE851968:QKE851969 QUA851968:QUA851969 RDW851968:RDW851969 RNS851968:RNS851969 RXO851968:RXO851969 SHK851968:SHK851969 SRG851968:SRG851969 TBC851968:TBC851969 TKY851968:TKY851969 TUU851968:TUU851969 UEQ851968:UEQ851969 UOM851968:UOM851969 UYI851968:UYI851969 VIE851968:VIE851969 VSA851968:VSA851969 WBW851968:WBW851969 WLS851968:WLS851969 WVO851968:WVO851969 P917505:P917506 JC917504:JC917505 SY917504:SY917505 ACU917504:ACU917505 AMQ917504:AMQ917505 AWM917504:AWM917505 BGI917504:BGI917505 BQE917504:BQE917505 CAA917504:CAA917505 CJW917504:CJW917505 CTS917504:CTS917505 DDO917504:DDO917505 DNK917504:DNK917505 DXG917504:DXG917505 EHC917504:EHC917505 EQY917504:EQY917505 FAU917504:FAU917505 FKQ917504:FKQ917505 FUM917504:FUM917505 GEI917504:GEI917505 GOE917504:GOE917505 GYA917504:GYA917505 HHW917504:HHW917505 HRS917504:HRS917505 IBO917504:IBO917505 ILK917504:ILK917505 IVG917504:IVG917505 JFC917504:JFC917505 JOY917504:JOY917505 JYU917504:JYU917505 KIQ917504:KIQ917505 KSM917504:KSM917505 LCI917504:LCI917505 LME917504:LME917505 LWA917504:LWA917505 MFW917504:MFW917505 MPS917504:MPS917505 MZO917504:MZO917505 NJK917504:NJK917505 NTG917504:NTG917505 ODC917504:ODC917505 OMY917504:OMY917505 OWU917504:OWU917505 PGQ917504:PGQ917505 PQM917504:PQM917505 QAI917504:QAI917505 QKE917504:QKE917505 QUA917504:QUA917505 RDW917504:RDW917505 RNS917504:RNS917505 RXO917504:RXO917505 SHK917504:SHK917505 SRG917504:SRG917505 TBC917504:TBC917505 TKY917504:TKY917505 TUU917504:TUU917505 UEQ917504:UEQ917505 UOM917504:UOM917505 UYI917504:UYI917505 VIE917504:VIE917505 VSA917504:VSA917505 WBW917504:WBW917505 WLS917504:WLS917505 WVO917504:WVO917505 P983041:P983042 JC983040:JC983041 SY983040:SY983041 ACU983040:ACU983041 AMQ983040:AMQ983041 AWM983040:AWM983041 BGI983040:BGI983041 BQE983040:BQE983041 CAA983040:CAA983041 CJW983040:CJW983041 CTS983040:CTS983041 DDO983040:DDO983041 DNK983040:DNK983041 DXG983040:DXG983041 EHC983040:EHC983041 EQY983040:EQY983041 FAU983040:FAU983041 FKQ983040:FKQ983041 FUM983040:FUM983041 GEI983040:GEI983041 GOE983040:GOE983041 GYA983040:GYA983041 HHW983040:HHW983041 HRS983040:HRS983041 IBO983040:IBO983041 ILK983040:ILK983041 IVG983040:IVG983041 JFC983040:JFC983041 JOY983040:JOY983041 JYU983040:JYU983041 KIQ983040:KIQ983041 KSM983040:KSM983041 LCI983040:LCI983041 LME983040:LME983041 LWA983040:LWA983041 MFW983040:MFW983041 MPS983040:MPS983041 MZO983040:MZO983041 NJK983040:NJK983041 NTG983040:NTG983041 ODC983040:ODC983041 OMY983040:OMY983041 OWU983040:OWU983041 PGQ983040:PGQ983041 PQM983040:PQM983041 QAI983040:QAI983041 QKE983040:QKE983041 QUA983040:QUA983041 RDW983040:RDW983041 RNS983040:RNS983041 RXO983040:RXO983041 SHK983040:SHK983041 SRG983040:SRG983041 TBC983040:TBC983041 TKY983040:TKY983041 TUU983040:TUU983041 UEQ983040:UEQ983041 UOM983040:UOM983041 UYI983040:UYI983041 VIE983040:VIE983041 VSA983040:VSA983041 WBW983040:WBW983041 WLS983040:WLS983041 WVO983040:WVO983041 R65537:R65538 JF65536:JF65537 TB65536:TB65537 ACX65536:ACX65537 AMT65536:AMT65537 AWP65536:AWP65537 BGL65536:BGL65537 BQH65536:BQH65537 CAD65536:CAD65537 CJZ65536:CJZ65537 CTV65536:CTV65537 DDR65536:DDR65537 DNN65536:DNN65537 DXJ65536:DXJ65537 EHF65536:EHF65537 ERB65536:ERB65537 FAX65536:FAX65537 FKT65536:FKT65537 FUP65536:FUP65537 GEL65536:GEL65537 GOH65536:GOH65537 GYD65536:GYD65537 HHZ65536:HHZ65537 HRV65536:HRV65537 IBR65536:IBR65537 ILN65536:ILN65537 IVJ65536:IVJ65537 JFF65536:JFF65537 JPB65536:JPB65537 JYX65536:JYX65537 KIT65536:KIT65537 KSP65536:KSP65537 LCL65536:LCL65537 LMH65536:LMH65537 LWD65536:LWD65537 MFZ65536:MFZ65537 MPV65536:MPV65537 MZR65536:MZR65537 NJN65536:NJN65537 NTJ65536:NTJ65537 ODF65536:ODF65537 ONB65536:ONB65537 OWX65536:OWX65537 PGT65536:PGT65537 PQP65536:PQP65537 QAL65536:QAL65537 QKH65536:QKH65537 QUD65536:QUD65537 RDZ65536:RDZ65537 RNV65536:RNV65537 RXR65536:RXR65537 SHN65536:SHN65537 SRJ65536:SRJ65537 TBF65536:TBF65537 TLB65536:TLB65537 TUX65536:TUX65537 UET65536:UET65537 UOP65536:UOP65537 UYL65536:UYL65537 VIH65536:VIH65537 VSD65536:VSD65537 WBZ65536:WBZ65537 WLV65536:WLV65537 WVR65536:WVR65537 R131073:R131074 JF131072:JF131073 TB131072:TB131073 ACX131072:ACX131073 AMT131072:AMT131073 AWP131072:AWP131073 BGL131072:BGL131073 BQH131072:BQH131073 CAD131072:CAD131073 CJZ131072:CJZ131073 CTV131072:CTV131073 DDR131072:DDR131073 DNN131072:DNN131073 DXJ131072:DXJ131073 EHF131072:EHF131073 ERB131072:ERB131073 FAX131072:FAX131073 FKT131072:FKT131073 FUP131072:FUP131073 GEL131072:GEL131073 GOH131072:GOH131073 GYD131072:GYD131073 HHZ131072:HHZ131073 HRV131072:HRV131073 IBR131072:IBR131073 ILN131072:ILN131073 IVJ131072:IVJ131073 JFF131072:JFF131073 JPB131072:JPB131073 JYX131072:JYX131073 KIT131072:KIT131073 KSP131072:KSP131073 LCL131072:LCL131073 LMH131072:LMH131073 LWD131072:LWD131073 MFZ131072:MFZ131073 MPV131072:MPV131073 MZR131072:MZR131073 NJN131072:NJN131073 NTJ131072:NTJ131073 ODF131072:ODF131073 ONB131072:ONB131073 OWX131072:OWX131073 PGT131072:PGT131073 PQP131072:PQP131073 QAL131072:QAL131073 QKH131072:QKH131073 QUD131072:QUD131073 RDZ131072:RDZ131073 RNV131072:RNV131073 RXR131072:RXR131073 SHN131072:SHN131073 SRJ131072:SRJ131073 TBF131072:TBF131073 TLB131072:TLB131073 TUX131072:TUX131073 UET131072:UET131073 UOP131072:UOP131073 UYL131072:UYL131073 VIH131072:VIH131073 VSD131072:VSD131073 WBZ131072:WBZ131073 WLV131072:WLV131073 WVR131072:WVR131073 R196609:R196610 JF196608:JF196609 TB196608:TB196609 ACX196608:ACX196609 AMT196608:AMT196609 AWP196608:AWP196609 BGL196608:BGL196609 BQH196608:BQH196609 CAD196608:CAD196609 CJZ196608:CJZ196609 CTV196608:CTV196609 DDR196608:DDR196609 DNN196608:DNN196609 DXJ196608:DXJ196609 EHF196608:EHF196609 ERB196608:ERB196609 FAX196608:FAX196609 FKT196608:FKT196609 FUP196608:FUP196609 GEL196608:GEL196609 GOH196608:GOH196609 GYD196608:GYD196609 HHZ196608:HHZ196609 HRV196608:HRV196609 IBR196608:IBR196609 ILN196608:ILN196609 IVJ196608:IVJ196609 JFF196608:JFF196609 JPB196608:JPB196609 JYX196608:JYX196609 KIT196608:KIT196609 KSP196608:KSP196609 LCL196608:LCL196609 LMH196608:LMH196609 LWD196608:LWD196609 MFZ196608:MFZ196609 MPV196608:MPV196609 MZR196608:MZR196609 NJN196608:NJN196609 NTJ196608:NTJ196609 ODF196608:ODF196609 ONB196608:ONB196609 OWX196608:OWX196609 PGT196608:PGT196609 PQP196608:PQP196609 QAL196608:QAL196609 QKH196608:QKH196609 QUD196608:QUD196609 RDZ196608:RDZ196609 RNV196608:RNV196609 RXR196608:RXR196609 SHN196608:SHN196609 SRJ196608:SRJ196609 TBF196608:TBF196609 TLB196608:TLB196609 TUX196608:TUX196609 UET196608:UET196609 UOP196608:UOP196609 UYL196608:UYL196609 VIH196608:VIH196609 VSD196608:VSD196609 WBZ196608:WBZ196609 WLV196608:WLV196609 WVR196608:WVR196609 R262145:R262146 JF262144:JF262145 TB262144:TB262145 ACX262144:ACX262145 AMT262144:AMT262145 AWP262144:AWP262145 BGL262144:BGL262145 BQH262144:BQH262145 CAD262144:CAD262145 CJZ262144:CJZ262145 CTV262144:CTV262145 DDR262144:DDR262145 DNN262144:DNN262145 DXJ262144:DXJ262145 EHF262144:EHF262145 ERB262144:ERB262145 FAX262144:FAX262145 FKT262144:FKT262145 FUP262144:FUP262145 GEL262144:GEL262145 GOH262144:GOH262145 GYD262144:GYD262145 HHZ262144:HHZ262145 HRV262144:HRV262145 IBR262144:IBR262145 ILN262144:ILN262145 IVJ262144:IVJ262145 JFF262144:JFF262145 JPB262144:JPB262145 JYX262144:JYX262145 KIT262144:KIT262145 KSP262144:KSP262145 LCL262144:LCL262145 LMH262144:LMH262145 LWD262144:LWD262145 MFZ262144:MFZ262145 MPV262144:MPV262145 MZR262144:MZR262145 NJN262144:NJN262145 NTJ262144:NTJ262145 ODF262144:ODF262145 ONB262144:ONB262145 OWX262144:OWX262145 PGT262144:PGT262145 PQP262144:PQP262145 QAL262144:QAL262145 QKH262144:QKH262145 QUD262144:QUD262145 RDZ262144:RDZ262145 RNV262144:RNV262145 RXR262144:RXR262145 SHN262144:SHN262145 SRJ262144:SRJ262145 TBF262144:TBF262145 TLB262144:TLB262145 TUX262144:TUX262145 UET262144:UET262145 UOP262144:UOP262145 UYL262144:UYL262145 VIH262144:VIH262145 VSD262144:VSD262145 WBZ262144:WBZ262145 WLV262144:WLV262145 WVR262144:WVR262145 R327681:R327682 JF327680:JF327681 TB327680:TB327681 ACX327680:ACX327681 AMT327680:AMT327681 AWP327680:AWP327681 BGL327680:BGL327681 BQH327680:BQH327681 CAD327680:CAD327681 CJZ327680:CJZ327681 CTV327680:CTV327681 DDR327680:DDR327681 DNN327680:DNN327681 DXJ327680:DXJ327681 EHF327680:EHF327681 ERB327680:ERB327681 FAX327680:FAX327681 FKT327680:FKT327681 FUP327680:FUP327681 GEL327680:GEL327681 GOH327680:GOH327681 GYD327680:GYD327681 HHZ327680:HHZ327681 HRV327680:HRV327681 IBR327680:IBR327681 ILN327680:ILN327681 IVJ327680:IVJ327681 JFF327680:JFF327681 JPB327680:JPB327681 JYX327680:JYX327681 KIT327680:KIT327681 KSP327680:KSP327681 LCL327680:LCL327681 LMH327680:LMH327681 LWD327680:LWD327681 MFZ327680:MFZ327681 MPV327680:MPV327681 MZR327680:MZR327681 NJN327680:NJN327681 NTJ327680:NTJ327681 ODF327680:ODF327681 ONB327680:ONB327681 OWX327680:OWX327681 PGT327680:PGT327681 PQP327680:PQP327681 QAL327680:QAL327681 QKH327680:QKH327681 QUD327680:QUD327681 RDZ327680:RDZ327681 RNV327680:RNV327681 RXR327680:RXR327681 SHN327680:SHN327681 SRJ327680:SRJ327681 TBF327680:TBF327681 TLB327680:TLB327681 TUX327680:TUX327681 UET327680:UET327681 UOP327680:UOP327681 UYL327680:UYL327681 VIH327680:VIH327681 VSD327680:VSD327681 WBZ327680:WBZ327681 WLV327680:WLV327681 WVR327680:WVR327681 R393217:R393218 JF393216:JF393217 TB393216:TB393217 ACX393216:ACX393217 AMT393216:AMT393217 AWP393216:AWP393217 BGL393216:BGL393217 BQH393216:BQH393217 CAD393216:CAD393217 CJZ393216:CJZ393217 CTV393216:CTV393217 DDR393216:DDR393217 DNN393216:DNN393217 DXJ393216:DXJ393217 EHF393216:EHF393217 ERB393216:ERB393217 FAX393216:FAX393217 FKT393216:FKT393217 FUP393216:FUP393217 GEL393216:GEL393217 GOH393216:GOH393217 GYD393216:GYD393217 HHZ393216:HHZ393217 HRV393216:HRV393217 IBR393216:IBR393217 ILN393216:ILN393217 IVJ393216:IVJ393217 JFF393216:JFF393217 JPB393216:JPB393217 JYX393216:JYX393217 KIT393216:KIT393217 KSP393216:KSP393217 LCL393216:LCL393217 LMH393216:LMH393217 LWD393216:LWD393217 MFZ393216:MFZ393217 MPV393216:MPV393217 MZR393216:MZR393217 NJN393216:NJN393217 NTJ393216:NTJ393217 ODF393216:ODF393217 ONB393216:ONB393217 OWX393216:OWX393217 PGT393216:PGT393217 PQP393216:PQP393217 QAL393216:QAL393217 QKH393216:QKH393217 QUD393216:QUD393217 RDZ393216:RDZ393217 RNV393216:RNV393217 RXR393216:RXR393217 SHN393216:SHN393217 SRJ393216:SRJ393217 TBF393216:TBF393217 TLB393216:TLB393217 TUX393216:TUX393217 UET393216:UET393217 UOP393216:UOP393217 UYL393216:UYL393217 VIH393216:VIH393217 VSD393216:VSD393217 WBZ393216:WBZ393217 WLV393216:WLV393217 WVR393216:WVR393217 R458753:R458754 JF458752:JF458753 TB458752:TB458753 ACX458752:ACX458753 AMT458752:AMT458753 AWP458752:AWP458753 BGL458752:BGL458753 BQH458752:BQH458753 CAD458752:CAD458753 CJZ458752:CJZ458753 CTV458752:CTV458753 DDR458752:DDR458753 DNN458752:DNN458753 DXJ458752:DXJ458753 EHF458752:EHF458753 ERB458752:ERB458753 FAX458752:FAX458753 FKT458752:FKT458753 FUP458752:FUP458753 GEL458752:GEL458753 GOH458752:GOH458753 GYD458752:GYD458753 HHZ458752:HHZ458753 HRV458752:HRV458753 IBR458752:IBR458753 ILN458752:ILN458753 IVJ458752:IVJ458753 JFF458752:JFF458753 JPB458752:JPB458753 JYX458752:JYX458753 KIT458752:KIT458753 KSP458752:KSP458753 LCL458752:LCL458753 LMH458752:LMH458753 LWD458752:LWD458753 MFZ458752:MFZ458753 MPV458752:MPV458753 MZR458752:MZR458753 NJN458752:NJN458753 NTJ458752:NTJ458753 ODF458752:ODF458753 ONB458752:ONB458753 OWX458752:OWX458753 PGT458752:PGT458753 PQP458752:PQP458753 QAL458752:QAL458753 QKH458752:QKH458753 QUD458752:QUD458753 RDZ458752:RDZ458753 RNV458752:RNV458753 RXR458752:RXR458753 SHN458752:SHN458753 SRJ458752:SRJ458753 TBF458752:TBF458753 TLB458752:TLB458753 TUX458752:TUX458753 UET458752:UET458753 UOP458752:UOP458753 UYL458752:UYL458753 VIH458752:VIH458753 VSD458752:VSD458753 WBZ458752:WBZ458753 WLV458752:WLV458753 WVR458752:WVR458753 R524289:R524290 JF524288:JF524289 TB524288:TB524289 ACX524288:ACX524289 AMT524288:AMT524289 AWP524288:AWP524289 BGL524288:BGL524289 BQH524288:BQH524289 CAD524288:CAD524289 CJZ524288:CJZ524289 CTV524288:CTV524289 DDR524288:DDR524289 DNN524288:DNN524289 DXJ524288:DXJ524289 EHF524288:EHF524289 ERB524288:ERB524289 FAX524288:FAX524289 FKT524288:FKT524289 FUP524288:FUP524289 GEL524288:GEL524289 GOH524288:GOH524289 GYD524288:GYD524289 HHZ524288:HHZ524289 HRV524288:HRV524289 IBR524288:IBR524289 ILN524288:ILN524289 IVJ524288:IVJ524289 JFF524288:JFF524289 JPB524288:JPB524289 JYX524288:JYX524289 KIT524288:KIT524289 KSP524288:KSP524289 LCL524288:LCL524289 LMH524288:LMH524289 LWD524288:LWD524289 MFZ524288:MFZ524289 MPV524288:MPV524289 MZR524288:MZR524289 NJN524288:NJN524289 NTJ524288:NTJ524289 ODF524288:ODF524289 ONB524288:ONB524289 OWX524288:OWX524289 PGT524288:PGT524289 PQP524288:PQP524289 QAL524288:QAL524289 QKH524288:QKH524289 QUD524288:QUD524289 RDZ524288:RDZ524289 RNV524288:RNV524289 RXR524288:RXR524289 SHN524288:SHN524289 SRJ524288:SRJ524289 TBF524288:TBF524289 TLB524288:TLB524289 TUX524288:TUX524289 UET524288:UET524289 UOP524288:UOP524289 UYL524288:UYL524289 VIH524288:VIH524289 VSD524288:VSD524289 WBZ524288:WBZ524289 WLV524288:WLV524289 WVR524288:WVR524289 R589825:R589826 JF589824:JF589825 TB589824:TB589825 ACX589824:ACX589825 AMT589824:AMT589825 AWP589824:AWP589825 BGL589824:BGL589825 BQH589824:BQH589825 CAD589824:CAD589825 CJZ589824:CJZ589825 CTV589824:CTV589825 DDR589824:DDR589825 DNN589824:DNN589825 DXJ589824:DXJ589825 EHF589824:EHF589825 ERB589824:ERB589825 FAX589824:FAX589825 FKT589824:FKT589825 FUP589824:FUP589825 GEL589824:GEL589825 GOH589824:GOH589825 GYD589824:GYD589825 HHZ589824:HHZ589825 HRV589824:HRV589825 IBR589824:IBR589825 ILN589824:ILN589825 IVJ589824:IVJ589825 JFF589824:JFF589825 JPB589824:JPB589825 JYX589824:JYX589825 KIT589824:KIT589825 KSP589824:KSP589825 LCL589824:LCL589825 LMH589824:LMH589825 LWD589824:LWD589825 MFZ589824:MFZ589825 MPV589824:MPV589825 MZR589824:MZR589825 NJN589824:NJN589825 NTJ589824:NTJ589825 ODF589824:ODF589825 ONB589824:ONB589825 OWX589824:OWX589825 PGT589824:PGT589825 PQP589824:PQP589825 QAL589824:QAL589825 QKH589824:QKH589825 QUD589824:QUD589825 RDZ589824:RDZ589825 RNV589824:RNV589825 RXR589824:RXR589825 SHN589824:SHN589825 SRJ589824:SRJ589825 TBF589824:TBF589825 TLB589824:TLB589825 TUX589824:TUX589825 UET589824:UET589825 UOP589824:UOP589825 UYL589824:UYL589825 VIH589824:VIH589825 VSD589824:VSD589825 WBZ589824:WBZ589825 WLV589824:WLV589825 WVR589824:WVR589825 R655361:R655362 JF655360:JF655361 TB655360:TB655361 ACX655360:ACX655361 AMT655360:AMT655361 AWP655360:AWP655361 BGL655360:BGL655361 BQH655360:BQH655361 CAD655360:CAD655361 CJZ655360:CJZ655361 CTV655360:CTV655361 DDR655360:DDR655361 DNN655360:DNN655361 DXJ655360:DXJ655361 EHF655360:EHF655361 ERB655360:ERB655361 FAX655360:FAX655361 FKT655360:FKT655361 FUP655360:FUP655361 GEL655360:GEL655361 GOH655360:GOH655361 GYD655360:GYD655361 HHZ655360:HHZ655361 HRV655360:HRV655361 IBR655360:IBR655361 ILN655360:ILN655361 IVJ655360:IVJ655361 JFF655360:JFF655361 JPB655360:JPB655361 JYX655360:JYX655361 KIT655360:KIT655361 KSP655360:KSP655361 LCL655360:LCL655361 LMH655360:LMH655361 LWD655360:LWD655361 MFZ655360:MFZ655361 MPV655360:MPV655361 MZR655360:MZR655361 NJN655360:NJN655361 NTJ655360:NTJ655361 ODF655360:ODF655361 ONB655360:ONB655361 OWX655360:OWX655361 PGT655360:PGT655361 PQP655360:PQP655361 QAL655360:QAL655361 QKH655360:QKH655361 QUD655360:QUD655361 RDZ655360:RDZ655361 RNV655360:RNV655361 RXR655360:RXR655361 SHN655360:SHN655361 SRJ655360:SRJ655361 TBF655360:TBF655361 TLB655360:TLB655361 TUX655360:TUX655361 UET655360:UET655361 UOP655360:UOP655361 UYL655360:UYL655361 VIH655360:VIH655361 VSD655360:VSD655361 WBZ655360:WBZ655361 WLV655360:WLV655361 WVR655360:WVR655361 R720897:R720898 JF720896:JF720897 TB720896:TB720897 ACX720896:ACX720897 AMT720896:AMT720897 AWP720896:AWP720897 BGL720896:BGL720897 BQH720896:BQH720897 CAD720896:CAD720897 CJZ720896:CJZ720897 CTV720896:CTV720897 DDR720896:DDR720897 DNN720896:DNN720897 DXJ720896:DXJ720897 EHF720896:EHF720897 ERB720896:ERB720897 FAX720896:FAX720897 FKT720896:FKT720897 FUP720896:FUP720897 GEL720896:GEL720897 GOH720896:GOH720897 GYD720896:GYD720897 HHZ720896:HHZ720897 HRV720896:HRV720897 IBR720896:IBR720897 ILN720896:ILN720897 IVJ720896:IVJ720897 JFF720896:JFF720897 JPB720896:JPB720897 JYX720896:JYX720897 KIT720896:KIT720897 KSP720896:KSP720897 LCL720896:LCL720897 LMH720896:LMH720897 LWD720896:LWD720897 MFZ720896:MFZ720897 MPV720896:MPV720897 MZR720896:MZR720897 NJN720896:NJN720897 NTJ720896:NTJ720897 ODF720896:ODF720897 ONB720896:ONB720897 OWX720896:OWX720897 PGT720896:PGT720897 PQP720896:PQP720897 QAL720896:QAL720897 QKH720896:QKH720897 QUD720896:QUD720897 RDZ720896:RDZ720897 RNV720896:RNV720897 RXR720896:RXR720897 SHN720896:SHN720897 SRJ720896:SRJ720897 TBF720896:TBF720897 TLB720896:TLB720897 TUX720896:TUX720897 UET720896:UET720897 UOP720896:UOP720897 UYL720896:UYL720897 VIH720896:VIH720897 VSD720896:VSD720897 WBZ720896:WBZ720897 WLV720896:WLV720897 WVR720896:WVR720897 R786433:R786434 JF786432:JF786433 TB786432:TB786433 ACX786432:ACX786433 AMT786432:AMT786433 AWP786432:AWP786433 BGL786432:BGL786433 BQH786432:BQH786433 CAD786432:CAD786433 CJZ786432:CJZ786433 CTV786432:CTV786433 DDR786432:DDR786433 DNN786432:DNN786433 DXJ786432:DXJ786433 EHF786432:EHF786433 ERB786432:ERB786433 FAX786432:FAX786433 FKT786432:FKT786433 FUP786432:FUP786433 GEL786432:GEL786433 GOH786432:GOH786433 GYD786432:GYD786433 HHZ786432:HHZ786433 HRV786432:HRV786433 IBR786432:IBR786433 ILN786432:ILN786433 IVJ786432:IVJ786433 JFF786432:JFF786433 JPB786432:JPB786433 JYX786432:JYX786433 KIT786432:KIT786433 KSP786432:KSP786433 LCL786432:LCL786433 LMH786432:LMH786433 LWD786432:LWD786433 MFZ786432:MFZ786433 MPV786432:MPV786433 MZR786432:MZR786433 NJN786432:NJN786433 NTJ786432:NTJ786433 ODF786432:ODF786433 ONB786432:ONB786433 OWX786432:OWX786433 PGT786432:PGT786433 PQP786432:PQP786433 QAL786432:QAL786433 QKH786432:QKH786433 QUD786432:QUD786433 RDZ786432:RDZ786433 RNV786432:RNV786433 RXR786432:RXR786433 SHN786432:SHN786433 SRJ786432:SRJ786433 TBF786432:TBF786433 TLB786432:TLB786433 TUX786432:TUX786433 UET786432:UET786433 UOP786432:UOP786433 UYL786432:UYL786433 VIH786432:VIH786433 VSD786432:VSD786433 WBZ786432:WBZ786433 WLV786432:WLV786433 WVR786432:WVR786433 R851969:R851970 JF851968:JF851969 TB851968:TB851969 ACX851968:ACX851969 AMT851968:AMT851969 AWP851968:AWP851969 BGL851968:BGL851969 BQH851968:BQH851969 CAD851968:CAD851969 CJZ851968:CJZ851969 CTV851968:CTV851969 DDR851968:DDR851969 DNN851968:DNN851969 DXJ851968:DXJ851969 EHF851968:EHF851969 ERB851968:ERB851969 FAX851968:FAX851969 FKT851968:FKT851969 FUP851968:FUP851969 GEL851968:GEL851969 GOH851968:GOH851969 GYD851968:GYD851969 HHZ851968:HHZ851969 HRV851968:HRV851969 IBR851968:IBR851969 ILN851968:ILN851969 IVJ851968:IVJ851969 JFF851968:JFF851969 JPB851968:JPB851969 JYX851968:JYX851969 KIT851968:KIT851969 KSP851968:KSP851969 LCL851968:LCL851969 LMH851968:LMH851969 LWD851968:LWD851969 MFZ851968:MFZ851969 MPV851968:MPV851969 MZR851968:MZR851969 NJN851968:NJN851969 NTJ851968:NTJ851969 ODF851968:ODF851969 ONB851968:ONB851969 OWX851968:OWX851969 PGT851968:PGT851969 PQP851968:PQP851969 QAL851968:QAL851969 QKH851968:QKH851969 QUD851968:QUD851969 RDZ851968:RDZ851969 RNV851968:RNV851969 RXR851968:RXR851969 SHN851968:SHN851969 SRJ851968:SRJ851969 TBF851968:TBF851969 TLB851968:TLB851969 TUX851968:TUX851969 UET851968:UET851969 UOP851968:UOP851969 UYL851968:UYL851969 VIH851968:VIH851969 VSD851968:VSD851969 WBZ851968:WBZ851969 WLV851968:WLV851969 WVR851968:WVR851969 R917505:R917506 JF917504:JF917505 TB917504:TB917505 ACX917504:ACX917505 AMT917504:AMT917505 AWP917504:AWP917505 BGL917504:BGL917505 BQH917504:BQH917505 CAD917504:CAD917505 CJZ917504:CJZ917505 CTV917504:CTV917505 DDR917504:DDR917505 DNN917504:DNN917505 DXJ917504:DXJ917505 EHF917504:EHF917505 ERB917504:ERB917505 FAX917504:FAX917505 FKT917504:FKT917505 FUP917504:FUP917505 GEL917504:GEL917505 GOH917504:GOH917505 GYD917504:GYD917505 HHZ917504:HHZ917505 HRV917504:HRV917505 IBR917504:IBR917505 ILN917504:ILN917505 IVJ917504:IVJ917505 JFF917504:JFF917505 JPB917504:JPB917505 JYX917504:JYX917505 KIT917504:KIT917505 KSP917504:KSP917505 LCL917504:LCL917505 LMH917504:LMH917505 LWD917504:LWD917505 MFZ917504:MFZ917505 MPV917504:MPV917505 MZR917504:MZR917505 NJN917504:NJN917505 NTJ917504:NTJ917505 ODF917504:ODF917505 ONB917504:ONB917505 OWX917504:OWX917505 PGT917504:PGT917505 PQP917504:PQP917505 QAL917504:QAL917505 QKH917504:QKH917505 QUD917504:QUD917505 RDZ917504:RDZ917505 RNV917504:RNV917505 RXR917504:RXR917505 SHN917504:SHN917505 SRJ917504:SRJ917505 TBF917504:TBF917505 TLB917504:TLB917505 TUX917504:TUX917505 UET917504:UET917505 UOP917504:UOP917505 UYL917504:UYL917505 VIH917504:VIH917505 VSD917504:VSD917505 WBZ917504:WBZ917505 WLV917504:WLV917505 WVR917504:WVR917505 R983041:R983042 JF983040:JF983041 TB983040:TB983041 ACX983040:ACX983041 AMT983040:AMT983041 AWP983040:AWP983041 BGL983040:BGL983041 BQH983040:BQH983041 CAD983040:CAD983041 CJZ983040:CJZ983041 CTV983040:CTV983041 DDR983040:DDR983041 DNN983040:DNN983041 DXJ983040:DXJ983041 EHF983040:EHF983041 ERB983040:ERB983041 FAX983040:FAX983041 FKT983040:FKT983041 FUP983040:FUP983041 GEL983040:GEL983041 GOH983040:GOH983041 GYD983040:GYD983041 HHZ983040:HHZ983041 HRV983040:HRV983041 IBR983040:IBR983041 ILN983040:ILN983041 IVJ983040:IVJ983041 JFF983040:JFF983041 JPB983040:JPB983041 JYX983040:JYX983041 KIT983040:KIT983041 KSP983040:KSP983041 LCL983040:LCL983041 LMH983040:LMH983041 LWD983040:LWD983041 MFZ983040:MFZ983041 MPV983040:MPV983041 MZR983040:MZR983041 NJN983040:NJN983041 NTJ983040:NTJ983041 ODF983040:ODF983041 ONB983040:ONB983041 OWX983040:OWX983041 PGT983040:PGT983041 PQP983040:PQP983041 QAL983040:QAL983041 QKH983040:QKH983041 QUD983040:QUD983041 RDZ983040:RDZ983041 RNV983040:RNV983041 RXR983040:RXR983041 SHN983040:SHN983041 SRJ983040:SRJ983041 TBF983040:TBF983041 TLB983040:TLB983041 TUX983040:TUX983041 UET983040:UET983041 UOP983040:UOP983041 UYL983040:UYL983041 VIH983040:VIH983041 VSD983040:VSD983041 WBZ983040:WBZ983041 WLV983040:WLV983041 WVR983040:WVR983041 T65537:T65538 JI65536:JI65537 TE65536:TE65537 ADA65536:ADA65537 AMW65536:AMW65537 AWS65536:AWS65537 BGO65536:BGO65537 BQK65536:BQK65537 CAG65536:CAG65537 CKC65536:CKC65537 CTY65536:CTY65537 DDU65536:DDU65537 DNQ65536:DNQ65537 DXM65536:DXM65537 EHI65536:EHI65537 ERE65536:ERE65537 FBA65536:FBA65537 FKW65536:FKW65537 FUS65536:FUS65537 GEO65536:GEO65537 GOK65536:GOK65537 GYG65536:GYG65537 HIC65536:HIC65537 HRY65536:HRY65537 IBU65536:IBU65537 ILQ65536:ILQ65537 IVM65536:IVM65537 JFI65536:JFI65537 JPE65536:JPE65537 JZA65536:JZA65537 KIW65536:KIW65537 KSS65536:KSS65537 LCO65536:LCO65537 LMK65536:LMK65537 LWG65536:LWG65537 MGC65536:MGC65537 MPY65536:MPY65537 MZU65536:MZU65537 NJQ65536:NJQ65537 NTM65536:NTM65537 ODI65536:ODI65537 ONE65536:ONE65537 OXA65536:OXA65537 PGW65536:PGW65537 PQS65536:PQS65537 QAO65536:QAO65537 QKK65536:QKK65537 QUG65536:QUG65537 REC65536:REC65537 RNY65536:RNY65537 RXU65536:RXU65537 SHQ65536:SHQ65537 SRM65536:SRM65537 TBI65536:TBI65537 TLE65536:TLE65537 TVA65536:TVA65537 UEW65536:UEW65537 UOS65536:UOS65537 UYO65536:UYO65537 VIK65536:VIK65537 VSG65536:VSG65537 WCC65536:WCC65537 WLY65536:WLY65537 WVU65536:WVU65537 T131073:T131074 JI131072:JI131073 TE131072:TE131073 ADA131072:ADA131073 AMW131072:AMW131073 AWS131072:AWS131073 BGO131072:BGO131073 BQK131072:BQK131073 CAG131072:CAG131073 CKC131072:CKC131073 CTY131072:CTY131073 DDU131072:DDU131073 DNQ131072:DNQ131073 DXM131072:DXM131073 EHI131072:EHI131073 ERE131072:ERE131073 FBA131072:FBA131073 FKW131072:FKW131073 FUS131072:FUS131073 GEO131072:GEO131073 GOK131072:GOK131073 GYG131072:GYG131073 HIC131072:HIC131073 HRY131072:HRY131073 IBU131072:IBU131073 ILQ131072:ILQ131073 IVM131072:IVM131073 JFI131072:JFI131073 JPE131072:JPE131073 JZA131072:JZA131073 KIW131072:KIW131073 KSS131072:KSS131073 LCO131072:LCO131073 LMK131072:LMK131073 LWG131072:LWG131073 MGC131072:MGC131073 MPY131072:MPY131073 MZU131072:MZU131073 NJQ131072:NJQ131073 NTM131072:NTM131073 ODI131072:ODI131073 ONE131072:ONE131073 OXA131072:OXA131073 PGW131072:PGW131073 PQS131072:PQS131073 QAO131072:QAO131073 QKK131072:QKK131073 QUG131072:QUG131073 REC131072:REC131073 RNY131072:RNY131073 RXU131072:RXU131073 SHQ131072:SHQ131073 SRM131072:SRM131073 TBI131072:TBI131073 TLE131072:TLE131073 TVA131072:TVA131073 UEW131072:UEW131073 UOS131072:UOS131073 UYO131072:UYO131073 VIK131072:VIK131073 VSG131072:VSG131073 WCC131072:WCC131073 WLY131072:WLY131073 WVU131072:WVU131073 T196609:T196610 JI196608:JI196609 TE196608:TE196609 ADA196608:ADA196609 AMW196608:AMW196609 AWS196608:AWS196609 BGO196608:BGO196609 BQK196608:BQK196609 CAG196608:CAG196609 CKC196608:CKC196609 CTY196608:CTY196609 DDU196608:DDU196609 DNQ196608:DNQ196609 DXM196608:DXM196609 EHI196608:EHI196609 ERE196608:ERE196609 FBA196608:FBA196609 FKW196608:FKW196609 FUS196608:FUS196609 GEO196608:GEO196609 GOK196608:GOK196609 GYG196608:GYG196609 HIC196608:HIC196609 HRY196608:HRY196609 IBU196608:IBU196609 ILQ196608:ILQ196609 IVM196608:IVM196609 JFI196608:JFI196609 JPE196608:JPE196609 JZA196608:JZA196609 KIW196608:KIW196609 KSS196608:KSS196609 LCO196608:LCO196609 LMK196608:LMK196609 LWG196608:LWG196609 MGC196608:MGC196609 MPY196608:MPY196609 MZU196608:MZU196609 NJQ196608:NJQ196609 NTM196608:NTM196609 ODI196608:ODI196609 ONE196608:ONE196609 OXA196608:OXA196609 PGW196608:PGW196609 PQS196608:PQS196609 QAO196608:QAO196609 QKK196608:QKK196609 QUG196608:QUG196609 REC196608:REC196609 RNY196608:RNY196609 RXU196608:RXU196609 SHQ196608:SHQ196609 SRM196608:SRM196609 TBI196608:TBI196609 TLE196608:TLE196609 TVA196608:TVA196609 UEW196608:UEW196609 UOS196608:UOS196609 UYO196608:UYO196609 VIK196608:VIK196609 VSG196608:VSG196609 WCC196608:WCC196609 WLY196608:WLY196609 WVU196608:WVU196609 T262145:T262146 JI262144:JI262145 TE262144:TE262145 ADA262144:ADA262145 AMW262144:AMW262145 AWS262144:AWS262145 BGO262144:BGO262145 BQK262144:BQK262145 CAG262144:CAG262145 CKC262144:CKC262145 CTY262144:CTY262145 DDU262144:DDU262145 DNQ262144:DNQ262145 DXM262144:DXM262145 EHI262144:EHI262145 ERE262144:ERE262145 FBA262144:FBA262145 FKW262144:FKW262145 FUS262144:FUS262145 GEO262144:GEO262145 GOK262144:GOK262145 GYG262144:GYG262145 HIC262144:HIC262145 HRY262144:HRY262145 IBU262144:IBU262145 ILQ262144:ILQ262145 IVM262144:IVM262145 JFI262144:JFI262145 JPE262144:JPE262145 JZA262144:JZA262145 KIW262144:KIW262145 KSS262144:KSS262145 LCO262144:LCO262145 LMK262144:LMK262145 LWG262144:LWG262145 MGC262144:MGC262145 MPY262144:MPY262145 MZU262144:MZU262145 NJQ262144:NJQ262145 NTM262144:NTM262145 ODI262144:ODI262145 ONE262144:ONE262145 OXA262144:OXA262145 PGW262144:PGW262145 PQS262144:PQS262145 QAO262144:QAO262145 QKK262144:QKK262145 QUG262144:QUG262145 REC262144:REC262145 RNY262144:RNY262145 RXU262144:RXU262145 SHQ262144:SHQ262145 SRM262144:SRM262145 TBI262144:TBI262145 TLE262144:TLE262145 TVA262144:TVA262145 UEW262144:UEW262145 UOS262144:UOS262145 UYO262144:UYO262145 VIK262144:VIK262145 VSG262144:VSG262145 WCC262144:WCC262145 WLY262144:WLY262145 WVU262144:WVU262145 T327681:T327682 JI327680:JI327681 TE327680:TE327681 ADA327680:ADA327681 AMW327680:AMW327681 AWS327680:AWS327681 BGO327680:BGO327681 BQK327680:BQK327681 CAG327680:CAG327681 CKC327680:CKC327681 CTY327680:CTY327681 DDU327680:DDU327681 DNQ327680:DNQ327681 DXM327680:DXM327681 EHI327680:EHI327681 ERE327680:ERE327681 FBA327680:FBA327681 FKW327680:FKW327681 FUS327680:FUS327681 GEO327680:GEO327681 GOK327680:GOK327681 GYG327680:GYG327681 HIC327680:HIC327681 HRY327680:HRY327681 IBU327680:IBU327681 ILQ327680:ILQ327681 IVM327680:IVM327681 JFI327680:JFI327681 JPE327680:JPE327681 JZA327680:JZA327681 KIW327680:KIW327681 KSS327680:KSS327681 LCO327680:LCO327681 LMK327680:LMK327681 LWG327680:LWG327681 MGC327680:MGC327681 MPY327680:MPY327681 MZU327680:MZU327681 NJQ327680:NJQ327681 NTM327680:NTM327681 ODI327680:ODI327681 ONE327680:ONE327681 OXA327680:OXA327681 PGW327680:PGW327681 PQS327680:PQS327681 QAO327680:QAO327681 QKK327680:QKK327681 QUG327680:QUG327681 REC327680:REC327681 RNY327680:RNY327681 RXU327680:RXU327681 SHQ327680:SHQ327681 SRM327680:SRM327681 TBI327680:TBI327681 TLE327680:TLE327681 TVA327680:TVA327681 UEW327680:UEW327681 UOS327680:UOS327681 UYO327680:UYO327681 VIK327680:VIK327681 VSG327680:VSG327681 WCC327680:WCC327681 WLY327680:WLY327681 WVU327680:WVU327681 T393217:T393218 JI393216:JI393217 TE393216:TE393217 ADA393216:ADA393217 AMW393216:AMW393217 AWS393216:AWS393217 BGO393216:BGO393217 BQK393216:BQK393217 CAG393216:CAG393217 CKC393216:CKC393217 CTY393216:CTY393217 DDU393216:DDU393217 DNQ393216:DNQ393217 DXM393216:DXM393217 EHI393216:EHI393217 ERE393216:ERE393217 FBA393216:FBA393217 FKW393216:FKW393217 FUS393216:FUS393217 GEO393216:GEO393217 GOK393216:GOK393217 GYG393216:GYG393217 HIC393216:HIC393217 HRY393216:HRY393217 IBU393216:IBU393217 ILQ393216:ILQ393217 IVM393216:IVM393217 JFI393216:JFI393217 JPE393216:JPE393217 JZA393216:JZA393217 KIW393216:KIW393217 KSS393216:KSS393217 LCO393216:LCO393217 LMK393216:LMK393217 LWG393216:LWG393217 MGC393216:MGC393217 MPY393216:MPY393217 MZU393216:MZU393217 NJQ393216:NJQ393217 NTM393216:NTM393217 ODI393216:ODI393217 ONE393216:ONE393217 OXA393216:OXA393217 PGW393216:PGW393217 PQS393216:PQS393217 QAO393216:QAO393217 QKK393216:QKK393217 QUG393216:QUG393217 REC393216:REC393217 RNY393216:RNY393217 RXU393216:RXU393217 SHQ393216:SHQ393217 SRM393216:SRM393217 TBI393216:TBI393217 TLE393216:TLE393217 TVA393216:TVA393217 UEW393216:UEW393217 UOS393216:UOS393217 UYO393216:UYO393217 VIK393216:VIK393217 VSG393216:VSG393217 WCC393216:WCC393217 WLY393216:WLY393217 WVU393216:WVU393217 T458753:T458754 JI458752:JI458753 TE458752:TE458753 ADA458752:ADA458753 AMW458752:AMW458753 AWS458752:AWS458753 BGO458752:BGO458753 BQK458752:BQK458753 CAG458752:CAG458753 CKC458752:CKC458753 CTY458752:CTY458753 DDU458752:DDU458753 DNQ458752:DNQ458753 DXM458752:DXM458753 EHI458752:EHI458753 ERE458752:ERE458753 FBA458752:FBA458753 FKW458752:FKW458753 FUS458752:FUS458753 GEO458752:GEO458753 GOK458752:GOK458753 GYG458752:GYG458753 HIC458752:HIC458753 HRY458752:HRY458753 IBU458752:IBU458753 ILQ458752:ILQ458753 IVM458752:IVM458753 JFI458752:JFI458753 JPE458752:JPE458753 JZA458752:JZA458753 KIW458752:KIW458753 KSS458752:KSS458753 LCO458752:LCO458753 LMK458752:LMK458753 LWG458752:LWG458753 MGC458752:MGC458753 MPY458752:MPY458753 MZU458752:MZU458753 NJQ458752:NJQ458753 NTM458752:NTM458753 ODI458752:ODI458753 ONE458752:ONE458753 OXA458752:OXA458753 PGW458752:PGW458753 PQS458752:PQS458753 QAO458752:QAO458753 QKK458752:QKK458753 QUG458752:QUG458753 REC458752:REC458753 RNY458752:RNY458753 RXU458752:RXU458753 SHQ458752:SHQ458753 SRM458752:SRM458753 TBI458752:TBI458753 TLE458752:TLE458753 TVA458752:TVA458753 UEW458752:UEW458753 UOS458752:UOS458753 UYO458752:UYO458753 VIK458752:VIK458753 VSG458752:VSG458753 WCC458752:WCC458753 WLY458752:WLY458753 WVU458752:WVU458753 T524289:T524290 JI524288:JI524289 TE524288:TE524289 ADA524288:ADA524289 AMW524288:AMW524289 AWS524288:AWS524289 BGO524288:BGO524289 BQK524288:BQK524289 CAG524288:CAG524289 CKC524288:CKC524289 CTY524288:CTY524289 DDU524288:DDU524289 DNQ524288:DNQ524289 DXM524288:DXM524289 EHI524288:EHI524289 ERE524288:ERE524289 FBA524288:FBA524289 FKW524288:FKW524289 FUS524288:FUS524289 GEO524288:GEO524289 GOK524288:GOK524289 GYG524288:GYG524289 HIC524288:HIC524289 HRY524288:HRY524289 IBU524288:IBU524289 ILQ524288:ILQ524289 IVM524288:IVM524289 JFI524288:JFI524289 JPE524288:JPE524289 JZA524288:JZA524289 KIW524288:KIW524289 KSS524288:KSS524289 LCO524288:LCO524289 LMK524288:LMK524289 LWG524288:LWG524289 MGC524288:MGC524289 MPY524288:MPY524289 MZU524288:MZU524289 NJQ524288:NJQ524289 NTM524288:NTM524289 ODI524288:ODI524289 ONE524288:ONE524289 OXA524288:OXA524289 PGW524288:PGW524289 PQS524288:PQS524289 QAO524288:QAO524289 QKK524288:QKK524289 QUG524288:QUG524289 REC524288:REC524289 RNY524288:RNY524289 RXU524288:RXU524289 SHQ524288:SHQ524289 SRM524288:SRM524289 TBI524288:TBI524289 TLE524288:TLE524289 TVA524288:TVA524289 UEW524288:UEW524289 UOS524288:UOS524289 UYO524288:UYO524289 VIK524288:VIK524289 VSG524288:VSG524289 WCC524288:WCC524289 WLY524288:WLY524289 WVU524288:WVU524289 T589825:T589826 JI589824:JI589825 TE589824:TE589825 ADA589824:ADA589825 AMW589824:AMW589825 AWS589824:AWS589825 BGO589824:BGO589825 BQK589824:BQK589825 CAG589824:CAG589825 CKC589824:CKC589825 CTY589824:CTY589825 DDU589824:DDU589825 DNQ589824:DNQ589825 DXM589824:DXM589825 EHI589824:EHI589825 ERE589824:ERE589825 FBA589824:FBA589825 FKW589824:FKW589825 FUS589824:FUS589825 GEO589824:GEO589825 GOK589824:GOK589825 GYG589824:GYG589825 HIC589824:HIC589825 HRY589824:HRY589825 IBU589824:IBU589825 ILQ589824:ILQ589825 IVM589824:IVM589825 JFI589824:JFI589825 JPE589824:JPE589825 JZA589824:JZA589825 KIW589824:KIW589825 KSS589824:KSS589825 LCO589824:LCO589825 LMK589824:LMK589825 LWG589824:LWG589825 MGC589824:MGC589825 MPY589824:MPY589825 MZU589824:MZU589825 NJQ589824:NJQ589825 NTM589824:NTM589825 ODI589824:ODI589825 ONE589824:ONE589825 OXA589824:OXA589825 PGW589824:PGW589825 PQS589824:PQS589825 QAO589824:QAO589825 QKK589824:QKK589825 QUG589824:QUG589825 REC589824:REC589825 RNY589824:RNY589825 RXU589824:RXU589825 SHQ589824:SHQ589825 SRM589824:SRM589825 TBI589824:TBI589825 TLE589824:TLE589825 TVA589824:TVA589825 UEW589824:UEW589825 UOS589824:UOS589825 UYO589824:UYO589825 VIK589824:VIK589825 VSG589824:VSG589825 WCC589824:WCC589825 WLY589824:WLY589825 WVU589824:WVU589825 T655361:T655362 JI655360:JI655361 TE655360:TE655361 ADA655360:ADA655361 AMW655360:AMW655361 AWS655360:AWS655361 BGO655360:BGO655361 BQK655360:BQK655361 CAG655360:CAG655361 CKC655360:CKC655361 CTY655360:CTY655361 DDU655360:DDU655361 DNQ655360:DNQ655361 DXM655360:DXM655361 EHI655360:EHI655361 ERE655360:ERE655361 FBA655360:FBA655361 FKW655360:FKW655361 FUS655360:FUS655361 GEO655360:GEO655361 GOK655360:GOK655361 GYG655360:GYG655361 HIC655360:HIC655361 HRY655360:HRY655361 IBU655360:IBU655361 ILQ655360:ILQ655361 IVM655360:IVM655361 JFI655360:JFI655361 JPE655360:JPE655361 JZA655360:JZA655361 KIW655360:KIW655361 KSS655360:KSS655361 LCO655360:LCO655361 LMK655360:LMK655361 LWG655360:LWG655361 MGC655360:MGC655361 MPY655360:MPY655361 MZU655360:MZU655361 NJQ655360:NJQ655361 NTM655360:NTM655361 ODI655360:ODI655361 ONE655360:ONE655361 OXA655360:OXA655361 PGW655360:PGW655361 PQS655360:PQS655361 QAO655360:QAO655361 QKK655360:QKK655361 QUG655360:QUG655361 REC655360:REC655361 RNY655360:RNY655361 RXU655360:RXU655361 SHQ655360:SHQ655361 SRM655360:SRM655361 TBI655360:TBI655361 TLE655360:TLE655361 TVA655360:TVA655361 UEW655360:UEW655361 UOS655360:UOS655361 UYO655360:UYO655361 VIK655360:VIK655361 VSG655360:VSG655361 WCC655360:WCC655361 WLY655360:WLY655361 WVU655360:WVU655361 T720897:T720898 JI720896:JI720897 TE720896:TE720897 ADA720896:ADA720897 AMW720896:AMW720897 AWS720896:AWS720897 BGO720896:BGO720897 BQK720896:BQK720897 CAG720896:CAG720897 CKC720896:CKC720897 CTY720896:CTY720897 DDU720896:DDU720897 DNQ720896:DNQ720897 DXM720896:DXM720897 EHI720896:EHI720897 ERE720896:ERE720897 FBA720896:FBA720897 FKW720896:FKW720897 FUS720896:FUS720897 GEO720896:GEO720897 GOK720896:GOK720897 GYG720896:GYG720897 HIC720896:HIC720897 HRY720896:HRY720897 IBU720896:IBU720897 ILQ720896:ILQ720897 IVM720896:IVM720897 JFI720896:JFI720897 JPE720896:JPE720897 JZA720896:JZA720897 KIW720896:KIW720897 KSS720896:KSS720897 LCO720896:LCO720897 LMK720896:LMK720897 LWG720896:LWG720897 MGC720896:MGC720897 MPY720896:MPY720897 MZU720896:MZU720897 NJQ720896:NJQ720897 NTM720896:NTM720897 ODI720896:ODI720897 ONE720896:ONE720897 OXA720896:OXA720897 PGW720896:PGW720897 PQS720896:PQS720897 QAO720896:QAO720897 QKK720896:QKK720897 QUG720896:QUG720897 REC720896:REC720897 RNY720896:RNY720897 RXU720896:RXU720897 SHQ720896:SHQ720897 SRM720896:SRM720897 TBI720896:TBI720897 TLE720896:TLE720897 TVA720896:TVA720897 UEW720896:UEW720897 UOS720896:UOS720897 UYO720896:UYO720897 VIK720896:VIK720897 VSG720896:VSG720897 WCC720896:WCC720897 WLY720896:WLY720897 WVU720896:WVU720897 T786433:T786434 JI786432:JI786433 TE786432:TE786433 ADA786432:ADA786433 AMW786432:AMW786433 AWS786432:AWS786433 BGO786432:BGO786433 BQK786432:BQK786433 CAG786432:CAG786433 CKC786432:CKC786433 CTY786432:CTY786433 DDU786432:DDU786433 DNQ786432:DNQ786433 DXM786432:DXM786433 EHI786432:EHI786433 ERE786432:ERE786433 FBA786432:FBA786433 FKW786432:FKW786433 FUS786432:FUS786433 GEO786432:GEO786433 GOK786432:GOK786433 GYG786432:GYG786433 HIC786432:HIC786433 HRY786432:HRY786433 IBU786432:IBU786433 ILQ786432:ILQ786433 IVM786432:IVM786433 JFI786432:JFI786433 JPE786432:JPE786433 JZA786432:JZA786433 KIW786432:KIW786433 KSS786432:KSS786433 LCO786432:LCO786433 LMK786432:LMK786433 LWG786432:LWG786433 MGC786432:MGC786433 MPY786432:MPY786433 MZU786432:MZU786433 NJQ786432:NJQ786433 NTM786432:NTM786433 ODI786432:ODI786433 ONE786432:ONE786433 OXA786432:OXA786433 PGW786432:PGW786433 PQS786432:PQS786433 QAO786432:QAO786433 QKK786432:QKK786433 QUG786432:QUG786433 REC786432:REC786433 RNY786432:RNY786433 RXU786432:RXU786433 SHQ786432:SHQ786433 SRM786432:SRM786433 TBI786432:TBI786433 TLE786432:TLE786433 TVA786432:TVA786433 UEW786432:UEW786433 UOS786432:UOS786433 UYO786432:UYO786433 VIK786432:VIK786433 VSG786432:VSG786433 WCC786432:WCC786433 WLY786432:WLY786433 WVU786432:WVU786433 T851969:T851970 JI851968:JI851969 TE851968:TE851969 ADA851968:ADA851969 AMW851968:AMW851969 AWS851968:AWS851969 BGO851968:BGO851969 BQK851968:BQK851969 CAG851968:CAG851969 CKC851968:CKC851969 CTY851968:CTY851969 DDU851968:DDU851969 DNQ851968:DNQ851969 DXM851968:DXM851969 EHI851968:EHI851969 ERE851968:ERE851969 FBA851968:FBA851969 FKW851968:FKW851969 FUS851968:FUS851969 GEO851968:GEO851969 GOK851968:GOK851969 GYG851968:GYG851969 HIC851968:HIC851969 HRY851968:HRY851969 IBU851968:IBU851969 ILQ851968:ILQ851969 IVM851968:IVM851969 JFI851968:JFI851969 JPE851968:JPE851969 JZA851968:JZA851969 KIW851968:KIW851969 KSS851968:KSS851969 LCO851968:LCO851969 LMK851968:LMK851969 LWG851968:LWG851969 MGC851968:MGC851969 MPY851968:MPY851969 MZU851968:MZU851969 NJQ851968:NJQ851969 NTM851968:NTM851969 ODI851968:ODI851969 ONE851968:ONE851969 OXA851968:OXA851969 PGW851968:PGW851969 PQS851968:PQS851969 QAO851968:QAO851969 QKK851968:QKK851969 QUG851968:QUG851969 REC851968:REC851969 RNY851968:RNY851969 RXU851968:RXU851969 SHQ851968:SHQ851969 SRM851968:SRM851969 TBI851968:TBI851969 TLE851968:TLE851969 TVA851968:TVA851969 UEW851968:UEW851969 UOS851968:UOS851969 UYO851968:UYO851969 VIK851968:VIK851969 VSG851968:VSG851969 WCC851968:WCC851969 WLY851968:WLY851969 WVU851968:WVU851969 T917505:T917506 JI917504:JI917505 TE917504:TE917505 ADA917504:ADA917505 AMW917504:AMW917505 AWS917504:AWS917505 BGO917504:BGO917505 BQK917504:BQK917505 CAG917504:CAG917505 CKC917504:CKC917505 CTY917504:CTY917505 DDU917504:DDU917505 DNQ917504:DNQ917505 DXM917504:DXM917505 EHI917504:EHI917505 ERE917504:ERE917505 FBA917504:FBA917505 FKW917504:FKW917505 FUS917504:FUS917505 GEO917504:GEO917505 GOK917504:GOK917505 GYG917504:GYG917505 HIC917504:HIC917505 HRY917504:HRY917505 IBU917504:IBU917505 ILQ917504:ILQ917505 IVM917504:IVM917505 JFI917504:JFI917505 JPE917504:JPE917505 JZA917504:JZA917505 KIW917504:KIW917505 KSS917504:KSS917505 LCO917504:LCO917505 LMK917504:LMK917505 LWG917504:LWG917505 MGC917504:MGC917505 MPY917504:MPY917505 MZU917504:MZU917505 NJQ917504:NJQ917505 NTM917504:NTM917505 ODI917504:ODI917505 ONE917504:ONE917505 OXA917504:OXA917505 PGW917504:PGW917505 PQS917504:PQS917505 QAO917504:QAO917505 QKK917504:QKK917505 QUG917504:QUG917505 REC917504:REC917505 RNY917504:RNY917505 RXU917504:RXU917505 SHQ917504:SHQ917505 SRM917504:SRM917505 TBI917504:TBI917505 TLE917504:TLE917505 TVA917504:TVA917505 UEW917504:UEW917505 UOS917504:UOS917505 UYO917504:UYO917505 VIK917504:VIK917505 VSG917504:VSG917505 WCC917504:WCC917505 WLY917504:WLY917505 WVU917504:WVU917505 T983041:T983042 JI983040:JI983041 TE983040:TE983041 ADA983040:ADA983041 AMW983040:AMW983041 AWS983040:AWS983041 BGO983040:BGO983041 BQK983040:BQK983041 CAG983040:CAG983041 CKC983040:CKC983041 CTY983040:CTY983041 DDU983040:DDU983041 DNQ983040:DNQ983041 DXM983040:DXM983041 EHI983040:EHI983041 ERE983040:ERE983041 FBA983040:FBA983041 FKW983040:FKW983041 FUS983040:FUS983041 GEO983040:GEO983041 GOK983040:GOK983041 GYG983040:GYG983041 HIC983040:HIC983041 HRY983040:HRY983041 IBU983040:IBU983041 ILQ983040:ILQ983041 IVM983040:IVM983041 JFI983040:JFI983041 JPE983040:JPE983041 JZA983040:JZA983041 KIW983040:KIW983041 KSS983040:KSS983041 LCO983040:LCO983041 LMK983040:LMK983041 LWG983040:LWG983041 MGC983040:MGC983041 MPY983040:MPY983041 MZU983040:MZU983041 NJQ983040:NJQ983041 NTM983040:NTM983041 ODI983040:ODI983041 ONE983040:ONE983041 OXA983040:OXA983041 PGW983040:PGW983041 PQS983040:PQS983041 QAO983040:QAO983041 QKK983040:QKK983041 QUG983040:QUG983041 REC983040:REC983041 RNY983040:RNY983041 RXU983040:RXU983041 SHQ983040:SHQ983041 SRM983040:SRM983041 TBI983040:TBI983041 TLE983040:TLE983041 TVA983040:TVA983041 UEW983040:UEW983041 UOS983040:UOS983041 UYO983040:UYO983041 VIK983040:VIK983041 VSG983040:VSG983041 WCC983040:WCC983041 WLY983040:WLY983041 WVU983040:WVU983041 V65537:V65538 JL65536:JL65537 TH65536:TH65537 ADD65536:ADD65537 AMZ65536:AMZ65537 AWV65536:AWV65537 BGR65536:BGR65537 BQN65536:BQN65537 CAJ65536:CAJ65537 CKF65536:CKF65537 CUB65536:CUB65537 DDX65536:DDX65537 DNT65536:DNT65537 DXP65536:DXP65537 EHL65536:EHL65537 ERH65536:ERH65537 FBD65536:FBD65537 FKZ65536:FKZ65537 FUV65536:FUV65537 GER65536:GER65537 GON65536:GON65537 GYJ65536:GYJ65537 HIF65536:HIF65537 HSB65536:HSB65537 IBX65536:IBX65537 ILT65536:ILT65537 IVP65536:IVP65537 JFL65536:JFL65537 JPH65536:JPH65537 JZD65536:JZD65537 KIZ65536:KIZ65537 KSV65536:KSV65537 LCR65536:LCR65537 LMN65536:LMN65537 LWJ65536:LWJ65537 MGF65536:MGF65537 MQB65536:MQB65537 MZX65536:MZX65537 NJT65536:NJT65537 NTP65536:NTP65537 ODL65536:ODL65537 ONH65536:ONH65537 OXD65536:OXD65537 PGZ65536:PGZ65537 PQV65536:PQV65537 QAR65536:QAR65537 QKN65536:QKN65537 QUJ65536:QUJ65537 REF65536:REF65537 ROB65536:ROB65537 RXX65536:RXX65537 SHT65536:SHT65537 SRP65536:SRP65537 TBL65536:TBL65537 TLH65536:TLH65537 TVD65536:TVD65537 UEZ65536:UEZ65537 UOV65536:UOV65537 UYR65536:UYR65537 VIN65536:VIN65537 VSJ65536:VSJ65537 WCF65536:WCF65537 WMB65536:WMB65537 WVX65536:WVX65537 V131073:V131074 JL131072:JL131073 TH131072:TH131073 ADD131072:ADD131073 AMZ131072:AMZ131073 AWV131072:AWV131073 BGR131072:BGR131073 BQN131072:BQN131073 CAJ131072:CAJ131073 CKF131072:CKF131073 CUB131072:CUB131073 DDX131072:DDX131073 DNT131072:DNT131073 DXP131072:DXP131073 EHL131072:EHL131073 ERH131072:ERH131073 FBD131072:FBD131073 FKZ131072:FKZ131073 FUV131072:FUV131073 GER131072:GER131073 GON131072:GON131073 GYJ131072:GYJ131073 HIF131072:HIF131073 HSB131072:HSB131073 IBX131072:IBX131073 ILT131072:ILT131073 IVP131072:IVP131073 JFL131072:JFL131073 JPH131072:JPH131073 JZD131072:JZD131073 KIZ131072:KIZ131073 KSV131072:KSV131073 LCR131072:LCR131073 LMN131072:LMN131073 LWJ131072:LWJ131073 MGF131072:MGF131073 MQB131072:MQB131073 MZX131072:MZX131073 NJT131072:NJT131073 NTP131072:NTP131073 ODL131072:ODL131073 ONH131072:ONH131073 OXD131072:OXD131073 PGZ131072:PGZ131073 PQV131072:PQV131073 QAR131072:QAR131073 QKN131072:QKN131073 QUJ131072:QUJ131073 REF131072:REF131073 ROB131072:ROB131073 RXX131072:RXX131073 SHT131072:SHT131073 SRP131072:SRP131073 TBL131072:TBL131073 TLH131072:TLH131073 TVD131072:TVD131073 UEZ131072:UEZ131073 UOV131072:UOV131073 UYR131072:UYR131073 VIN131072:VIN131073 VSJ131072:VSJ131073 WCF131072:WCF131073 WMB131072:WMB131073 WVX131072:WVX131073 V196609:V196610 JL196608:JL196609 TH196608:TH196609 ADD196608:ADD196609 AMZ196608:AMZ196609 AWV196608:AWV196609 BGR196608:BGR196609 BQN196608:BQN196609 CAJ196608:CAJ196609 CKF196608:CKF196609 CUB196608:CUB196609 DDX196608:DDX196609 DNT196608:DNT196609 DXP196608:DXP196609 EHL196608:EHL196609 ERH196608:ERH196609 FBD196608:FBD196609 FKZ196608:FKZ196609 FUV196608:FUV196609 GER196608:GER196609 GON196608:GON196609 GYJ196608:GYJ196609 HIF196608:HIF196609 HSB196608:HSB196609 IBX196608:IBX196609 ILT196608:ILT196609 IVP196608:IVP196609 JFL196608:JFL196609 JPH196608:JPH196609 JZD196608:JZD196609 KIZ196608:KIZ196609 KSV196608:KSV196609 LCR196608:LCR196609 LMN196608:LMN196609 LWJ196608:LWJ196609 MGF196608:MGF196609 MQB196608:MQB196609 MZX196608:MZX196609 NJT196608:NJT196609 NTP196608:NTP196609 ODL196608:ODL196609 ONH196608:ONH196609 OXD196608:OXD196609 PGZ196608:PGZ196609 PQV196608:PQV196609 QAR196608:QAR196609 QKN196608:QKN196609 QUJ196608:QUJ196609 REF196608:REF196609 ROB196608:ROB196609 RXX196608:RXX196609 SHT196608:SHT196609 SRP196608:SRP196609 TBL196608:TBL196609 TLH196608:TLH196609 TVD196608:TVD196609 UEZ196608:UEZ196609 UOV196608:UOV196609 UYR196608:UYR196609 VIN196608:VIN196609 VSJ196608:VSJ196609 WCF196608:WCF196609 WMB196608:WMB196609 WVX196608:WVX196609 V262145:V262146 JL262144:JL262145 TH262144:TH262145 ADD262144:ADD262145 AMZ262144:AMZ262145 AWV262144:AWV262145 BGR262144:BGR262145 BQN262144:BQN262145 CAJ262144:CAJ262145 CKF262144:CKF262145 CUB262144:CUB262145 DDX262144:DDX262145 DNT262144:DNT262145 DXP262144:DXP262145 EHL262144:EHL262145 ERH262144:ERH262145 FBD262144:FBD262145 FKZ262144:FKZ262145 FUV262144:FUV262145 GER262144:GER262145 GON262144:GON262145 GYJ262144:GYJ262145 HIF262144:HIF262145 HSB262144:HSB262145 IBX262144:IBX262145 ILT262144:ILT262145 IVP262144:IVP262145 JFL262144:JFL262145 JPH262144:JPH262145 JZD262144:JZD262145 KIZ262144:KIZ262145 KSV262144:KSV262145 LCR262144:LCR262145 LMN262144:LMN262145 LWJ262144:LWJ262145 MGF262144:MGF262145 MQB262144:MQB262145 MZX262144:MZX262145 NJT262144:NJT262145 NTP262144:NTP262145 ODL262144:ODL262145 ONH262144:ONH262145 OXD262144:OXD262145 PGZ262144:PGZ262145 PQV262144:PQV262145 QAR262144:QAR262145 QKN262144:QKN262145 QUJ262144:QUJ262145 REF262144:REF262145 ROB262144:ROB262145 RXX262144:RXX262145 SHT262144:SHT262145 SRP262144:SRP262145 TBL262144:TBL262145 TLH262144:TLH262145 TVD262144:TVD262145 UEZ262144:UEZ262145 UOV262144:UOV262145 UYR262144:UYR262145 VIN262144:VIN262145 VSJ262144:VSJ262145 WCF262144:WCF262145 WMB262144:WMB262145 WVX262144:WVX262145 V327681:V327682 JL327680:JL327681 TH327680:TH327681 ADD327680:ADD327681 AMZ327680:AMZ327681 AWV327680:AWV327681 BGR327680:BGR327681 BQN327680:BQN327681 CAJ327680:CAJ327681 CKF327680:CKF327681 CUB327680:CUB327681 DDX327680:DDX327681 DNT327680:DNT327681 DXP327680:DXP327681 EHL327680:EHL327681 ERH327680:ERH327681 FBD327680:FBD327681 FKZ327680:FKZ327681 FUV327680:FUV327681 GER327680:GER327681 GON327680:GON327681 GYJ327680:GYJ327681 HIF327680:HIF327681 HSB327680:HSB327681 IBX327680:IBX327681 ILT327680:ILT327681 IVP327680:IVP327681 JFL327680:JFL327681 JPH327680:JPH327681 JZD327680:JZD327681 KIZ327680:KIZ327681 KSV327680:KSV327681 LCR327680:LCR327681 LMN327680:LMN327681 LWJ327680:LWJ327681 MGF327680:MGF327681 MQB327680:MQB327681 MZX327680:MZX327681 NJT327680:NJT327681 NTP327680:NTP327681 ODL327680:ODL327681 ONH327680:ONH327681 OXD327680:OXD327681 PGZ327680:PGZ327681 PQV327680:PQV327681 QAR327680:QAR327681 QKN327680:QKN327681 QUJ327680:QUJ327681 REF327680:REF327681 ROB327680:ROB327681 RXX327680:RXX327681 SHT327680:SHT327681 SRP327680:SRP327681 TBL327680:TBL327681 TLH327680:TLH327681 TVD327680:TVD327681 UEZ327680:UEZ327681 UOV327680:UOV327681 UYR327680:UYR327681 VIN327680:VIN327681 VSJ327680:VSJ327681 WCF327680:WCF327681 WMB327680:WMB327681 WVX327680:WVX327681 V393217:V393218 JL393216:JL393217 TH393216:TH393217 ADD393216:ADD393217 AMZ393216:AMZ393217 AWV393216:AWV393217 BGR393216:BGR393217 BQN393216:BQN393217 CAJ393216:CAJ393217 CKF393216:CKF393217 CUB393216:CUB393217 DDX393216:DDX393217 DNT393216:DNT393217 DXP393216:DXP393217 EHL393216:EHL393217 ERH393216:ERH393217 FBD393216:FBD393217 FKZ393216:FKZ393217 FUV393216:FUV393217 GER393216:GER393217 GON393216:GON393217 GYJ393216:GYJ393217 HIF393216:HIF393217 HSB393216:HSB393217 IBX393216:IBX393217 ILT393216:ILT393217 IVP393216:IVP393217 JFL393216:JFL393217 JPH393216:JPH393217 JZD393216:JZD393217 KIZ393216:KIZ393217 KSV393216:KSV393217 LCR393216:LCR393217 LMN393216:LMN393217 LWJ393216:LWJ393217 MGF393216:MGF393217 MQB393216:MQB393217 MZX393216:MZX393217 NJT393216:NJT393217 NTP393216:NTP393217 ODL393216:ODL393217 ONH393216:ONH393217 OXD393216:OXD393217 PGZ393216:PGZ393217 PQV393216:PQV393217 QAR393216:QAR393217 QKN393216:QKN393217 QUJ393216:QUJ393217 REF393216:REF393217 ROB393216:ROB393217 RXX393216:RXX393217 SHT393216:SHT393217 SRP393216:SRP393217 TBL393216:TBL393217 TLH393216:TLH393217 TVD393216:TVD393217 UEZ393216:UEZ393217 UOV393216:UOV393217 UYR393216:UYR393217 VIN393216:VIN393217 VSJ393216:VSJ393217 WCF393216:WCF393217 WMB393216:WMB393217 WVX393216:WVX393217 V458753:V458754 JL458752:JL458753 TH458752:TH458753 ADD458752:ADD458753 AMZ458752:AMZ458753 AWV458752:AWV458753 BGR458752:BGR458753 BQN458752:BQN458753 CAJ458752:CAJ458753 CKF458752:CKF458753 CUB458752:CUB458753 DDX458752:DDX458753 DNT458752:DNT458753 DXP458752:DXP458753 EHL458752:EHL458753 ERH458752:ERH458753 FBD458752:FBD458753 FKZ458752:FKZ458753 FUV458752:FUV458753 GER458752:GER458753 GON458752:GON458753 GYJ458752:GYJ458753 HIF458752:HIF458753 HSB458752:HSB458753 IBX458752:IBX458753 ILT458752:ILT458753 IVP458752:IVP458753 JFL458752:JFL458753 JPH458752:JPH458753 JZD458752:JZD458753 KIZ458752:KIZ458753 KSV458752:KSV458753 LCR458752:LCR458753 LMN458752:LMN458753 LWJ458752:LWJ458753 MGF458752:MGF458753 MQB458752:MQB458753 MZX458752:MZX458753 NJT458752:NJT458753 NTP458752:NTP458753 ODL458752:ODL458753 ONH458752:ONH458753 OXD458752:OXD458753 PGZ458752:PGZ458753 PQV458752:PQV458753 QAR458752:QAR458753 QKN458752:QKN458753 QUJ458752:QUJ458753 REF458752:REF458753 ROB458752:ROB458753 RXX458752:RXX458753 SHT458752:SHT458753 SRP458752:SRP458753 TBL458752:TBL458753 TLH458752:TLH458753 TVD458752:TVD458753 UEZ458752:UEZ458753 UOV458752:UOV458753 UYR458752:UYR458753 VIN458752:VIN458753 VSJ458752:VSJ458753 WCF458752:WCF458753 WMB458752:WMB458753 WVX458752:WVX458753 V524289:V524290 JL524288:JL524289 TH524288:TH524289 ADD524288:ADD524289 AMZ524288:AMZ524289 AWV524288:AWV524289 BGR524288:BGR524289 BQN524288:BQN524289 CAJ524288:CAJ524289 CKF524288:CKF524289 CUB524288:CUB524289 DDX524288:DDX524289 DNT524288:DNT524289 DXP524288:DXP524289 EHL524288:EHL524289 ERH524288:ERH524289 FBD524288:FBD524289 FKZ524288:FKZ524289 FUV524288:FUV524289 GER524288:GER524289 GON524288:GON524289 GYJ524288:GYJ524289 HIF524288:HIF524289 HSB524288:HSB524289 IBX524288:IBX524289 ILT524288:ILT524289 IVP524288:IVP524289 JFL524288:JFL524289 JPH524288:JPH524289 JZD524288:JZD524289 KIZ524288:KIZ524289 KSV524288:KSV524289 LCR524288:LCR524289 LMN524288:LMN524289 LWJ524288:LWJ524289 MGF524288:MGF524289 MQB524288:MQB524289 MZX524288:MZX524289 NJT524288:NJT524289 NTP524288:NTP524289 ODL524288:ODL524289 ONH524288:ONH524289 OXD524288:OXD524289 PGZ524288:PGZ524289 PQV524288:PQV524289 QAR524288:QAR524289 QKN524288:QKN524289 QUJ524288:QUJ524289 REF524288:REF524289 ROB524288:ROB524289 RXX524288:RXX524289 SHT524288:SHT524289 SRP524288:SRP524289 TBL524288:TBL524289 TLH524288:TLH524289 TVD524288:TVD524289 UEZ524288:UEZ524289 UOV524288:UOV524289 UYR524288:UYR524289 VIN524288:VIN524289 VSJ524288:VSJ524289 WCF524288:WCF524289 WMB524288:WMB524289 WVX524288:WVX524289 V589825:V589826 JL589824:JL589825 TH589824:TH589825 ADD589824:ADD589825 AMZ589824:AMZ589825 AWV589824:AWV589825 BGR589824:BGR589825 BQN589824:BQN589825 CAJ589824:CAJ589825 CKF589824:CKF589825 CUB589824:CUB589825 DDX589824:DDX589825 DNT589824:DNT589825 DXP589824:DXP589825 EHL589824:EHL589825 ERH589824:ERH589825 FBD589824:FBD589825 FKZ589824:FKZ589825 FUV589824:FUV589825 GER589824:GER589825 GON589824:GON589825 GYJ589824:GYJ589825 HIF589824:HIF589825 HSB589824:HSB589825 IBX589824:IBX589825 ILT589824:ILT589825 IVP589824:IVP589825 JFL589824:JFL589825 JPH589824:JPH589825 JZD589824:JZD589825 KIZ589824:KIZ589825 KSV589824:KSV589825 LCR589824:LCR589825 LMN589824:LMN589825 LWJ589824:LWJ589825 MGF589824:MGF589825 MQB589824:MQB589825 MZX589824:MZX589825 NJT589824:NJT589825 NTP589824:NTP589825 ODL589824:ODL589825 ONH589824:ONH589825 OXD589824:OXD589825 PGZ589824:PGZ589825 PQV589824:PQV589825 QAR589824:QAR589825 QKN589824:QKN589825 QUJ589824:QUJ589825 REF589824:REF589825 ROB589824:ROB589825 RXX589824:RXX589825 SHT589824:SHT589825 SRP589824:SRP589825 TBL589824:TBL589825 TLH589824:TLH589825 TVD589824:TVD589825 UEZ589824:UEZ589825 UOV589824:UOV589825 UYR589824:UYR589825 VIN589824:VIN589825 VSJ589824:VSJ589825 WCF589824:WCF589825 WMB589824:WMB589825 WVX589824:WVX589825 V655361:V655362 JL655360:JL655361 TH655360:TH655361 ADD655360:ADD655361 AMZ655360:AMZ655361 AWV655360:AWV655361 BGR655360:BGR655361 BQN655360:BQN655361 CAJ655360:CAJ655361 CKF655360:CKF655361 CUB655360:CUB655361 DDX655360:DDX655361 DNT655360:DNT655361 DXP655360:DXP655361 EHL655360:EHL655361 ERH655360:ERH655361 FBD655360:FBD655361 FKZ655360:FKZ655361 FUV655360:FUV655361 GER655360:GER655361 GON655360:GON655361 GYJ655360:GYJ655361 HIF655360:HIF655361 HSB655360:HSB655361 IBX655360:IBX655361 ILT655360:ILT655361 IVP655360:IVP655361 JFL655360:JFL655361 JPH655360:JPH655361 JZD655360:JZD655361 KIZ655360:KIZ655361 KSV655360:KSV655361 LCR655360:LCR655361 LMN655360:LMN655361 LWJ655360:LWJ655361 MGF655360:MGF655361 MQB655360:MQB655361 MZX655360:MZX655361 NJT655360:NJT655361 NTP655360:NTP655361 ODL655360:ODL655361 ONH655360:ONH655361 OXD655360:OXD655361 PGZ655360:PGZ655361 PQV655360:PQV655361 QAR655360:QAR655361 QKN655360:QKN655361 QUJ655360:QUJ655361 REF655360:REF655361 ROB655360:ROB655361 RXX655360:RXX655361 SHT655360:SHT655361 SRP655360:SRP655361 TBL655360:TBL655361 TLH655360:TLH655361 TVD655360:TVD655361 UEZ655360:UEZ655361 UOV655360:UOV655361 UYR655360:UYR655361 VIN655360:VIN655361 VSJ655360:VSJ655361 WCF655360:WCF655361 WMB655360:WMB655361 WVX655360:WVX655361 V720897:V720898 JL720896:JL720897 TH720896:TH720897 ADD720896:ADD720897 AMZ720896:AMZ720897 AWV720896:AWV720897 BGR720896:BGR720897 BQN720896:BQN720897 CAJ720896:CAJ720897 CKF720896:CKF720897 CUB720896:CUB720897 DDX720896:DDX720897 DNT720896:DNT720897 DXP720896:DXP720897 EHL720896:EHL720897 ERH720896:ERH720897 FBD720896:FBD720897 FKZ720896:FKZ720897 FUV720896:FUV720897 GER720896:GER720897 GON720896:GON720897 GYJ720896:GYJ720897 HIF720896:HIF720897 HSB720896:HSB720897 IBX720896:IBX720897 ILT720896:ILT720897 IVP720896:IVP720897 JFL720896:JFL720897 JPH720896:JPH720897 JZD720896:JZD720897 KIZ720896:KIZ720897 KSV720896:KSV720897 LCR720896:LCR720897 LMN720896:LMN720897 LWJ720896:LWJ720897 MGF720896:MGF720897 MQB720896:MQB720897 MZX720896:MZX720897 NJT720896:NJT720897 NTP720896:NTP720897 ODL720896:ODL720897 ONH720896:ONH720897 OXD720896:OXD720897 PGZ720896:PGZ720897 PQV720896:PQV720897 QAR720896:QAR720897 QKN720896:QKN720897 QUJ720896:QUJ720897 REF720896:REF720897 ROB720896:ROB720897 RXX720896:RXX720897 SHT720896:SHT720897 SRP720896:SRP720897 TBL720896:TBL720897 TLH720896:TLH720897 TVD720896:TVD720897 UEZ720896:UEZ720897 UOV720896:UOV720897 UYR720896:UYR720897 VIN720896:VIN720897 VSJ720896:VSJ720897 WCF720896:WCF720897 WMB720896:WMB720897 WVX720896:WVX720897 V786433:V786434 JL786432:JL786433 TH786432:TH786433 ADD786432:ADD786433 AMZ786432:AMZ786433 AWV786432:AWV786433 BGR786432:BGR786433 BQN786432:BQN786433 CAJ786432:CAJ786433 CKF786432:CKF786433 CUB786432:CUB786433 DDX786432:DDX786433 DNT786432:DNT786433 DXP786432:DXP786433 EHL786432:EHL786433 ERH786432:ERH786433 FBD786432:FBD786433 FKZ786432:FKZ786433 FUV786432:FUV786433 GER786432:GER786433 GON786432:GON786433 GYJ786432:GYJ786433 HIF786432:HIF786433 HSB786432:HSB786433 IBX786432:IBX786433 ILT786432:ILT786433 IVP786432:IVP786433 JFL786432:JFL786433 JPH786432:JPH786433 JZD786432:JZD786433 KIZ786432:KIZ786433 KSV786432:KSV786433 LCR786432:LCR786433 LMN786432:LMN786433 LWJ786432:LWJ786433 MGF786432:MGF786433 MQB786432:MQB786433 MZX786432:MZX786433 NJT786432:NJT786433 NTP786432:NTP786433 ODL786432:ODL786433 ONH786432:ONH786433 OXD786432:OXD786433 PGZ786432:PGZ786433 PQV786432:PQV786433 QAR786432:QAR786433 QKN786432:QKN786433 QUJ786432:QUJ786433 REF786432:REF786433 ROB786432:ROB786433 RXX786432:RXX786433 SHT786432:SHT786433 SRP786432:SRP786433 TBL786432:TBL786433 TLH786432:TLH786433 TVD786432:TVD786433 UEZ786432:UEZ786433 UOV786432:UOV786433 UYR786432:UYR786433 VIN786432:VIN786433 VSJ786432:VSJ786433 WCF786432:WCF786433 WMB786432:WMB786433 WVX786432:WVX786433 V851969:V851970 JL851968:JL851969 TH851968:TH851969 ADD851968:ADD851969 AMZ851968:AMZ851969 AWV851968:AWV851969 BGR851968:BGR851969 BQN851968:BQN851969 CAJ851968:CAJ851969 CKF851968:CKF851969 CUB851968:CUB851969 DDX851968:DDX851969 DNT851968:DNT851969 DXP851968:DXP851969 EHL851968:EHL851969 ERH851968:ERH851969 FBD851968:FBD851969 FKZ851968:FKZ851969 FUV851968:FUV851969 GER851968:GER851969 GON851968:GON851969 GYJ851968:GYJ851969 HIF851968:HIF851969 HSB851968:HSB851969 IBX851968:IBX851969 ILT851968:ILT851969 IVP851968:IVP851969 JFL851968:JFL851969 JPH851968:JPH851969 JZD851968:JZD851969 KIZ851968:KIZ851969 KSV851968:KSV851969 LCR851968:LCR851969 LMN851968:LMN851969 LWJ851968:LWJ851969 MGF851968:MGF851969 MQB851968:MQB851969 MZX851968:MZX851969 NJT851968:NJT851969 NTP851968:NTP851969 ODL851968:ODL851969 ONH851968:ONH851969 OXD851968:OXD851969 PGZ851968:PGZ851969 PQV851968:PQV851969 QAR851968:QAR851969 QKN851968:QKN851969 QUJ851968:QUJ851969 REF851968:REF851969 ROB851968:ROB851969 RXX851968:RXX851969 SHT851968:SHT851969 SRP851968:SRP851969 TBL851968:TBL851969 TLH851968:TLH851969 TVD851968:TVD851969 UEZ851968:UEZ851969 UOV851968:UOV851969 UYR851968:UYR851969 VIN851968:VIN851969 VSJ851968:VSJ851969 WCF851968:WCF851969 WMB851968:WMB851969 WVX851968:WVX851969 V917505:V917506 JL917504:JL917505 TH917504:TH917505 ADD917504:ADD917505 AMZ917504:AMZ917505 AWV917504:AWV917505 BGR917504:BGR917505 BQN917504:BQN917505 CAJ917504:CAJ917505 CKF917504:CKF917505 CUB917504:CUB917505 DDX917504:DDX917505 DNT917504:DNT917505 DXP917504:DXP917505 EHL917504:EHL917505 ERH917504:ERH917505 FBD917504:FBD917505 FKZ917504:FKZ917505 FUV917504:FUV917505 GER917504:GER917505 GON917504:GON917505 GYJ917504:GYJ917505 HIF917504:HIF917505 HSB917504:HSB917505 IBX917504:IBX917505 ILT917504:ILT917505 IVP917504:IVP917505 JFL917504:JFL917505 JPH917504:JPH917505 JZD917504:JZD917505 KIZ917504:KIZ917505 KSV917504:KSV917505 LCR917504:LCR917505 LMN917504:LMN917505 LWJ917504:LWJ917505 MGF917504:MGF917505 MQB917504:MQB917505 MZX917504:MZX917505 NJT917504:NJT917505 NTP917504:NTP917505 ODL917504:ODL917505 ONH917504:ONH917505 OXD917504:OXD917505 PGZ917504:PGZ917505 PQV917504:PQV917505 QAR917504:QAR917505 QKN917504:QKN917505 QUJ917504:QUJ917505 REF917504:REF917505 ROB917504:ROB917505 RXX917504:RXX917505 SHT917504:SHT917505 SRP917504:SRP917505 TBL917504:TBL917505 TLH917504:TLH917505 TVD917504:TVD917505 UEZ917504:UEZ917505 UOV917504:UOV917505 UYR917504:UYR917505 VIN917504:VIN917505 VSJ917504:VSJ917505 WCF917504:WCF917505 WMB917504:WMB917505 WVX917504:WVX917505 V983041:V983042 JL983040:JL983041 TH983040:TH983041 ADD983040:ADD983041 AMZ983040:AMZ983041 AWV983040:AWV983041 BGR983040:BGR983041 BQN983040:BQN983041 CAJ983040:CAJ983041 CKF983040:CKF983041 CUB983040:CUB983041 DDX983040:DDX983041 DNT983040:DNT983041 DXP983040:DXP983041 EHL983040:EHL983041 ERH983040:ERH983041 FBD983040:FBD983041 FKZ983040:FKZ983041 FUV983040:FUV983041 GER983040:GER983041 GON983040:GON983041 GYJ983040:GYJ983041 HIF983040:HIF983041 HSB983040:HSB983041 IBX983040:IBX983041 ILT983040:ILT983041 IVP983040:IVP983041 JFL983040:JFL983041 JPH983040:JPH983041 JZD983040:JZD983041 KIZ983040:KIZ983041 KSV983040:KSV983041 LCR983040:LCR983041 LMN983040:LMN983041 LWJ983040:LWJ983041 MGF983040:MGF983041 MQB983040:MQB983041 MZX983040:MZX983041 NJT983040:NJT983041 NTP983040:NTP983041 ODL983040:ODL983041 ONH983040:ONH983041 OXD983040:OXD983041 PGZ983040:PGZ983041 PQV983040:PQV983041 QAR983040:QAR983041 QKN983040:QKN983041 QUJ983040:QUJ983041 REF983040:REF983041 ROB983040:ROB983041 RXX983040:RXX983041 SHT983040:SHT983041 SRP983040:SRP983041 TBL983040:TBL983041 TLH983040:TLH983041 TVD983040:TVD983041 UEZ983040:UEZ983041 UOV983040:UOV983041 UYR983040:UYR983041 VIN983040:VIN983041 VSJ983040:VSJ983041 WCF983040:WCF983041 WMB983040:WMB983041 WVX983040:WVX983041 X65536:X65537 JO65536:JO65537 TK65536:TK65537 ADG65536:ADG65537 ANC65536:ANC65537 AWY65536:AWY65537 BGU65536:BGU65537 BQQ65536:BQQ65537 CAM65536:CAM65537 CKI65536:CKI65537 CUE65536:CUE65537 DEA65536:DEA65537 DNW65536:DNW65537 DXS65536:DXS65537 EHO65536:EHO65537 ERK65536:ERK65537 FBG65536:FBG65537 FLC65536:FLC65537 FUY65536:FUY65537 GEU65536:GEU65537 GOQ65536:GOQ65537 GYM65536:GYM65537 HII65536:HII65537 HSE65536:HSE65537 ICA65536:ICA65537 ILW65536:ILW65537 IVS65536:IVS65537 JFO65536:JFO65537 JPK65536:JPK65537 JZG65536:JZG65537 KJC65536:KJC65537 KSY65536:KSY65537 LCU65536:LCU65537 LMQ65536:LMQ65537 LWM65536:LWM65537 MGI65536:MGI65537 MQE65536:MQE65537 NAA65536:NAA65537 NJW65536:NJW65537 NTS65536:NTS65537 ODO65536:ODO65537 ONK65536:ONK65537 OXG65536:OXG65537 PHC65536:PHC65537 PQY65536:PQY65537 QAU65536:QAU65537 QKQ65536:QKQ65537 QUM65536:QUM65537 REI65536:REI65537 ROE65536:ROE65537 RYA65536:RYA65537 SHW65536:SHW65537 SRS65536:SRS65537 TBO65536:TBO65537 TLK65536:TLK65537 TVG65536:TVG65537 UFC65536:UFC65537 UOY65536:UOY65537 UYU65536:UYU65537 VIQ65536:VIQ65537 VSM65536:VSM65537 WCI65536:WCI65537 WME65536:WME65537 WWA65536:WWA65537 X131072:X131073 JO131072:JO131073 TK131072:TK131073 ADG131072:ADG131073 ANC131072:ANC131073 AWY131072:AWY131073 BGU131072:BGU131073 BQQ131072:BQQ131073 CAM131072:CAM131073 CKI131072:CKI131073 CUE131072:CUE131073 DEA131072:DEA131073 DNW131072:DNW131073 DXS131072:DXS131073 EHO131072:EHO131073 ERK131072:ERK131073 FBG131072:FBG131073 FLC131072:FLC131073 FUY131072:FUY131073 GEU131072:GEU131073 GOQ131072:GOQ131073 GYM131072:GYM131073 HII131072:HII131073 HSE131072:HSE131073 ICA131072:ICA131073 ILW131072:ILW131073 IVS131072:IVS131073 JFO131072:JFO131073 JPK131072:JPK131073 JZG131072:JZG131073 KJC131072:KJC131073 KSY131072:KSY131073 LCU131072:LCU131073 LMQ131072:LMQ131073 LWM131072:LWM131073 MGI131072:MGI131073 MQE131072:MQE131073 NAA131072:NAA131073 NJW131072:NJW131073 NTS131072:NTS131073 ODO131072:ODO131073 ONK131072:ONK131073 OXG131072:OXG131073 PHC131072:PHC131073 PQY131072:PQY131073 QAU131072:QAU131073 QKQ131072:QKQ131073 QUM131072:QUM131073 REI131072:REI131073 ROE131072:ROE131073 RYA131072:RYA131073 SHW131072:SHW131073 SRS131072:SRS131073 TBO131072:TBO131073 TLK131072:TLK131073 TVG131072:TVG131073 UFC131072:UFC131073 UOY131072:UOY131073 UYU131072:UYU131073 VIQ131072:VIQ131073 VSM131072:VSM131073 WCI131072:WCI131073 WME131072:WME131073 WWA131072:WWA131073 X196608:X196609 JO196608:JO196609 TK196608:TK196609 ADG196608:ADG196609 ANC196608:ANC196609 AWY196608:AWY196609 BGU196608:BGU196609 BQQ196608:BQQ196609 CAM196608:CAM196609 CKI196608:CKI196609 CUE196608:CUE196609 DEA196608:DEA196609 DNW196608:DNW196609 DXS196608:DXS196609 EHO196608:EHO196609 ERK196608:ERK196609 FBG196608:FBG196609 FLC196608:FLC196609 FUY196608:FUY196609 GEU196608:GEU196609 GOQ196608:GOQ196609 GYM196608:GYM196609 HII196608:HII196609 HSE196608:HSE196609 ICA196608:ICA196609 ILW196608:ILW196609 IVS196608:IVS196609 JFO196608:JFO196609 JPK196608:JPK196609 JZG196608:JZG196609 KJC196608:KJC196609 KSY196608:KSY196609 LCU196608:LCU196609 LMQ196608:LMQ196609 LWM196608:LWM196609 MGI196608:MGI196609 MQE196608:MQE196609 NAA196608:NAA196609 NJW196608:NJW196609 NTS196608:NTS196609 ODO196608:ODO196609 ONK196608:ONK196609 OXG196608:OXG196609 PHC196608:PHC196609 PQY196608:PQY196609 QAU196608:QAU196609 QKQ196608:QKQ196609 QUM196608:QUM196609 REI196608:REI196609 ROE196608:ROE196609 RYA196608:RYA196609 SHW196608:SHW196609 SRS196608:SRS196609 TBO196608:TBO196609 TLK196608:TLK196609 TVG196608:TVG196609 UFC196608:UFC196609 UOY196608:UOY196609 UYU196608:UYU196609 VIQ196608:VIQ196609 VSM196608:VSM196609 WCI196608:WCI196609 WME196608:WME196609 WWA196608:WWA196609 X262144:X262145 JO262144:JO262145 TK262144:TK262145 ADG262144:ADG262145 ANC262144:ANC262145 AWY262144:AWY262145 BGU262144:BGU262145 BQQ262144:BQQ262145 CAM262144:CAM262145 CKI262144:CKI262145 CUE262144:CUE262145 DEA262144:DEA262145 DNW262144:DNW262145 DXS262144:DXS262145 EHO262144:EHO262145 ERK262144:ERK262145 FBG262144:FBG262145 FLC262144:FLC262145 FUY262144:FUY262145 GEU262144:GEU262145 GOQ262144:GOQ262145 GYM262144:GYM262145 HII262144:HII262145 HSE262144:HSE262145 ICA262144:ICA262145 ILW262144:ILW262145 IVS262144:IVS262145 JFO262144:JFO262145 JPK262144:JPK262145 JZG262144:JZG262145 KJC262144:KJC262145 KSY262144:KSY262145 LCU262144:LCU262145 LMQ262144:LMQ262145 LWM262144:LWM262145 MGI262144:MGI262145 MQE262144:MQE262145 NAA262144:NAA262145 NJW262144:NJW262145 NTS262144:NTS262145 ODO262144:ODO262145 ONK262144:ONK262145 OXG262144:OXG262145 PHC262144:PHC262145 PQY262144:PQY262145 QAU262144:QAU262145 QKQ262144:QKQ262145 QUM262144:QUM262145 REI262144:REI262145 ROE262144:ROE262145 RYA262144:RYA262145 SHW262144:SHW262145 SRS262144:SRS262145 TBO262144:TBO262145 TLK262144:TLK262145 TVG262144:TVG262145 UFC262144:UFC262145 UOY262144:UOY262145 UYU262144:UYU262145 VIQ262144:VIQ262145 VSM262144:VSM262145 WCI262144:WCI262145 WME262144:WME262145 WWA262144:WWA262145 X327680:X327681 JO327680:JO327681 TK327680:TK327681 ADG327680:ADG327681 ANC327680:ANC327681 AWY327680:AWY327681 BGU327680:BGU327681 BQQ327680:BQQ327681 CAM327680:CAM327681 CKI327680:CKI327681 CUE327680:CUE327681 DEA327680:DEA327681 DNW327680:DNW327681 DXS327680:DXS327681 EHO327680:EHO327681 ERK327680:ERK327681 FBG327680:FBG327681 FLC327680:FLC327681 FUY327680:FUY327681 GEU327680:GEU327681 GOQ327680:GOQ327681 GYM327680:GYM327681 HII327680:HII327681 HSE327680:HSE327681 ICA327680:ICA327681 ILW327680:ILW327681 IVS327680:IVS327681 JFO327680:JFO327681 JPK327680:JPK327681 JZG327680:JZG327681 KJC327680:KJC327681 KSY327680:KSY327681 LCU327680:LCU327681 LMQ327680:LMQ327681 LWM327680:LWM327681 MGI327680:MGI327681 MQE327680:MQE327681 NAA327680:NAA327681 NJW327680:NJW327681 NTS327680:NTS327681 ODO327680:ODO327681 ONK327680:ONK327681 OXG327680:OXG327681 PHC327680:PHC327681 PQY327680:PQY327681 QAU327680:QAU327681 QKQ327680:QKQ327681 QUM327680:QUM327681 REI327680:REI327681 ROE327680:ROE327681 RYA327680:RYA327681 SHW327680:SHW327681 SRS327680:SRS327681 TBO327680:TBO327681 TLK327680:TLK327681 TVG327680:TVG327681 UFC327680:UFC327681 UOY327680:UOY327681 UYU327680:UYU327681 VIQ327680:VIQ327681 VSM327680:VSM327681 WCI327680:WCI327681 WME327680:WME327681 WWA327680:WWA327681 X393216:X393217 JO393216:JO393217 TK393216:TK393217 ADG393216:ADG393217 ANC393216:ANC393217 AWY393216:AWY393217 BGU393216:BGU393217 BQQ393216:BQQ393217 CAM393216:CAM393217 CKI393216:CKI393217 CUE393216:CUE393217 DEA393216:DEA393217 DNW393216:DNW393217 DXS393216:DXS393217 EHO393216:EHO393217 ERK393216:ERK393217 FBG393216:FBG393217 FLC393216:FLC393217 FUY393216:FUY393217 GEU393216:GEU393217 GOQ393216:GOQ393217 GYM393216:GYM393217 HII393216:HII393217 HSE393216:HSE393217 ICA393216:ICA393217 ILW393216:ILW393217 IVS393216:IVS393217 JFO393216:JFO393217 JPK393216:JPK393217 JZG393216:JZG393217 KJC393216:KJC393217 KSY393216:KSY393217 LCU393216:LCU393217 LMQ393216:LMQ393217 LWM393216:LWM393217 MGI393216:MGI393217 MQE393216:MQE393217 NAA393216:NAA393217 NJW393216:NJW393217 NTS393216:NTS393217 ODO393216:ODO393217 ONK393216:ONK393217 OXG393216:OXG393217 PHC393216:PHC393217 PQY393216:PQY393217 QAU393216:QAU393217 QKQ393216:QKQ393217 QUM393216:QUM393217 REI393216:REI393217 ROE393216:ROE393217 RYA393216:RYA393217 SHW393216:SHW393217 SRS393216:SRS393217 TBO393216:TBO393217 TLK393216:TLK393217 TVG393216:TVG393217 UFC393216:UFC393217 UOY393216:UOY393217 UYU393216:UYU393217 VIQ393216:VIQ393217 VSM393216:VSM393217 WCI393216:WCI393217 WME393216:WME393217 WWA393216:WWA393217 X458752:X458753 JO458752:JO458753 TK458752:TK458753 ADG458752:ADG458753 ANC458752:ANC458753 AWY458752:AWY458753 BGU458752:BGU458753 BQQ458752:BQQ458753 CAM458752:CAM458753 CKI458752:CKI458753 CUE458752:CUE458753 DEA458752:DEA458753 DNW458752:DNW458753 DXS458752:DXS458753 EHO458752:EHO458753 ERK458752:ERK458753 FBG458752:FBG458753 FLC458752:FLC458753 FUY458752:FUY458753 GEU458752:GEU458753 GOQ458752:GOQ458753 GYM458752:GYM458753 HII458752:HII458753 HSE458752:HSE458753 ICA458752:ICA458753 ILW458752:ILW458753 IVS458752:IVS458753 JFO458752:JFO458753 JPK458752:JPK458753 JZG458752:JZG458753 KJC458752:KJC458753 KSY458752:KSY458753 LCU458752:LCU458753 LMQ458752:LMQ458753 LWM458752:LWM458753 MGI458752:MGI458753 MQE458752:MQE458753 NAA458752:NAA458753 NJW458752:NJW458753 NTS458752:NTS458753 ODO458752:ODO458753 ONK458752:ONK458753 OXG458752:OXG458753 PHC458752:PHC458753 PQY458752:PQY458753 QAU458752:QAU458753 QKQ458752:QKQ458753 QUM458752:QUM458753 REI458752:REI458753 ROE458752:ROE458753 RYA458752:RYA458753 SHW458752:SHW458753 SRS458752:SRS458753 TBO458752:TBO458753 TLK458752:TLK458753 TVG458752:TVG458753 UFC458752:UFC458753 UOY458752:UOY458753 UYU458752:UYU458753 VIQ458752:VIQ458753 VSM458752:VSM458753 WCI458752:WCI458753 WME458752:WME458753 WWA458752:WWA458753 X524288:X524289 JO524288:JO524289 TK524288:TK524289 ADG524288:ADG524289 ANC524288:ANC524289 AWY524288:AWY524289 BGU524288:BGU524289 BQQ524288:BQQ524289 CAM524288:CAM524289 CKI524288:CKI524289 CUE524288:CUE524289 DEA524288:DEA524289 DNW524288:DNW524289 DXS524288:DXS524289 EHO524288:EHO524289 ERK524288:ERK524289 FBG524288:FBG524289 FLC524288:FLC524289 FUY524288:FUY524289 GEU524288:GEU524289 GOQ524288:GOQ524289 GYM524288:GYM524289 HII524288:HII524289 HSE524288:HSE524289 ICA524288:ICA524289 ILW524288:ILW524289 IVS524288:IVS524289 JFO524288:JFO524289 JPK524288:JPK524289 JZG524288:JZG524289 KJC524288:KJC524289 KSY524288:KSY524289 LCU524288:LCU524289 LMQ524288:LMQ524289 LWM524288:LWM524289 MGI524288:MGI524289 MQE524288:MQE524289 NAA524288:NAA524289 NJW524288:NJW524289 NTS524288:NTS524289 ODO524288:ODO524289 ONK524288:ONK524289 OXG524288:OXG524289 PHC524288:PHC524289 PQY524288:PQY524289 QAU524288:QAU524289 QKQ524288:QKQ524289 QUM524288:QUM524289 REI524288:REI524289 ROE524288:ROE524289 RYA524288:RYA524289 SHW524288:SHW524289 SRS524288:SRS524289 TBO524288:TBO524289 TLK524288:TLK524289 TVG524288:TVG524289 UFC524288:UFC524289 UOY524288:UOY524289 UYU524288:UYU524289 VIQ524288:VIQ524289 VSM524288:VSM524289 WCI524288:WCI524289 WME524288:WME524289 WWA524288:WWA524289 X589824:X589825 JO589824:JO589825 TK589824:TK589825 ADG589824:ADG589825 ANC589824:ANC589825 AWY589824:AWY589825 BGU589824:BGU589825 BQQ589824:BQQ589825 CAM589824:CAM589825 CKI589824:CKI589825 CUE589824:CUE589825 DEA589824:DEA589825 DNW589824:DNW589825 DXS589824:DXS589825 EHO589824:EHO589825 ERK589824:ERK589825 FBG589824:FBG589825 FLC589824:FLC589825 FUY589824:FUY589825 GEU589824:GEU589825 GOQ589824:GOQ589825 GYM589824:GYM589825 HII589824:HII589825 HSE589824:HSE589825 ICA589824:ICA589825 ILW589824:ILW589825 IVS589824:IVS589825 JFO589824:JFO589825 JPK589824:JPK589825 JZG589824:JZG589825 KJC589824:KJC589825 KSY589824:KSY589825 LCU589824:LCU589825 LMQ589824:LMQ589825 LWM589824:LWM589825 MGI589824:MGI589825 MQE589824:MQE589825 NAA589824:NAA589825 NJW589824:NJW589825 NTS589824:NTS589825 ODO589824:ODO589825 ONK589824:ONK589825 OXG589824:OXG589825 PHC589824:PHC589825 PQY589824:PQY589825 QAU589824:QAU589825 QKQ589824:QKQ589825 QUM589824:QUM589825 REI589824:REI589825 ROE589824:ROE589825 RYA589824:RYA589825 SHW589824:SHW589825 SRS589824:SRS589825 TBO589824:TBO589825 TLK589824:TLK589825 TVG589824:TVG589825 UFC589824:UFC589825 UOY589824:UOY589825 UYU589824:UYU589825 VIQ589824:VIQ589825 VSM589824:VSM589825 WCI589824:WCI589825 WME589824:WME589825 WWA589824:WWA589825 X655360:X655361 JO655360:JO655361 TK655360:TK655361 ADG655360:ADG655361 ANC655360:ANC655361 AWY655360:AWY655361 BGU655360:BGU655361 BQQ655360:BQQ655361 CAM655360:CAM655361 CKI655360:CKI655361 CUE655360:CUE655361 DEA655360:DEA655361 DNW655360:DNW655361 DXS655360:DXS655361 EHO655360:EHO655361 ERK655360:ERK655361 FBG655360:FBG655361 FLC655360:FLC655361 FUY655360:FUY655361 GEU655360:GEU655361 GOQ655360:GOQ655361 GYM655360:GYM655361 HII655360:HII655361 HSE655360:HSE655361 ICA655360:ICA655361 ILW655360:ILW655361 IVS655360:IVS655361 JFO655360:JFO655361 JPK655360:JPK655361 JZG655360:JZG655361 KJC655360:KJC655361 KSY655360:KSY655361 LCU655360:LCU655361 LMQ655360:LMQ655361 LWM655360:LWM655361 MGI655360:MGI655361 MQE655360:MQE655361 NAA655360:NAA655361 NJW655360:NJW655361 NTS655360:NTS655361 ODO655360:ODO655361 ONK655360:ONK655361 OXG655360:OXG655361 PHC655360:PHC655361 PQY655360:PQY655361 QAU655360:QAU655361 QKQ655360:QKQ655361 QUM655360:QUM655361 REI655360:REI655361 ROE655360:ROE655361 RYA655360:RYA655361 SHW655360:SHW655361 SRS655360:SRS655361 TBO655360:TBO655361 TLK655360:TLK655361 TVG655360:TVG655361 UFC655360:UFC655361 UOY655360:UOY655361 UYU655360:UYU655361 VIQ655360:VIQ655361 VSM655360:VSM655361 WCI655360:WCI655361 WME655360:WME655361 WWA655360:WWA655361 X720896:X720897 JO720896:JO720897 TK720896:TK720897 ADG720896:ADG720897 ANC720896:ANC720897 AWY720896:AWY720897 BGU720896:BGU720897 BQQ720896:BQQ720897 CAM720896:CAM720897 CKI720896:CKI720897 CUE720896:CUE720897 DEA720896:DEA720897 DNW720896:DNW720897 DXS720896:DXS720897 EHO720896:EHO720897 ERK720896:ERK720897 FBG720896:FBG720897 FLC720896:FLC720897 FUY720896:FUY720897 GEU720896:GEU720897 GOQ720896:GOQ720897 GYM720896:GYM720897 HII720896:HII720897 HSE720896:HSE720897 ICA720896:ICA720897 ILW720896:ILW720897 IVS720896:IVS720897 JFO720896:JFO720897 JPK720896:JPK720897 JZG720896:JZG720897 KJC720896:KJC720897 KSY720896:KSY720897 LCU720896:LCU720897 LMQ720896:LMQ720897 LWM720896:LWM720897 MGI720896:MGI720897 MQE720896:MQE720897 NAA720896:NAA720897 NJW720896:NJW720897 NTS720896:NTS720897 ODO720896:ODO720897 ONK720896:ONK720897 OXG720896:OXG720897 PHC720896:PHC720897 PQY720896:PQY720897 QAU720896:QAU720897 QKQ720896:QKQ720897 QUM720896:QUM720897 REI720896:REI720897 ROE720896:ROE720897 RYA720896:RYA720897 SHW720896:SHW720897 SRS720896:SRS720897 TBO720896:TBO720897 TLK720896:TLK720897 TVG720896:TVG720897 UFC720896:UFC720897 UOY720896:UOY720897 UYU720896:UYU720897 VIQ720896:VIQ720897 VSM720896:VSM720897 WCI720896:WCI720897 WME720896:WME720897 WWA720896:WWA720897 X786432:X786433 JO786432:JO786433 TK786432:TK786433 ADG786432:ADG786433 ANC786432:ANC786433 AWY786432:AWY786433 BGU786432:BGU786433 BQQ786432:BQQ786433 CAM786432:CAM786433 CKI786432:CKI786433 CUE786432:CUE786433 DEA786432:DEA786433 DNW786432:DNW786433 DXS786432:DXS786433 EHO786432:EHO786433 ERK786432:ERK786433 FBG786432:FBG786433 FLC786432:FLC786433 FUY786432:FUY786433 GEU786432:GEU786433 GOQ786432:GOQ786433 GYM786432:GYM786433 HII786432:HII786433 HSE786432:HSE786433 ICA786432:ICA786433 ILW786432:ILW786433 IVS786432:IVS786433 JFO786432:JFO786433 JPK786432:JPK786433 JZG786432:JZG786433 KJC786432:KJC786433 KSY786432:KSY786433 LCU786432:LCU786433 LMQ786432:LMQ786433 LWM786432:LWM786433 MGI786432:MGI786433 MQE786432:MQE786433 NAA786432:NAA786433 NJW786432:NJW786433 NTS786432:NTS786433 ODO786432:ODO786433 ONK786432:ONK786433 OXG786432:OXG786433 PHC786432:PHC786433 PQY786432:PQY786433 QAU786432:QAU786433 QKQ786432:QKQ786433 QUM786432:QUM786433 REI786432:REI786433 ROE786432:ROE786433 RYA786432:RYA786433 SHW786432:SHW786433 SRS786432:SRS786433 TBO786432:TBO786433 TLK786432:TLK786433 TVG786432:TVG786433 UFC786432:UFC786433 UOY786432:UOY786433 UYU786432:UYU786433 VIQ786432:VIQ786433 VSM786432:VSM786433 WCI786432:WCI786433 WME786432:WME786433 WWA786432:WWA786433 X851968:X851969 JO851968:JO851969 TK851968:TK851969 ADG851968:ADG851969 ANC851968:ANC851969 AWY851968:AWY851969 BGU851968:BGU851969 BQQ851968:BQQ851969 CAM851968:CAM851969 CKI851968:CKI851969 CUE851968:CUE851969 DEA851968:DEA851969 DNW851968:DNW851969 DXS851968:DXS851969 EHO851968:EHO851969 ERK851968:ERK851969 FBG851968:FBG851969 FLC851968:FLC851969 FUY851968:FUY851969 GEU851968:GEU851969 GOQ851968:GOQ851969 GYM851968:GYM851969 HII851968:HII851969 HSE851968:HSE851969 ICA851968:ICA851969 ILW851968:ILW851969 IVS851968:IVS851969 JFO851968:JFO851969 JPK851968:JPK851969 JZG851968:JZG851969 KJC851968:KJC851969 KSY851968:KSY851969 LCU851968:LCU851969 LMQ851968:LMQ851969 LWM851968:LWM851969 MGI851968:MGI851969 MQE851968:MQE851969 NAA851968:NAA851969 NJW851968:NJW851969 NTS851968:NTS851969 ODO851968:ODO851969 ONK851968:ONK851969 OXG851968:OXG851969 PHC851968:PHC851969 PQY851968:PQY851969 QAU851968:QAU851969 QKQ851968:QKQ851969 QUM851968:QUM851969 REI851968:REI851969 ROE851968:ROE851969 RYA851968:RYA851969 SHW851968:SHW851969 SRS851968:SRS851969 TBO851968:TBO851969 TLK851968:TLK851969 TVG851968:TVG851969 UFC851968:UFC851969 UOY851968:UOY851969 UYU851968:UYU851969 VIQ851968:VIQ851969 VSM851968:VSM851969 WCI851968:WCI851969 WME851968:WME851969 WWA851968:WWA851969 X917504:X917505 JO917504:JO917505 TK917504:TK917505 ADG917504:ADG917505 ANC917504:ANC917505 AWY917504:AWY917505 BGU917504:BGU917505 BQQ917504:BQQ917505 CAM917504:CAM917505 CKI917504:CKI917505 CUE917504:CUE917505 DEA917504:DEA917505 DNW917504:DNW917505 DXS917504:DXS917505 EHO917504:EHO917505 ERK917504:ERK917505 FBG917504:FBG917505 FLC917504:FLC917505 FUY917504:FUY917505 GEU917504:GEU917505 GOQ917504:GOQ917505 GYM917504:GYM917505 HII917504:HII917505 HSE917504:HSE917505 ICA917504:ICA917505 ILW917504:ILW917505 IVS917504:IVS917505 JFO917504:JFO917505 JPK917504:JPK917505 JZG917504:JZG917505 KJC917504:KJC917505 KSY917504:KSY917505 LCU917504:LCU917505 LMQ917504:LMQ917505 LWM917504:LWM917505 MGI917504:MGI917505 MQE917504:MQE917505 NAA917504:NAA917505 NJW917504:NJW917505 NTS917504:NTS917505 ODO917504:ODO917505 ONK917504:ONK917505 OXG917504:OXG917505 PHC917504:PHC917505 PQY917504:PQY917505 QAU917504:QAU917505 QKQ917504:QKQ917505 QUM917504:QUM917505 REI917504:REI917505 ROE917504:ROE917505 RYA917504:RYA917505 SHW917504:SHW917505 SRS917504:SRS917505 TBO917504:TBO917505 TLK917504:TLK917505 TVG917504:TVG917505 UFC917504:UFC917505 UOY917504:UOY917505 UYU917504:UYU917505 VIQ917504:VIQ917505 VSM917504:VSM917505 WCI917504:WCI917505 WME917504:WME917505 WWA917504:WWA917505 X983040:X983041 JO983040:JO983041 TK983040:TK983041 ADG983040:ADG983041 ANC983040:ANC983041 AWY983040:AWY983041 BGU983040:BGU983041 BQQ983040:BQQ983041 CAM983040:CAM983041 CKI983040:CKI983041 CUE983040:CUE983041 DEA983040:DEA983041 DNW983040:DNW983041 DXS983040:DXS983041 EHO983040:EHO983041 ERK983040:ERK983041 FBG983040:FBG983041 FLC983040:FLC983041 FUY983040:FUY983041 GEU983040:GEU983041 GOQ983040:GOQ983041 GYM983040:GYM983041 HII983040:HII983041 HSE983040:HSE983041 ICA983040:ICA983041 ILW983040:ILW983041 IVS983040:IVS983041 JFO983040:JFO983041 JPK983040:JPK983041 JZG983040:JZG983041 KJC983040:KJC983041 KSY983040:KSY983041 LCU983040:LCU983041 LMQ983040:LMQ983041 LWM983040:LWM983041 MGI983040:MGI983041 MQE983040:MQE983041 NAA983040:NAA983041 NJW983040:NJW983041 NTS983040:NTS983041 ODO983040:ODO983041 ONK983040:ONK983041 OXG983040:OXG983041 PHC983040:PHC983041 PQY983040:PQY983041 QAU983040:QAU983041 QKQ983040:QKQ983041 QUM983040:QUM983041 REI983040:REI983041 ROE983040:ROE983041 RYA983040:RYA983041 SHW983040:SHW983041 SRS983040:SRS983041 TBO983040:TBO983041 TLK983040:TLK983041 TVG983040:TVG983041 UFC983040:UFC983041 UOY983040:UOY983041 UYU983040:UYU983041 VIQ983040:VIQ983041 VSM983040:VSM983041 WCI983040:WCI983041 WME983040:WME983041 WWA983040:WWA983041 Z65536:Z65537 JR65536:JR65537 TN65536:TN65537 ADJ65536:ADJ65537 ANF65536:ANF65537 AXB65536:AXB65537 BGX65536:BGX65537 BQT65536:BQT65537 CAP65536:CAP65537 CKL65536:CKL65537 CUH65536:CUH65537 DED65536:DED65537 DNZ65536:DNZ65537 DXV65536:DXV65537 EHR65536:EHR65537 ERN65536:ERN65537 FBJ65536:FBJ65537 FLF65536:FLF65537 FVB65536:FVB65537 GEX65536:GEX65537 GOT65536:GOT65537 GYP65536:GYP65537 HIL65536:HIL65537 HSH65536:HSH65537 ICD65536:ICD65537 ILZ65536:ILZ65537 IVV65536:IVV65537 JFR65536:JFR65537 JPN65536:JPN65537 JZJ65536:JZJ65537 KJF65536:KJF65537 KTB65536:KTB65537 LCX65536:LCX65537 LMT65536:LMT65537 LWP65536:LWP65537 MGL65536:MGL65537 MQH65536:MQH65537 NAD65536:NAD65537 NJZ65536:NJZ65537 NTV65536:NTV65537 ODR65536:ODR65537 ONN65536:ONN65537 OXJ65536:OXJ65537 PHF65536:PHF65537 PRB65536:PRB65537 QAX65536:QAX65537 QKT65536:QKT65537 QUP65536:QUP65537 REL65536:REL65537 ROH65536:ROH65537 RYD65536:RYD65537 SHZ65536:SHZ65537 SRV65536:SRV65537 TBR65536:TBR65537 TLN65536:TLN65537 TVJ65536:TVJ65537 UFF65536:UFF65537 UPB65536:UPB65537 UYX65536:UYX65537 VIT65536:VIT65537 VSP65536:VSP65537 WCL65536:WCL65537 WMH65536:WMH65537 WWD65536:WWD65537 Z131072:Z131073 JR131072:JR131073 TN131072:TN131073 ADJ131072:ADJ131073 ANF131072:ANF131073 AXB131072:AXB131073 BGX131072:BGX131073 BQT131072:BQT131073 CAP131072:CAP131073 CKL131072:CKL131073 CUH131072:CUH131073 DED131072:DED131073 DNZ131072:DNZ131073 DXV131072:DXV131073 EHR131072:EHR131073 ERN131072:ERN131073 FBJ131072:FBJ131073 FLF131072:FLF131073 FVB131072:FVB131073 GEX131072:GEX131073 GOT131072:GOT131073 GYP131072:GYP131073 HIL131072:HIL131073 HSH131072:HSH131073 ICD131072:ICD131073 ILZ131072:ILZ131073 IVV131072:IVV131073 JFR131072:JFR131073 JPN131072:JPN131073 JZJ131072:JZJ131073 KJF131072:KJF131073 KTB131072:KTB131073 LCX131072:LCX131073 LMT131072:LMT131073 LWP131072:LWP131073 MGL131072:MGL131073 MQH131072:MQH131073 NAD131072:NAD131073 NJZ131072:NJZ131073 NTV131072:NTV131073 ODR131072:ODR131073 ONN131072:ONN131073 OXJ131072:OXJ131073 PHF131072:PHF131073 PRB131072:PRB131073 QAX131072:QAX131073 QKT131072:QKT131073 QUP131072:QUP131073 REL131072:REL131073 ROH131072:ROH131073 RYD131072:RYD131073 SHZ131072:SHZ131073 SRV131072:SRV131073 TBR131072:TBR131073 TLN131072:TLN131073 TVJ131072:TVJ131073 UFF131072:UFF131073 UPB131072:UPB131073 UYX131072:UYX131073 VIT131072:VIT131073 VSP131072:VSP131073 WCL131072:WCL131073 WMH131072:WMH131073 WWD131072:WWD131073 Z196608:Z196609 JR196608:JR196609 TN196608:TN196609 ADJ196608:ADJ196609 ANF196608:ANF196609 AXB196608:AXB196609 BGX196608:BGX196609 BQT196608:BQT196609 CAP196608:CAP196609 CKL196608:CKL196609 CUH196608:CUH196609 DED196608:DED196609 DNZ196608:DNZ196609 DXV196608:DXV196609 EHR196608:EHR196609 ERN196608:ERN196609 FBJ196608:FBJ196609 FLF196608:FLF196609 FVB196608:FVB196609 GEX196608:GEX196609 GOT196608:GOT196609 GYP196608:GYP196609 HIL196608:HIL196609 HSH196608:HSH196609 ICD196608:ICD196609 ILZ196608:ILZ196609 IVV196608:IVV196609 JFR196608:JFR196609 JPN196608:JPN196609 JZJ196608:JZJ196609 KJF196608:KJF196609 KTB196608:KTB196609 LCX196608:LCX196609 LMT196608:LMT196609 LWP196608:LWP196609 MGL196608:MGL196609 MQH196608:MQH196609 NAD196608:NAD196609 NJZ196608:NJZ196609 NTV196608:NTV196609 ODR196608:ODR196609 ONN196608:ONN196609 OXJ196608:OXJ196609 PHF196608:PHF196609 PRB196608:PRB196609 QAX196608:QAX196609 QKT196608:QKT196609 QUP196608:QUP196609 REL196608:REL196609 ROH196608:ROH196609 RYD196608:RYD196609 SHZ196608:SHZ196609 SRV196608:SRV196609 TBR196608:TBR196609 TLN196608:TLN196609 TVJ196608:TVJ196609 UFF196608:UFF196609 UPB196608:UPB196609 UYX196608:UYX196609 VIT196608:VIT196609 VSP196608:VSP196609 WCL196608:WCL196609 WMH196608:WMH196609 WWD196608:WWD196609 Z262144:Z262145 JR262144:JR262145 TN262144:TN262145 ADJ262144:ADJ262145 ANF262144:ANF262145 AXB262144:AXB262145 BGX262144:BGX262145 BQT262144:BQT262145 CAP262144:CAP262145 CKL262144:CKL262145 CUH262144:CUH262145 DED262144:DED262145 DNZ262144:DNZ262145 DXV262144:DXV262145 EHR262144:EHR262145 ERN262144:ERN262145 FBJ262144:FBJ262145 FLF262144:FLF262145 FVB262144:FVB262145 GEX262144:GEX262145 GOT262144:GOT262145 GYP262144:GYP262145 HIL262144:HIL262145 HSH262144:HSH262145 ICD262144:ICD262145 ILZ262144:ILZ262145 IVV262144:IVV262145 JFR262144:JFR262145 JPN262144:JPN262145 JZJ262144:JZJ262145 KJF262144:KJF262145 KTB262144:KTB262145 LCX262144:LCX262145 LMT262144:LMT262145 LWP262144:LWP262145 MGL262144:MGL262145 MQH262144:MQH262145 NAD262144:NAD262145 NJZ262144:NJZ262145 NTV262144:NTV262145 ODR262144:ODR262145 ONN262144:ONN262145 OXJ262144:OXJ262145 PHF262144:PHF262145 PRB262144:PRB262145 QAX262144:QAX262145 QKT262144:QKT262145 QUP262144:QUP262145 REL262144:REL262145 ROH262144:ROH262145 RYD262144:RYD262145 SHZ262144:SHZ262145 SRV262144:SRV262145 TBR262144:TBR262145 TLN262144:TLN262145 TVJ262144:TVJ262145 UFF262144:UFF262145 UPB262144:UPB262145 UYX262144:UYX262145 VIT262144:VIT262145 VSP262144:VSP262145 WCL262144:WCL262145 WMH262144:WMH262145 WWD262144:WWD262145 Z327680:Z327681 JR327680:JR327681 TN327680:TN327681 ADJ327680:ADJ327681 ANF327680:ANF327681 AXB327680:AXB327681 BGX327680:BGX327681 BQT327680:BQT327681 CAP327680:CAP327681 CKL327680:CKL327681 CUH327680:CUH327681 DED327680:DED327681 DNZ327680:DNZ327681 DXV327680:DXV327681 EHR327680:EHR327681 ERN327680:ERN327681 FBJ327680:FBJ327681 FLF327680:FLF327681 FVB327680:FVB327681 GEX327680:GEX327681 GOT327680:GOT327681 GYP327680:GYP327681 HIL327680:HIL327681 HSH327680:HSH327681 ICD327680:ICD327681 ILZ327680:ILZ327681 IVV327680:IVV327681 JFR327680:JFR327681 JPN327680:JPN327681 JZJ327680:JZJ327681 KJF327680:KJF327681 KTB327680:KTB327681 LCX327680:LCX327681 LMT327680:LMT327681 LWP327680:LWP327681 MGL327680:MGL327681 MQH327680:MQH327681 NAD327680:NAD327681 NJZ327680:NJZ327681 NTV327680:NTV327681 ODR327680:ODR327681 ONN327680:ONN327681 OXJ327680:OXJ327681 PHF327680:PHF327681 PRB327680:PRB327681 QAX327680:QAX327681 QKT327680:QKT327681 QUP327680:QUP327681 REL327680:REL327681 ROH327680:ROH327681 RYD327680:RYD327681 SHZ327680:SHZ327681 SRV327680:SRV327681 TBR327680:TBR327681 TLN327680:TLN327681 TVJ327680:TVJ327681 UFF327680:UFF327681 UPB327680:UPB327681 UYX327680:UYX327681 VIT327680:VIT327681 VSP327680:VSP327681 WCL327680:WCL327681 WMH327680:WMH327681 WWD327680:WWD327681 Z393216:Z393217 JR393216:JR393217 TN393216:TN393217 ADJ393216:ADJ393217 ANF393216:ANF393217 AXB393216:AXB393217 BGX393216:BGX393217 BQT393216:BQT393217 CAP393216:CAP393217 CKL393216:CKL393217 CUH393216:CUH393217 DED393216:DED393217 DNZ393216:DNZ393217 DXV393216:DXV393217 EHR393216:EHR393217 ERN393216:ERN393217 FBJ393216:FBJ393217 FLF393216:FLF393217 FVB393216:FVB393217 GEX393216:GEX393217 GOT393216:GOT393217 GYP393216:GYP393217 HIL393216:HIL393217 HSH393216:HSH393217 ICD393216:ICD393217 ILZ393216:ILZ393217 IVV393216:IVV393217 JFR393216:JFR393217 JPN393216:JPN393217 JZJ393216:JZJ393217 KJF393216:KJF393217 KTB393216:KTB393217 LCX393216:LCX393217 LMT393216:LMT393217 LWP393216:LWP393217 MGL393216:MGL393217 MQH393216:MQH393217 NAD393216:NAD393217 NJZ393216:NJZ393217 NTV393216:NTV393217 ODR393216:ODR393217 ONN393216:ONN393217 OXJ393216:OXJ393217 PHF393216:PHF393217 PRB393216:PRB393217 QAX393216:QAX393217 QKT393216:QKT393217 QUP393216:QUP393217 REL393216:REL393217 ROH393216:ROH393217 RYD393216:RYD393217 SHZ393216:SHZ393217 SRV393216:SRV393217 TBR393216:TBR393217 TLN393216:TLN393217 TVJ393216:TVJ393217 UFF393216:UFF393217 UPB393216:UPB393217 UYX393216:UYX393217 VIT393216:VIT393217 VSP393216:VSP393217 WCL393216:WCL393217 WMH393216:WMH393217 WWD393216:WWD393217 Z458752:Z458753 JR458752:JR458753 TN458752:TN458753 ADJ458752:ADJ458753 ANF458752:ANF458753 AXB458752:AXB458753 BGX458752:BGX458753 BQT458752:BQT458753 CAP458752:CAP458753 CKL458752:CKL458753 CUH458752:CUH458753 DED458752:DED458753 DNZ458752:DNZ458753 DXV458752:DXV458753 EHR458752:EHR458753 ERN458752:ERN458753 FBJ458752:FBJ458753 FLF458752:FLF458753 FVB458752:FVB458753 GEX458752:GEX458753 GOT458752:GOT458753 GYP458752:GYP458753 HIL458752:HIL458753 HSH458752:HSH458753 ICD458752:ICD458753 ILZ458752:ILZ458753 IVV458752:IVV458753 JFR458752:JFR458753 JPN458752:JPN458753 JZJ458752:JZJ458753 KJF458752:KJF458753 KTB458752:KTB458753 LCX458752:LCX458753 LMT458752:LMT458753 LWP458752:LWP458753 MGL458752:MGL458753 MQH458752:MQH458753 NAD458752:NAD458753 NJZ458752:NJZ458753 NTV458752:NTV458753 ODR458752:ODR458753 ONN458752:ONN458753 OXJ458752:OXJ458753 PHF458752:PHF458753 PRB458752:PRB458753 QAX458752:QAX458753 QKT458752:QKT458753 QUP458752:QUP458753 REL458752:REL458753 ROH458752:ROH458753 RYD458752:RYD458753 SHZ458752:SHZ458753 SRV458752:SRV458753 TBR458752:TBR458753 TLN458752:TLN458753 TVJ458752:TVJ458753 UFF458752:UFF458753 UPB458752:UPB458753 UYX458752:UYX458753 VIT458752:VIT458753 VSP458752:VSP458753 WCL458752:WCL458753 WMH458752:WMH458753 WWD458752:WWD458753 Z524288:Z524289 JR524288:JR524289 TN524288:TN524289 ADJ524288:ADJ524289 ANF524288:ANF524289 AXB524288:AXB524289 BGX524288:BGX524289 BQT524288:BQT524289 CAP524288:CAP524289 CKL524288:CKL524289 CUH524288:CUH524289 DED524288:DED524289 DNZ524288:DNZ524289 DXV524288:DXV524289 EHR524288:EHR524289 ERN524288:ERN524289 FBJ524288:FBJ524289 FLF524288:FLF524289 FVB524288:FVB524289 GEX524288:GEX524289 GOT524288:GOT524289 GYP524288:GYP524289 HIL524288:HIL524289 HSH524288:HSH524289 ICD524288:ICD524289 ILZ524288:ILZ524289 IVV524288:IVV524289 JFR524288:JFR524289 JPN524288:JPN524289 JZJ524288:JZJ524289 KJF524288:KJF524289 KTB524288:KTB524289 LCX524288:LCX524289 LMT524288:LMT524289 LWP524288:LWP524289 MGL524288:MGL524289 MQH524288:MQH524289 NAD524288:NAD524289 NJZ524288:NJZ524289 NTV524288:NTV524289 ODR524288:ODR524289 ONN524288:ONN524289 OXJ524288:OXJ524289 PHF524288:PHF524289 PRB524288:PRB524289 QAX524288:QAX524289 QKT524288:QKT524289 QUP524288:QUP524289 REL524288:REL524289 ROH524288:ROH524289 RYD524288:RYD524289 SHZ524288:SHZ524289 SRV524288:SRV524289 TBR524288:TBR524289 TLN524288:TLN524289 TVJ524288:TVJ524289 UFF524288:UFF524289 UPB524288:UPB524289 UYX524288:UYX524289 VIT524288:VIT524289 VSP524288:VSP524289 WCL524288:WCL524289 WMH524288:WMH524289 WWD524288:WWD524289 Z589824:Z589825 JR589824:JR589825 TN589824:TN589825 ADJ589824:ADJ589825 ANF589824:ANF589825 AXB589824:AXB589825 BGX589824:BGX589825 BQT589824:BQT589825 CAP589824:CAP589825 CKL589824:CKL589825 CUH589824:CUH589825 DED589824:DED589825 DNZ589824:DNZ589825 DXV589824:DXV589825 EHR589824:EHR589825 ERN589824:ERN589825 FBJ589824:FBJ589825 FLF589824:FLF589825 FVB589824:FVB589825 GEX589824:GEX589825 GOT589824:GOT589825 GYP589824:GYP589825 HIL589824:HIL589825 HSH589824:HSH589825 ICD589824:ICD589825 ILZ589824:ILZ589825 IVV589824:IVV589825 JFR589824:JFR589825 JPN589824:JPN589825 JZJ589824:JZJ589825 KJF589824:KJF589825 KTB589824:KTB589825 LCX589824:LCX589825 LMT589824:LMT589825 LWP589824:LWP589825 MGL589824:MGL589825 MQH589824:MQH589825 NAD589824:NAD589825 NJZ589824:NJZ589825 NTV589824:NTV589825 ODR589824:ODR589825 ONN589824:ONN589825 OXJ589824:OXJ589825 PHF589824:PHF589825 PRB589824:PRB589825 QAX589824:QAX589825 QKT589824:QKT589825 QUP589824:QUP589825 REL589824:REL589825 ROH589824:ROH589825 RYD589824:RYD589825 SHZ589824:SHZ589825 SRV589824:SRV589825 TBR589824:TBR589825 TLN589824:TLN589825 TVJ589824:TVJ589825 UFF589824:UFF589825 UPB589824:UPB589825 UYX589824:UYX589825 VIT589824:VIT589825 VSP589824:VSP589825 WCL589824:WCL589825 WMH589824:WMH589825 WWD589824:WWD589825 Z655360:Z655361 JR655360:JR655361 TN655360:TN655361 ADJ655360:ADJ655361 ANF655360:ANF655361 AXB655360:AXB655361 BGX655360:BGX655361 BQT655360:BQT655361 CAP655360:CAP655361 CKL655360:CKL655361 CUH655360:CUH655361 DED655360:DED655361 DNZ655360:DNZ655361 DXV655360:DXV655361 EHR655360:EHR655361 ERN655360:ERN655361 FBJ655360:FBJ655361 FLF655360:FLF655361 FVB655360:FVB655361 GEX655360:GEX655361 GOT655360:GOT655361 GYP655360:GYP655361 HIL655360:HIL655361 HSH655360:HSH655361 ICD655360:ICD655361 ILZ655360:ILZ655361 IVV655360:IVV655361 JFR655360:JFR655361 JPN655360:JPN655361 JZJ655360:JZJ655361 KJF655360:KJF655361 KTB655360:KTB655361 LCX655360:LCX655361 LMT655360:LMT655361 LWP655360:LWP655361 MGL655360:MGL655361 MQH655360:MQH655361 NAD655360:NAD655361 NJZ655360:NJZ655361 NTV655360:NTV655361 ODR655360:ODR655361 ONN655360:ONN655361 OXJ655360:OXJ655361 PHF655360:PHF655361 PRB655360:PRB655361 QAX655360:QAX655361 QKT655360:QKT655361 QUP655360:QUP655361 REL655360:REL655361 ROH655360:ROH655361 RYD655360:RYD655361 SHZ655360:SHZ655361 SRV655360:SRV655361 TBR655360:TBR655361 TLN655360:TLN655361 TVJ655360:TVJ655361 UFF655360:UFF655361 UPB655360:UPB655361 UYX655360:UYX655361 VIT655360:VIT655361 VSP655360:VSP655361 WCL655360:WCL655361 WMH655360:WMH655361 WWD655360:WWD655361 Z720896:Z720897 JR720896:JR720897 TN720896:TN720897 ADJ720896:ADJ720897 ANF720896:ANF720897 AXB720896:AXB720897 BGX720896:BGX720897 BQT720896:BQT720897 CAP720896:CAP720897 CKL720896:CKL720897 CUH720896:CUH720897 DED720896:DED720897 DNZ720896:DNZ720897 DXV720896:DXV720897 EHR720896:EHR720897 ERN720896:ERN720897 FBJ720896:FBJ720897 FLF720896:FLF720897 FVB720896:FVB720897 GEX720896:GEX720897 GOT720896:GOT720897 GYP720896:GYP720897 HIL720896:HIL720897 HSH720896:HSH720897 ICD720896:ICD720897 ILZ720896:ILZ720897 IVV720896:IVV720897 JFR720896:JFR720897 JPN720896:JPN720897 JZJ720896:JZJ720897 KJF720896:KJF720897 KTB720896:KTB720897 LCX720896:LCX720897 LMT720896:LMT720897 LWP720896:LWP720897 MGL720896:MGL720897 MQH720896:MQH720897 NAD720896:NAD720897 NJZ720896:NJZ720897 NTV720896:NTV720897 ODR720896:ODR720897 ONN720896:ONN720897 OXJ720896:OXJ720897 PHF720896:PHF720897 PRB720896:PRB720897 QAX720896:QAX720897 QKT720896:QKT720897 QUP720896:QUP720897 REL720896:REL720897 ROH720896:ROH720897 RYD720896:RYD720897 SHZ720896:SHZ720897 SRV720896:SRV720897 TBR720896:TBR720897 TLN720896:TLN720897 TVJ720896:TVJ720897 UFF720896:UFF720897 UPB720896:UPB720897 UYX720896:UYX720897 VIT720896:VIT720897 VSP720896:VSP720897 WCL720896:WCL720897 WMH720896:WMH720897 WWD720896:WWD720897 Z786432:Z786433 JR786432:JR786433 TN786432:TN786433 ADJ786432:ADJ786433 ANF786432:ANF786433 AXB786432:AXB786433 BGX786432:BGX786433 BQT786432:BQT786433 CAP786432:CAP786433 CKL786432:CKL786433 CUH786432:CUH786433 DED786432:DED786433 DNZ786432:DNZ786433 DXV786432:DXV786433 EHR786432:EHR786433 ERN786432:ERN786433 FBJ786432:FBJ786433 FLF786432:FLF786433 FVB786432:FVB786433 GEX786432:GEX786433 GOT786432:GOT786433 GYP786432:GYP786433 HIL786432:HIL786433 HSH786432:HSH786433 ICD786432:ICD786433 ILZ786432:ILZ786433 IVV786432:IVV786433 JFR786432:JFR786433 JPN786432:JPN786433 JZJ786432:JZJ786433 KJF786432:KJF786433 KTB786432:KTB786433 LCX786432:LCX786433 LMT786432:LMT786433 LWP786432:LWP786433 MGL786432:MGL786433 MQH786432:MQH786433 NAD786432:NAD786433 NJZ786432:NJZ786433 NTV786432:NTV786433 ODR786432:ODR786433 ONN786432:ONN786433 OXJ786432:OXJ786433 PHF786432:PHF786433 PRB786432:PRB786433 QAX786432:QAX786433 QKT786432:QKT786433 QUP786432:QUP786433 REL786432:REL786433 ROH786432:ROH786433 RYD786432:RYD786433 SHZ786432:SHZ786433 SRV786432:SRV786433 TBR786432:TBR786433 TLN786432:TLN786433 TVJ786432:TVJ786433 UFF786432:UFF786433 UPB786432:UPB786433 UYX786432:UYX786433 VIT786432:VIT786433 VSP786432:VSP786433 WCL786432:WCL786433 WMH786432:WMH786433 WWD786432:WWD786433 Z851968:Z851969 JR851968:JR851969 TN851968:TN851969 ADJ851968:ADJ851969 ANF851968:ANF851969 AXB851968:AXB851969 BGX851968:BGX851969 BQT851968:BQT851969 CAP851968:CAP851969 CKL851968:CKL851969 CUH851968:CUH851969 DED851968:DED851969 DNZ851968:DNZ851969 DXV851968:DXV851969 EHR851968:EHR851969 ERN851968:ERN851969 FBJ851968:FBJ851969 FLF851968:FLF851969 FVB851968:FVB851969 GEX851968:GEX851969 GOT851968:GOT851969 GYP851968:GYP851969 HIL851968:HIL851969 HSH851968:HSH851969 ICD851968:ICD851969 ILZ851968:ILZ851969 IVV851968:IVV851969 JFR851968:JFR851969 JPN851968:JPN851969 JZJ851968:JZJ851969 KJF851968:KJF851969 KTB851968:KTB851969 LCX851968:LCX851969 LMT851968:LMT851969 LWP851968:LWP851969 MGL851968:MGL851969 MQH851968:MQH851969 NAD851968:NAD851969 NJZ851968:NJZ851969 NTV851968:NTV851969 ODR851968:ODR851969 ONN851968:ONN851969 OXJ851968:OXJ851969 PHF851968:PHF851969 PRB851968:PRB851969 QAX851968:QAX851969 QKT851968:QKT851969 QUP851968:QUP851969 REL851968:REL851969 ROH851968:ROH851969 RYD851968:RYD851969 SHZ851968:SHZ851969 SRV851968:SRV851969 TBR851968:TBR851969 TLN851968:TLN851969 TVJ851968:TVJ851969 UFF851968:UFF851969 UPB851968:UPB851969 UYX851968:UYX851969 VIT851968:VIT851969 VSP851968:VSP851969 WCL851968:WCL851969 WMH851968:WMH851969 WWD851968:WWD851969 Z917504:Z917505 JR917504:JR917505 TN917504:TN917505 ADJ917504:ADJ917505 ANF917504:ANF917505 AXB917504:AXB917505 BGX917504:BGX917505 BQT917504:BQT917505 CAP917504:CAP917505 CKL917504:CKL917505 CUH917504:CUH917505 DED917504:DED917505 DNZ917504:DNZ917505 DXV917504:DXV917505 EHR917504:EHR917505 ERN917504:ERN917505 FBJ917504:FBJ917505 FLF917504:FLF917505 FVB917504:FVB917505 GEX917504:GEX917505 GOT917504:GOT917505 GYP917504:GYP917505 HIL917504:HIL917505 HSH917504:HSH917505 ICD917504:ICD917505 ILZ917504:ILZ917505 IVV917504:IVV917505 JFR917504:JFR917505 JPN917504:JPN917505 JZJ917504:JZJ917505 KJF917504:KJF917505 KTB917504:KTB917505 LCX917504:LCX917505 LMT917504:LMT917505 LWP917504:LWP917505 MGL917504:MGL917505 MQH917504:MQH917505 NAD917504:NAD917505 NJZ917504:NJZ917505 NTV917504:NTV917505 ODR917504:ODR917505 ONN917504:ONN917505 OXJ917504:OXJ917505 PHF917504:PHF917505 PRB917504:PRB917505 QAX917504:QAX917505 QKT917504:QKT917505 QUP917504:QUP917505 REL917504:REL917505 ROH917504:ROH917505 RYD917504:RYD917505 SHZ917504:SHZ917505 SRV917504:SRV917505 TBR917504:TBR917505 TLN917504:TLN917505 TVJ917504:TVJ917505 UFF917504:UFF917505 UPB917504:UPB917505 UYX917504:UYX917505 VIT917504:VIT917505 VSP917504:VSP917505 WCL917504:WCL917505 WMH917504:WMH917505 WWD917504:WWD917505 Z983040:Z983041 JR983040:JR983041 TN983040:TN983041 ADJ983040:ADJ983041 ANF983040:ANF983041 AXB983040:AXB983041 BGX983040:BGX983041 BQT983040:BQT983041 CAP983040:CAP983041 CKL983040:CKL983041 CUH983040:CUH983041 DED983040:DED983041 DNZ983040:DNZ983041 DXV983040:DXV983041 EHR983040:EHR983041 ERN983040:ERN983041 FBJ983040:FBJ983041 FLF983040:FLF983041 FVB983040:FVB983041 GEX983040:GEX983041 GOT983040:GOT983041 GYP983040:GYP983041 HIL983040:HIL983041 HSH983040:HSH983041 ICD983040:ICD983041 ILZ983040:ILZ983041 IVV983040:IVV983041 JFR983040:JFR983041 JPN983040:JPN983041 JZJ983040:JZJ983041 KJF983040:KJF983041 KTB983040:KTB983041 LCX983040:LCX983041 LMT983040:LMT983041 LWP983040:LWP983041 MGL983040:MGL983041 MQH983040:MQH983041 NAD983040:NAD983041 NJZ983040:NJZ983041 NTV983040:NTV983041 ODR983040:ODR983041 ONN983040:ONN983041 OXJ983040:OXJ983041 PHF983040:PHF983041 PRB983040:PRB983041 QAX983040:QAX983041 QKT983040:QKT983041 QUP983040:QUP983041 REL983040:REL983041 ROH983040:ROH983041 RYD983040:RYD983041 SHZ983040:SHZ983041 SRV983040:SRV983041 TBR983040:TBR983041 TLN983040:TLN983041 TVJ983040:TVJ983041 UFF983040:UFF983041 UPB983040:UPB983041 UYX983040:UYX983041 VIT983040:VIT983041 VSP983040:VSP983041 WCL983040:WCL983041 WMH983040:WMH983041 WWD983040:WWD983041 AB65536:AB65537 JU65536:JU65537 TQ65536:TQ65537 ADM65536:ADM65537 ANI65536:ANI65537 AXE65536:AXE65537 BHA65536:BHA65537 BQW65536:BQW65537 CAS65536:CAS65537 CKO65536:CKO65537 CUK65536:CUK65537 DEG65536:DEG65537 DOC65536:DOC65537 DXY65536:DXY65537 EHU65536:EHU65537 ERQ65536:ERQ65537 FBM65536:FBM65537 FLI65536:FLI65537 FVE65536:FVE65537 GFA65536:GFA65537 GOW65536:GOW65537 GYS65536:GYS65537 HIO65536:HIO65537 HSK65536:HSK65537 ICG65536:ICG65537 IMC65536:IMC65537 IVY65536:IVY65537 JFU65536:JFU65537 JPQ65536:JPQ65537 JZM65536:JZM65537 KJI65536:KJI65537 KTE65536:KTE65537 LDA65536:LDA65537 LMW65536:LMW65537 LWS65536:LWS65537 MGO65536:MGO65537 MQK65536:MQK65537 NAG65536:NAG65537 NKC65536:NKC65537 NTY65536:NTY65537 ODU65536:ODU65537 ONQ65536:ONQ65537 OXM65536:OXM65537 PHI65536:PHI65537 PRE65536:PRE65537 QBA65536:QBA65537 QKW65536:QKW65537 QUS65536:QUS65537 REO65536:REO65537 ROK65536:ROK65537 RYG65536:RYG65537 SIC65536:SIC65537 SRY65536:SRY65537 TBU65536:TBU65537 TLQ65536:TLQ65537 TVM65536:TVM65537 UFI65536:UFI65537 UPE65536:UPE65537 UZA65536:UZA65537 VIW65536:VIW65537 VSS65536:VSS65537 WCO65536:WCO65537 WMK65536:WMK65537 WWG65536:WWG65537 AB131072:AB131073 JU131072:JU131073 TQ131072:TQ131073 ADM131072:ADM131073 ANI131072:ANI131073 AXE131072:AXE131073 BHA131072:BHA131073 BQW131072:BQW131073 CAS131072:CAS131073 CKO131072:CKO131073 CUK131072:CUK131073 DEG131072:DEG131073 DOC131072:DOC131073 DXY131072:DXY131073 EHU131072:EHU131073 ERQ131072:ERQ131073 FBM131072:FBM131073 FLI131072:FLI131073 FVE131072:FVE131073 GFA131072:GFA131073 GOW131072:GOW131073 GYS131072:GYS131073 HIO131072:HIO131073 HSK131072:HSK131073 ICG131072:ICG131073 IMC131072:IMC131073 IVY131072:IVY131073 JFU131072:JFU131073 JPQ131072:JPQ131073 JZM131072:JZM131073 KJI131072:KJI131073 KTE131072:KTE131073 LDA131072:LDA131073 LMW131072:LMW131073 LWS131072:LWS131073 MGO131072:MGO131073 MQK131072:MQK131073 NAG131072:NAG131073 NKC131072:NKC131073 NTY131072:NTY131073 ODU131072:ODU131073 ONQ131072:ONQ131073 OXM131072:OXM131073 PHI131072:PHI131073 PRE131072:PRE131073 QBA131072:QBA131073 QKW131072:QKW131073 QUS131072:QUS131073 REO131072:REO131073 ROK131072:ROK131073 RYG131072:RYG131073 SIC131072:SIC131073 SRY131072:SRY131073 TBU131072:TBU131073 TLQ131072:TLQ131073 TVM131072:TVM131073 UFI131072:UFI131073 UPE131072:UPE131073 UZA131072:UZA131073 VIW131072:VIW131073 VSS131072:VSS131073 WCO131072:WCO131073 WMK131072:WMK131073 WWG131072:WWG131073 AB196608:AB196609 JU196608:JU196609 TQ196608:TQ196609 ADM196608:ADM196609 ANI196608:ANI196609 AXE196608:AXE196609 BHA196608:BHA196609 BQW196608:BQW196609 CAS196608:CAS196609 CKO196608:CKO196609 CUK196608:CUK196609 DEG196608:DEG196609 DOC196608:DOC196609 DXY196608:DXY196609 EHU196608:EHU196609 ERQ196608:ERQ196609 FBM196608:FBM196609 FLI196608:FLI196609 FVE196608:FVE196609 GFA196608:GFA196609 GOW196608:GOW196609 GYS196608:GYS196609 HIO196608:HIO196609 HSK196608:HSK196609 ICG196608:ICG196609 IMC196608:IMC196609 IVY196608:IVY196609 JFU196608:JFU196609 JPQ196608:JPQ196609 JZM196608:JZM196609 KJI196608:KJI196609 KTE196608:KTE196609 LDA196608:LDA196609 LMW196608:LMW196609 LWS196608:LWS196609 MGO196608:MGO196609 MQK196608:MQK196609 NAG196608:NAG196609 NKC196608:NKC196609 NTY196608:NTY196609 ODU196608:ODU196609 ONQ196608:ONQ196609 OXM196608:OXM196609 PHI196608:PHI196609 PRE196608:PRE196609 QBA196608:QBA196609 QKW196608:QKW196609 QUS196608:QUS196609 REO196608:REO196609 ROK196608:ROK196609 RYG196608:RYG196609 SIC196608:SIC196609 SRY196608:SRY196609 TBU196608:TBU196609 TLQ196608:TLQ196609 TVM196608:TVM196609 UFI196608:UFI196609 UPE196608:UPE196609 UZA196608:UZA196609 VIW196608:VIW196609 VSS196608:VSS196609 WCO196608:WCO196609 WMK196608:WMK196609 WWG196608:WWG196609 AB262144:AB262145 JU262144:JU262145 TQ262144:TQ262145 ADM262144:ADM262145 ANI262144:ANI262145 AXE262144:AXE262145 BHA262144:BHA262145 BQW262144:BQW262145 CAS262144:CAS262145 CKO262144:CKO262145 CUK262144:CUK262145 DEG262144:DEG262145 DOC262144:DOC262145 DXY262144:DXY262145 EHU262144:EHU262145 ERQ262144:ERQ262145 FBM262144:FBM262145 FLI262144:FLI262145 FVE262144:FVE262145 GFA262144:GFA262145 GOW262144:GOW262145 GYS262144:GYS262145 HIO262144:HIO262145 HSK262144:HSK262145 ICG262144:ICG262145 IMC262144:IMC262145 IVY262144:IVY262145 JFU262144:JFU262145 JPQ262144:JPQ262145 JZM262144:JZM262145 KJI262144:KJI262145 KTE262144:KTE262145 LDA262144:LDA262145 LMW262144:LMW262145 LWS262144:LWS262145 MGO262144:MGO262145 MQK262144:MQK262145 NAG262144:NAG262145 NKC262144:NKC262145 NTY262144:NTY262145 ODU262144:ODU262145 ONQ262144:ONQ262145 OXM262144:OXM262145 PHI262144:PHI262145 PRE262144:PRE262145 QBA262144:QBA262145 QKW262144:QKW262145 QUS262144:QUS262145 REO262144:REO262145 ROK262144:ROK262145 RYG262144:RYG262145 SIC262144:SIC262145 SRY262144:SRY262145 TBU262144:TBU262145 TLQ262144:TLQ262145 TVM262144:TVM262145 UFI262144:UFI262145 UPE262144:UPE262145 UZA262144:UZA262145 VIW262144:VIW262145 VSS262144:VSS262145 WCO262144:WCO262145 WMK262144:WMK262145 WWG262144:WWG262145 AB327680:AB327681 JU327680:JU327681 TQ327680:TQ327681 ADM327680:ADM327681 ANI327680:ANI327681 AXE327680:AXE327681 BHA327680:BHA327681 BQW327680:BQW327681 CAS327680:CAS327681 CKO327680:CKO327681 CUK327680:CUK327681 DEG327680:DEG327681 DOC327680:DOC327681 DXY327680:DXY327681 EHU327680:EHU327681 ERQ327680:ERQ327681 FBM327680:FBM327681 FLI327680:FLI327681 FVE327680:FVE327681 GFA327680:GFA327681 GOW327680:GOW327681 GYS327680:GYS327681 HIO327680:HIO327681 HSK327680:HSK327681 ICG327680:ICG327681 IMC327680:IMC327681 IVY327680:IVY327681 JFU327680:JFU327681 JPQ327680:JPQ327681 JZM327680:JZM327681 KJI327680:KJI327681 KTE327680:KTE327681 LDA327680:LDA327681 LMW327680:LMW327681 LWS327680:LWS327681 MGO327680:MGO327681 MQK327680:MQK327681 NAG327680:NAG327681 NKC327680:NKC327681 NTY327680:NTY327681 ODU327680:ODU327681 ONQ327680:ONQ327681 OXM327680:OXM327681 PHI327680:PHI327681 PRE327680:PRE327681 QBA327680:QBA327681 QKW327680:QKW327681 QUS327680:QUS327681 REO327680:REO327681 ROK327680:ROK327681 RYG327680:RYG327681 SIC327680:SIC327681 SRY327680:SRY327681 TBU327680:TBU327681 TLQ327680:TLQ327681 TVM327680:TVM327681 UFI327680:UFI327681 UPE327680:UPE327681 UZA327680:UZA327681 VIW327680:VIW327681 VSS327680:VSS327681 WCO327680:WCO327681 WMK327680:WMK327681 WWG327680:WWG327681 AB393216:AB393217 JU393216:JU393217 TQ393216:TQ393217 ADM393216:ADM393217 ANI393216:ANI393217 AXE393216:AXE393217 BHA393216:BHA393217 BQW393216:BQW393217 CAS393216:CAS393217 CKO393216:CKO393217 CUK393216:CUK393217 DEG393216:DEG393217 DOC393216:DOC393217 DXY393216:DXY393217 EHU393216:EHU393217 ERQ393216:ERQ393217 FBM393216:FBM393217 FLI393216:FLI393217 FVE393216:FVE393217 GFA393216:GFA393217 GOW393216:GOW393217 GYS393216:GYS393217 HIO393216:HIO393217 HSK393216:HSK393217 ICG393216:ICG393217 IMC393216:IMC393217 IVY393216:IVY393217 JFU393216:JFU393217 JPQ393216:JPQ393217 JZM393216:JZM393217 KJI393216:KJI393217 KTE393216:KTE393217 LDA393216:LDA393217 LMW393216:LMW393217 LWS393216:LWS393217 MGO393216:MGO393217 MQK393216:MQK393217 NAG393216:NAG393217 NKC393216:NKC393217 NTY393216:NTY393217 ODU393216:ODU393217 ONQ393216:ONQ393217 OXM393216:OXM393217 PHI393216:PHI393217 PRE393216:PRE393217 QBA393216:QBA393217 QKW393216:QKW393217 QUS393216:QUS393217 REO393216:REO393217 ROK393216:ROK393217 RYG393216:RYG393217 SIC393216:SIC393217 SRY393216:SRY393217 TBU393216:TBU393217 TLQ393216:TLQ393217 TVM393216:TVM393217 UFI393216:UFI393217 UPE393216:UPE393217 UZA393216:UZA393217 VIW393216:VIW393217 VSS393216:VSS393217 WCO393216:WCO393217 WMK393216:WMK393217 WWG393216:WWG393217 AB458752:AB458753 JU458752:JU458753 TQ458752:TQ458753 ADM458752:ADM458753 ANI458752:ANI458753 AXE458752:AXE458753 BHA458752:BHA458753 BQW458752:BQW458753 CAS458752:CAS458753 CKO458752:CKO458753 CUK458752:CUK458753 DEG458752:DEG458753 DOC458752:DOC458753 DXY458752:DXY458753 EHU458752:EHU458753 ERQ458752:ERQ458753 FBM458752:FBM458753 FLI458752:FLI458753 FVE458752:FVE458753 GFA458752:GFA458753 GOW458752:GOW458753 GYS458752:GYS458753 HIO458752:HIO458753 HSK458752:HSK458753 ICG458752:ICG458753 IMC458752:IMC458753 IVY458752:IVY458753 JFU458752:JFU458753 JPQ458752:JPQ458753 JZM458752:JZM458753 KJI458752:KJI458753 KTE458752:KTE458753 LDA458752:LDA458753 LMW458752:LMW458753 LWS458752:LWS458753 MGO458752:MGO458753 MQK458752:MQK458753 NAG458752:NAG458753 NKC458752:NKC458753 NTY458752:NTY458753 ODU458752:ODU458753 ONQ458752:ONQ458753 OXM458752:OXM458753 PHI458752:PHI458753 PRE458752:PRE458753 QBA458752:QBA458753 QKW458752:QKW458753 QUS458752:QUS458753 REO458752:REO458753 ROK458752:ROK458753 RYG458752:RYG458753 SIC458752:SIC458753 SRY458752:SRY458753 TBU458752:TBU458753 TLQ458752:TLQ458753 TVM458752:TVM458753 UFI458752:UFI458753 UPE458752:UPE458753 UZA458752:UZA458753 VIW458752:VIW458753 VSS458752:VSS458753 WCO458752:WCO458753 WMK458752:WMK458753 WWG458752:WWG458753 AB524288:AB524289 JU524288:JU524289 TQ524288:TQ524289 ADM524288:ADM524289 ANI524288:ANI524289 AXE524288:AXE524289 BHA524288:BHA524289 BQW524288:BQW524289 CAS524288:CAS524289 CKO524288:CKO524289 CUK524288:CUK524289 DEG524288:DEG524289 DOC524288:DOC524289 DXY524288:DXY524289 EHU524288:EHU524289 ERQ524288:ERQ524289 FBM524288:FBM524289 FLI524288:FLI524289 FVE524288:FVE524289 GFA524288:GFA524289 GOW524288:GOW524289 GYS524288:GYS524289 HIO524288:HIO524289 HSK524288:HSK524289 ICG524288:ICG524289 IMC524288:IMC524289 IVY524288:IVY524289 JFU524288:JFU524289 JPQ524288:JPQ524289 JZM524288:JZM524289 KJI524288:KJI524289 KTE524288:KTE524289 LDA524288:LDA524289 LMW524288:LMW524289 LWS524288:LWS524289 MGO524288:MGO524289 MQK524288:MQK524289 NAG524288:NAG524289 NKC524288:NKC524289 NTY524288:NTY524289 ODU524288:ODU524289 ONQ524288:ONQ524289 OXM524288:OXM524289 PHI524288:PHI524289 PRE524288:PRE524289 QBA524288:QBA524289 QKW524288:QKW524289 QUS524288:QUS524289 REO524288:REO524289 ROK524288:ROK524289 RYG524288:RYG524289 SIC524288:SIC524289 SRY524288:SRY524289 TBU524288:TBU524289 TLQ524288:TLQ524289 TVM524288:TVM524289 UFI524288:UFI524289 UPE524288:UPE524289 UZA524288:UZA524289 VIW524288:VIW524289 VSS524288:VSS524289 WCO524288:WCO524289 WMK524288:WMK524289 WWG524288:WWG524289 AB589824:AB589825 JU589824:JU589825 TQ589824:TQ589825 ADM589824:ADM589825 ANI589824:ANI589825 AXE589824:AXE589825 BHA589824:BHA589825 BQW589824:BQW589825 CAS589824:CAS589825 CKO589824:CKO589825 CUK589824:CUK589825 DEG589824:DEG589825 DOC589824:DOC589825 DXY589824:DXY589825 EHU589824:EHU589825 ERQ589824:ERQ589825 FBM589824:FBM589825 FLI589824:FLI589825 FVE589824:FVE589825 GFA589824:GFA589825 GOW589824:GOW589825 GYS589824:GYS589825 HIO589824:HIO589825 HSK589824:HSK589825 ICG589824:ICG589825 IMC589824:IMC589825 IVY589824:IVY589825 JFU589824:JFU589825 JPQ589824:JPQ589825 JZM589824:JZM589825 KJI589824:KJI589825 KTE589824:KTE589825 LDA589824:LDA589825 LMW589824:LMW589825 LWS589824:LWS589825 MGO589824:MGO589825 MQK589824:MQK589825 NAG589824:NAG589825 NKC589824:NKC589825 NTY589824:NTY589825 ODU589824:ODU589825 ONQ589824:ONQ589825 OXM589824:OXM589825 PHI589824:PHI589825 PRE589824:PRE589825 QBA589824:QBA589825 QKW589824:QKW589825 QUS589824:QUS589825 REO589824:REO589825 ROK589824:ROK589825 RYG589824:RYG589825 SIC589824:SIC589825 SRY589824:SRY589825 TBU589824:TBU589825 TLQ589824:TLQ589825 TVM589824:TVM589825 UFI589824:UFI589825 UPE589824:UPE589825 UZA589824:UZA589825 VIW589824:VIW589825 VSS589824:VSS589825 WCO589824:WCO589825 WMK589824:WMK589825 WWG589824:WWG589825 AB655360:AB655361 JU655360:JU655361 TQ655360:TQ655361 ADM655360:ADM655361 ANI655360:ANI655361 AXE655360:AXE655361 BHA655360:BHA655361 BQW655360:BQW655361 CAS655360:CAS655361 CKO655360:CKO655361 CUK655360:CUK655361 DEG655360:DEG655361 DOC655360:DOC655361 DXY655360:DXY655361 EHU655360:EHU655361 ERQ655360:ERQ655361 FBM655360:FBM655361 FLI655360:FLI655361 FVE655360:FVE655361 GFA655360:GFA655361 GOW655360:GOW655361 GYS655360:GYS655361 HIO655360:HIO655361 HSK655360:HSK655361 ICG655360:ICG655361 IMC655360:IMC655361 IVY655360:IVY655361 JFU655360:JFU655361 JPQ655360:JPQ655361 JZM655360:JZM655361 KJI655360:KJI655361 KTE655360:KTE655361 LDA655360:LDA655361 LMW655360:LMW655361 LWS655360:LWS655361 MGO655360:MGO655361 MQK655360:MQK655361 NAG655360:NAG655361 NKC655360:NKC655361 NTY655360:NTY655361 ODU655360:ODU655361 ONQ655360:ONQ655361 OXM655360:OXM655361 PHI655360:PHI655361 PRE655360:PRE655361 QBA655360:QBA655361 QKW655360:QKW655361 QUS655360:QUS655361 REO655360:REO655361 ROK655360:ROK655361 RYG655360:RYG655361 SIC655360:SIC655361 SRY655360:SRY655361 TBU655360:TBU655361 TLQ655360:TLQ655361 TVM655360:TVM655361 UFI655360:UFI655361 UPE655360:UPE655361 UZA655360:UZA655361 VIW655360:VIW655361 VSS655360:VSS655361 WCO655360:WCO655361 WMK655360:WMK655361 WWG655360:WWG655361 AB720896:AB720897 JU720896:JU720897 TQ720896:TQ720897 ADM720896:ADM720897 ANI720896:ANI720897 AXE720896:AXE720897 BHA720896:BHA720897 BQW720896:BQW720897 CAS720896:CAS720897 CKO720896:CKO720897 CUK720896:CUK720897 DEG720896:DEG720897 DOC720896:DOC720897 DXY720896:DXY720897 EHU720896:EHU720897 ERQ720896:ERQ720897 FBM720896:FBM720897 FLI720896:FLI720897 FVE720896:FVE720897 GFA720896:GFA720897 GOW720896:GOW720897 GYS720896:GYS720897 HIO720896:HIO720897 HSK720896:HSK720897 ICG720896:ICG720897 IMC720896:IMC720897 IVY720896:IVY720897 JFU720896:JFU720897 JPQ720896:JPQ720897 JZM720896:JZM720897 KJI720896:KJI720897 KTE720896:KTE720897 LDA720896:LDA720897 LMW720896:LMW720897 LWS720896:LWS720897 MGO720896:MGO720897 MQK720896:MQK720897 NAG720896:NAG720897 NKC720896:NKC720897 NTY720896:NTY720897 ODU720896:ODU720897 ONQ720896:ONQ720897 OXM720896:OXM720897 PHI720896:PHI720897 PRE720896:PRE720897 QBA720896:QBA720897 QKW720896:QKW720897 QUS720896:QUS720897 REO720896:REO720897 ROK720896:ROK720897 RYG720896:RYG720897 SIC720896:SIC720897 SRY720896:SRY720897 TBU720896:TBU720897 TLQ720896:TLQ720897 TVM720896:TVM720897 UFI720896:UFI720897 UPE720896:UPE720897 UZA720896:UZA720897 VIW720896:VIW720897 VSS720896:VSS720897 WCO720896:WCO720897 WMK720896:WMK720897 WWG720896:WWG720897 AB786432:AB786433 JU786432:JU786433 TQ786432:TQ786433 ADM786432:ADM786433 ANI786432:ANI786433 AXE786432:AXE786433 BHA786432:BHA786433 BQW786432:BQW786433 CAS786432:CAS786433 CKO786432:CKO786433 CUK786432:CUK786433 DEG786432:DEG786433 DOC786432:DOC786433 DXY786432:DXY786433 EHU786432:EHU786433 ERQ786432:ERQ786433 FBM786432:FBM786433 FLI786432:FLI786433 FVE786432:FVE786433 GFA786432:GFA786433 GOW786432:GOW786433 GYS786432:GYS786433 HIO786432:HIO786433 HSK786432:HSK786433 ICG786432:ICG786433 IMC786432:IMC786433 IVY786432:IVY786433 JFU786432:JFU786433 JPQ786432:JPQ786433 JZM786432:JZM786433 KJI786432:KJI786433 KTE786432:KTE786433 LDA786432:LDA786433 LMW786432:LMW786433 LWS786432:LWS786433 MGO786432:MGO786433 MQK786432:MQK786433 NAG786432:NAG786433 NKC786432:NKC786433 NTY786432:NTY786433 ODU786432:ODU786433 ONQ786432:ONQ786433 OXM786432:OXM786433 PHI786432:PHI786433 PRE786432:PRE786433 QBA786432:QBA786433 QKW786432:QKW786433 QUS786432:QUS786433 REO786432:REO786433 ROK786432:ROK786433 RYG786432:RYG786433 SIC786432:SIC786433 SRY786432:SRY786433 TBU786432:TBU786433 TLQ786432:TLQ786433 TVM786432:TVM786433 UFI786432:UFI786433 UPE786432:UPE786433 UZA786432:UZA786433 VIW786432:VIW786433 VSS786432:VSS786433 WCO786432:WCO786433 WMK786432:WMK786433 WWG786432:WWG786433 AB851968:AB851969 JU851968:JU851969 TQ851968:TQ851969 ADM851968:ADM851969 ANI851968:ANI851969 AXE851968:AXE851969 BHA851968:BHA851969 BQW851968:BQW851969 CAS851968:CAS851969 CKO851968:CKO851969 CUK851968:CUK851969 DEG851968:DEG851969 DOC851968:DOC851969 DXY851968:DXY851969 EHU851968:EHU851969 ERQ851968:ERQ851969 FBM851968:FBM851969 FLI851968:FLI851969 FVE851968:FVE851969 GFA851968:GFA851969 GOW851968:GOW851969 GYS851968:GYS851969 HIO851968:HIO851969 HSK851968:HSK851969 ICG851968:ICG851969 IMC851968:IMC851969 IVY851968:IVY851969 JFU851968:JFU851969 JPQ851968:JPQ851969 JZM851968:JZM851969 KJI851968:KJI851969 KTE851968:KTE851969 LDA851968:LDA851969 LMW851968:LMW851969 LWS851968:LWS851969 MGO851968:MGO851969 MQK851968:MQK851969 NAG851968:NAG851969 NKC851968:NKC851969 NTY851968:NTY851969 ODU851968:ODU851969 ONQ851968:ONQ851969 OXM851968:OXM851969 PHI851968:PHI851969 PRE851968:PRE851969 QBA851968:QBA851969 QKW851968:QKW851969 QUS851968:QUS851969 REO851968:REO851969 ROK851968:ROK851969 RYG851968:RYG851969 SIC851968:SIC851969 SRY851968:SRY851969 TBU851968:TBU851969 TLQ851968:TLQ851969 TVM851968:TVM851969 UFI851968:UFI851969 UPE851968:UPE851969 UZA851968:UZA851969 VIW851968:VIW851969 VSS851968:VSS851969 WCO851968:WCO851969 WMK851968:WMK851969 WWG851968:WWG851969 AB917504:AB917505 JU917504:JU917505 TQ917504:TQ917505 ADM917504:ADM917505 ANI917504:ANI917505 AXE917504:AXE917505 BHA917504:BHA917505 BQW917504:BQW917505 CAS917504:CAS917505 CKO917504:CKO917505 CUK917504:CUK917505 DEG917504:DEG917505 DOC917504:DOC917505 DXY917504:DXY917505 EHU917504:EHU917505 ERQ917504:ERQ917505 FBM917504:FBM917505 FLI917504:FLI917505 FVE917504:FVE917505 GFA917504:GFA917505 GOW917504:GOW917505 GYS917504:GYS917505 HIO917504:HIO917505 HSK917504:HSK917505 ICG917504:ICG917505 IMC917504:IMC917505 IVY917504:IVY917505 JFU917504:JFU917505 JPQ917504:JPQ917505 JZM917504:JZM917505 KJI917504:KJI917505 KTE917504:KTE917505 LDA917504:LDA917505 LMW917504:LMW917505 LWS917504:LWS917505 MGO917504:MGO917505 MQK917504:MQK917505 NAG917504:NAG917505 NKC917504:NKC917505 NTY917504:NTY917505 ODU917504:ODU917505 ONQ917504:ONQ917505 OXM917504:OXM917505 PHI917504:PHI917505 PRE917504:PRE917505 QBA917504:QBA917505 QKW917504:QKW917505 QUS917504:QUS917505 REO917504:REO917505 ROK917504:ROK917505 RYG917504:RYG917505 SIC917504:SIC917505 SRY917504:SRY917505 TBU917504:TBU917505 TLQ917504:TLQ917505 TVM917504:TVM917505 UFI917504:UFI917505 UPE917504:UPE917505 UZA917504:UZA917505 VIW917504:VIW917505 VSS917504:VSS917505 WCO917504:WCO917505 WMK917504:WMK917505 WWG917504:WWG917505 AB983040:AB983041 JU983040:JU983041 TQ983040:TQ983041 ADM983040:ADM983041 ANI983040:ANI983041 AXE983040:AXE983041 BHA983040:BHA983041 BQW983040:BQW983041 CAS983040:CAS983041 CKO983040:CKO983041 CUK983040:CUK983041 DEG983040:DEG983041 DOC983040:DOC983041 DXY983040:DXY983041 EHU983040:EHU983041 ERQ983040:ERQ983041 FBM983040:FBM983041 FLI983040:FLI983041 FVE983040:FVE983041 GFA983040:GFA983041 GOW983040:GOW983041 GYS983040:GYS983041 HIO983040:HIO983041 HSK983040:HSK983041 ICG983040:ICG983041 IMC983040:IMC983041 IVY983040:IVY983041 JFU983040:JFU983041 JPQ983040:JPQ983041 JZM983040:JZM983041 KJI983040:KJI983041 KTE983040:KTE983041 LDA983040:LDA983041 LMW983040:LMW983041 LWS983040:LWS983041 MGO983040:MGO983041 MQK983040:MQK983041 NAG983040:NAG983041 NKC983040:NKC983041 NTY983040:NTY983041 ODU983040:ODU983041 ONQ983040:ONQ983041 OXM983040:OXM983041 PHI983040:PHI983041 PRE983040:PRE983041 QBA983040:QBA983041 QKW983040:QKW983041 QUS983040:QUS983041 REO983040:REO983041 ROK983040:ROK983041 RYG983040:RYG983041 SIC983040:SIC983041 SRY983040:SRY983041 TBU983040:TBU983041 TLQ983040:TLQ983041 TVM983040:TVM983041 UFI983040:UFI983041 UPE983040:UPE983041 UZA983040:UZA983041 VIW983040:VIW983041 VSS983040:VSS983041 WCO983040:WCO983041 WMK983040:WMK983041 WWG983040:WWG983041 AD65536:AD65537 JX65536:JX65537 TT65536:TT65537 ADP65536:ADP65537 ANL65536:ANL65537 AXH65536:AXH65537 BHD65536:BHD65537 BQZ65536:BQZ65537 CAV65536:CAV65537 CKR65536:CKR65537 CUN65536:CUN65537 DEJ65536:DEJ65537 DOF65536:DOF65537 DYB65536:DYB65537 EHX65536:EHX65537 ERT65536:ERT65537 FBP65536:FBP65537 FLL65536:FLL65537 FVH65536:FVH65537 GFD65536:GFD65537 GOZ65536:GOZ65537 GYV65536:GYV65537 HIR65536:HIR65537 HSN65536:HSN65537 ICJ65536:ICJ65537 IMF65536:IMF65537 IWB65536:IWB65537 JFX65536:JFX65537 JPT65536:JPT65537 JZP65536:JZP65537 KJL65536:KJL65537 KTH65536:KTH65537 LDD65536:LDD65537 LMZ65536:LMZ65537 LWV65536:LWV65537 MGR65536:MGR65537 MQN65536:MQN65537 NAJ65536:NAJ65537 NKF65536:NKF65537 NUB65536:NUB65537 ODX65536:ODX65537 ONT65536:ONT65537 OXP65536:OXP65537 PHL65536:PHL65537 PRH65536:PRH65537 QBD65536:QBD65537 QKZ65536:QKZ65537 QUV65536:QUV65537 RER65536:RER65537 RON65536:RON65537 RYJ65536:RYJ65537 SIF65536:SIF65537 SSB65536:SSB65537 TBX65536:TBX65537 TLT65536:TLT65537 TVP65536:TVP65537 UFL65536:UFL65537 UPH65536:UPH65537 UZD65536:UZD65537 VIZ65536:VIZ65537 VSV65536:VSV65537 WCR65536:WCR65537 WMN65536:WMN65537 WWJ65536:WWJ65537 AD131072:AD131073 JX131072:JX131073 TT131072:TT131073 ADP131072:ADP131073 ANL131072:ANL131073 AXH131072:AXH131073 BHD131072:BHD131073 BQZ131072:BQZ131073 CAV131072:CAV131073 CKR131072:CKR131073 CUN131072:CUN131073 DEJ131072:DEJ131073 DOF131072:DOF131073 DYB131072:DYB131073 EHX131072:EHX131073 ERT131072:ERT131073 FBP131072:FBP131073 FLL131072:FLL131073 FVH131072:FVH131073 GFD131072:GFD131073 GOZ131072:GOZ131073 GYV131072:GYV131073 HIR131072:HIR131073 HSN131072:HSN131073 ICJ131072:ICJ131073 IMF131072:IMF131073 IWB131072:IWB131073 JFX131072:JFX131073 JPT131072:JPT131073 JZP131072:JZP131073 KJL131072:KJL131073 KTH131072:KTH131073 LDD131072:LDD131073 LMZ131072:LMZ131073 LWV131072:LWV131073 MGR131072:MGR131073 MQN131072:MQN131073 NAJ131072:NAJ131073 NKF131072:NKF131073 NUB131072:NUB131073 ODX131072:ODX131073 ONT131072:ONT131073 OXP131072:OXP131073 PHL131072:PHL131073 PRH131072:PRH131073 QBD131072:QBD131073 QKZ131072:QKZ131073 QUV131072:QUV131073 RER131072:RER131073 RON131072:RON131073 RYJ131072:RYJ131073 SIF131072:SIF131073 SSB131072:SSB131073 TBX131072:TBX131073 TLT131072:TLT131073 TVP131072:TVP131073 UFL131072:UFL131073 UPH131072:UPH131073 UZD131072:UZD131073 VIZ131072:VIZ131073 VSV131072:VSV131073 WCR131072:WCR131073 WMN131072:WMN131073 WWJ131072:WWJ131073 AD196608:AD196609 JX196608:JX196609 TT196608:TT196609 ADP196608:ADP196609 ANL196608:ANL196609 AXH196608:AXH196609 BHD196608:BHD196609 BQZ196608:BQZ196609 CAV196608:CAV196609 CKR196608:CKR196609 CUN196608:CUN196609 DEJ196608:DEJ196609 DOF196608:DOF196609 DYB196608:DYB196609 EHX196608:EHX196609 ERT196608:ERT196609 FBP196608:FBP196609 FLL196608:FLL196609 FVH196608:FVH196609 GFD196608:GFD196609 GOZ196608:GOZ196609 GYV196608:GYV196609 HIR196608:HIR196609 HSN196608:HSN196609 ICJ196608:ICJ196609 IMF196608:IMF196609 IWB196608:IWB196609 JFX196608:JFX196609 JPT196608:JPT196609 JZP196608:JZP196609 KJL196608:KJL196609 KTH196608:KTH196609 LDD196608:LDD196609 LMZ196608:LMZ196609 LWV196608:LWV196609 MGR196608:MGR196609 MQN196608:MQN196609 NAJ196608:NAJ196609 NKF196608:NKF196609 NUB196608:NUB196609 ODX196608:ODX196609 ONT196608:ONT196609 OXP196608:OXP196609 PHL196608:PHL196609 PRH196608:PRH196609 QBD196608:QBD196609 QKZ196608:QKZ196609 QUV196608:QUV196609 RER196608:RER196609 RON196608:RON196609 RYJ196608:RYJ196609 SIF196608:SIF196609 SSB196608:SSB196609 TBX196608:TBX196609 TLT196608:TLT196609 TVP196608:TVP196609 UFL196608:UFL196609 UPH196608:UPH196609 UZD196608:UZD196609 VIZ196608:VIZ196609 VSV196608:VSV196609 WCR196608:WCR196609 WMN196608:WMN196609 WWJ196608:WWJ196609 AD262144:AD262145 JX262144:JX262145 TT262144:TT262145 ADP262144:ADP262145 ANL262144:ANL262145 AXH262144:AXH262145 BHD262144:BHD262145 BQZ262144:BQZ262145 CAV262144:CAV262145 CKR262144:CKR262145 CUN262144:CUN262145 DEJ262144:DEJ262145 DOF262144:DOF262145 DYB262144:DYB262145 EHX262144:EHX262145 ERT262144:ERT262145 FBP262144:FBP262145 FLL262144:FLL262145 FVH262144:FVH262145 GFD262144:GFD262145 GOZ262144:GOZ262145 GYV262144:GYV262145 HIR262144:HIR262145 HSN262144:HSN262145 ICJ262144:ICJ262145 IMF262144:IMF262145 IWB262144:IWB262145 JFX262144:JFX262145 JPT262144:JPT262145 JZP262144:JZP262145 KJL262144:KJL262145 KTH262144:KTH262145 LDD262144:LDD262145 LMZ262144:LMZ262145 LWV262144:LWV262145 MGR262144:MGR262145 MQN262144:MQN262145 NAJ262144:NAJ262145 NKF262144:NKF262145 NUB262144:NUB262145 ODX262144:ODX262145 ONT262144:ONT262145 OXP262144:OXP262145 PHL262144:PHL262145 PRH262144:PRH262145 QBD262144:QBD262145 QKZ262144:QKZ262145 QUV262144:QUV262145 RER262144:RER262145 RON262144:RON262145 RYJ262144:RYJ262145 SIF262144:SIF262145 SSB262144:SSB262145 TBX262144:TBX262145 TLT262144:TLT262145 TVP262144:TVP262145 UFL262144:UFL262145 UPH262144:UPH262145 UZD262144:UZD262145 VIZ262144:VIZ262145 VSV262144:VSV262145 WCR262144:WCR262145 WMN262144:WMN262145 WWJ262144:WWJ262145 AD327680:AD327681 JX327680:JX327681 TT327680:TT327681 ADP327680:ADP327681 ANL327680:ANL327681 AXH327680:AXH327681 BHD327680:BHD327681 BQZ327680:BQZ327681 CAV327680:CAV327681 CKR327680:CKR327681 CUN327680:CUN327681 DEJ327680:DEJ327681 DOF327680:DOF327681 DYB327680:DYB327681 EHX327680:EHX327681 ERT327680:ERT327681 FBP327680:FBP327681 FLL327680:FLL327681 FVH327680:FVH327681 GFD327680:GFD327681 GOZ327680:GOZ327681 GYV327680:GYV327681 HIR327680:HIR327681 HSN327680:HSN327681 ICJ327680:ICJ327681 IMF327680:IMF327681 IWB327680:IWB327681 JFX327680:JFX327681 JPT327680:JPT327681 JZP327680:JZP327681 KJL327680:KJL327681 KTH327680:KTH327681 LDD327680:LDD327681 LMZ327680:LMZ327681 LWV327680:LWV327681 MGR327680:MGR327681 MQN327680:MQN327681 NAJ327680:NAJ327681 NKF327680:NKF327681 NUB327680:NUB327681 ODX327680:ODX327681 ONT327680:ONT327681 OXP327680:OXP327681 PHL327680:PHL327681 PRH327680:PRH327681 QBD327680:QBD327681 QKZ327680:QKZ327681 QUV327680:QUV327681 RER327680:RER327681 RON327680:RON327681 RYJ327680:RYJ327681 SIF327680:SIF327681 SSB327680:SSB327681 TBX327680:TBX327681 TLT327680:TLT327681 TVP327680:TVP327681 UFL327680:UFL327681 UPH327680:UPH327681 UZD327680:UZD327681 VIZ327680:VIZ327681 VSV327680:VSV327681 WCR327680:WCR327681 WMN327680:WMN327681 WWJ327680:WWJ327681 AD393216:AD393217 JX393216:JX393217 TT393216:TT393217 ADP393216:ADP393217 ANL393216:ANL393217 AXH393216:AXH393217 BHD393216:BHD393217 BQZ393216:BQZ393217 CAV393216:CAV393217 CKR393216:CKR393217 CUN393216:CUN393217 DEJ393216:DEJ393217 DOF393216:DOF393217 DYB393216:DYB393217 EHX393216:EHX393217 ERT393216:ERT393217 FBP393216:FBP393217 FLL393216:FLL393217 FVH393216:FVH393217 GFD393216:GFD393217 GOZ393216:GOZ393217 GYV393216:GYV393217 HIR393216:HIR393217 HSN393216:HSN393217 ICJ393216:ICJ393217 IMF393216:IMF393217 IWB393216:IWB393217 JFX393216:JFX393217 JPT393216:JPT393217 JZP393216:JZP393217 KJL393216:KJL393217 KTH393216:KTH393217 LDD393216:LDD393217 LMZ393216:LMZ393217 LWV393216:LWV393217 MGR393216:MGR393217 MQN393216:MQN393217 NAJ393216:NAJ393217 NKF393216:NKF393217 NUB393216:NUB393217 ODX393216:ODX393217 ONT393216:ONT393217 OXP393216:OXP393217 PHL393216:PHL393217 PRH393216:PRH393217 QBD393216:QBD393217 QKZ393216:QKZ393217 QUV393216:QUV393217 RER393216:RER393217 RON393216:RON393217 RYJ393216:RYJ393217 SIF393216:SIF393217 SSB393216:SSB393217 TBX393216:TBX393217 TLT393216:TLT393217 TVP393216:TVP393217 UFL393216:UFL393217 UPH393216:UPH393217 UZD393216:UZD393217 VIZ393216:VIZ393217 VSV393216:VSV393217 WCR393216:WCR393217 WMN393216:WMN393217 WWJ393216:WWJ393217 AD458752:AD458753 JX458752:JX458753 TT458752:TT458753 ADP458752:ADP458753 ANL458752:ANL458753 AXH458752:AXH458753 BHD458752:BHD458753 BQZ458752:BQZ458753 CAV458752:CAV458753 CKR458752:CKR458753 CUN458752:CUN458753 DEJ458752:DEJ458753 DOF458752:DOF458753 DYB458752:DYB458753 EHX458752:EHX458753 ERT458752:ERT458753 FBP458752:FBP458753 FLL458752:FLL458753 FVH458752:FVH458753 GFD458752:GFD458753 GOZ458752:GOZ458753 GYV458752:GYV458753 HIR458752:HIR458753 HSN458752:HSN458753 ICJ458752:ICJ458753 IMF458752:IMF458753 IWB458752:IWB458753 JFX458752:JFX458753 JPT458752:JPT458753 JZP458752:JZP458753 KJL458752:KJL458753 KTH458752:KTH458753 LDD458752:LDD458753 LMZ458752:LMZ458753 LWV458752:LWV458753 MGR458752:MGR458753 MQN458752:MQN458753 NAJ458752:NAJ458753 NKF458752:NKF458753 NUB458752:NUB458753 ODX458752:ODX458753 ONT458752:ONT458753 OXP458752:OXP458753 PHL458752:PHL458753 PRH458752:PRH458753 QBD458752:QBD458753 QKZ458752:QKZ458753 QUV458752:QUV458753 RER458752:RER458753 RON458752:RON458753 RYJ458752:RYJ458753 SIF458752:SIF458753 SSB458752:SSB458753 TBX458752:TBX458753 TLT458752:TLT458753 TVP458752:TVP458753 UFL458752:UFL458753 UPH458752:UPH458753 UZD458752:UZD458753 VIZ458752:VIZ458753 VSV458752:VSV458753 WCR458752:WCR458753 WMN458752:WMN458753 WWJ458752:WWJ458753 AD524288:AD524289 JX524288:JX524289 TT524288:TT524289 ADP524288:ADP524289 ANL524288:ANL524289 AXH524288:AXH524289 BHD524288:BHD524289 BQZ524288:BQZ524289 CAV524288:CAV524289 CKR524288:CKR524289 CUN524288:CUN524289 DEJ524288:DEJ524289 DOF524288:DOF524289 DYB524288:DYB524289 EHX524288:EHX524289 ERT524288:ERT524289 FBP524288:FBP524289 FLL524288:FLL524289 FVH524288:FVH524289 GFD524288:GFD524289 GOZ524288:GOZ524289 GYV524288:GYV524289 HIR524288:HIR524289 HSN524288:HSN524289 ICJ524288:ICJ524289 IMF524288:IMF524289 IWB524288:IWB524289 JFX524288:JFX524289 JPT524288:JPT524289 JZP524288:JZP524289 KJL524288:KJL524289 KTH524288:KTH524289 LDD524288:LDD524289 LMZ524288:LMZ524289 LWV524288:LWV524289 MGR524288:MGR524289 MQN524288:MQN524289 NAJ524288:NAJ524289 NKF524288:NKF524289 NUB524288:NUB524289 ODX524288:ODX524289 ONT524288:ONT524289 OXP524288:OXP524289 PHL524288:PHL524289 PRH524288:PRH524289 QBD524288:QBD524289 QKZ524288:QKZ524289 QUV524288:QUV524289 RER524288:RER524289 RON524288:RON524289 RYJ524288:RYJ524289 SIF524288:SIF524289 SSB524288:SSB524289 TBX524288:TBX524289 TLT524288:TLT524289 TVP524288:TVP524289 UFL524288:UFL524289 UPH524288:UPH524289 UZD524288:UZD524289 VIZ524288:VIZ524289 VSV524288:VSV524289 WCR524288:WCR524289 WMN524288:WMN524289 WWJ524288:WWJ524289 AD589824:AD589825 JX589824:JX589825 TT589824:TT589825 ADP589824:ADP589825 ANL589824:ANL589825 AXH589824:AXH589825 BHD589824:BHD589825 BQZ589824:BQZ589825 CAV589824:CAV589825 CKR589824:CKR589825 CUN589824:CUN589825 DEJ589824:DEJ589825 DOF589824:DOF589825 DYB589824:DYB589825 EHX589824:EHX589825 ERT589824:ERT589825 FBP589824:FBP589825 FLL589824:FLL589825 FVH589824:FVH589825 GFD589824:GFD589825 GOZ589824:GOZ589825 GYV589824:GYV589825 HIR589824:HIR589825 HSN589824:HSN589825 ICJ589824:ICJ589825 IMF589824:IMF589825 IWB589824:IWB589825 JFX589824:JFX589825 JPT589824:JPT589825 JZP589824:JZP589825 KJL589824:KJL589825 KTH589824:KTH589825 LDD589824:LDD589825 LMZ589824:LMZ589825 LWV589824:LWV589825 MGR589824:MGR589825 MQN589824:MQN589825 NAJ589824:NAJ589825 NKF589824:NKF589825 NUB589824:NUB589825 ODX589824:ODX589825 ONT589824:ONT589825 OXP589824:OXP589825 PHL589824:PHL589825 PRH589824:PRH589825 QBD589824:QBD589825 QKZ589824:QKZ589825 QUV589824:QUV589825 RER589824:RER589825 RON589824:RON589825 RYJ589824:RYJ589825 SIF589824:SIF589825 SSB589824:SSB589825 TBX589824:TBX589825 TLT589824:TLT589825 TVP589824:TVP589825 UFL589824:UFL589825 UPH589824:UPH589825 UZD589824:UZD589825 VIZ589824:VIZ589825 VSV589824:VSV589825 WCR589824:WCR589825 WMN589824:WMN589825 WWJ589824:WWJ589825 AD655360:AD655361 JX655360:JX655361 TT655360:TT655361 ADP655360:ADP655361 ANL655360:ANL655361 AXH655360:AXH655361 BHD655360:BHD655361 BQZ655360:BQZ655361 CAV655360:CAV655361 CKR655360:CKR655361 CUN655360:CUN655361 DEJ655360:DEJ655361 DOF655360:DOF655361 DYB655360:DYB655361 EHX655360:EHX655361 ERT655360:ERT655361 FBP655360:FBP655361 FLL655360:FLL655361 FVH655360:FVH655361 GFD655360:GFD655361 GOZ655360:GOZ655361 GYV655360:GYV655361 HIR655360:HIR655361 HSN655360:HSN655361 ICJ655360:ICJ655361 IMF655360:IMF655361 IWB655360:IWB655361 JFX655360:JFX655361 JPT655360:JPT655361 JZP655360:JZP655361 KJL655360:KJL655361 KTH655360:KTH655361 LDD655360:LDD655361 LMZ655360:LMZ655361 LWV655360:LWV655361 MGR655360:MGR655361 MQN655360:MQN655361 NAJ655360:NAJ655361 NKF655360:NKF655361 NUB655360:NUB655361 ODX655360:ODX655361 ONT655360:ONT655361 OXP655360:OXP655361 PHL655360:PHL655361 PRH655360:PRH655361 QBD655360:QBD655361 QKZ655360:QKZ655361 QUV655360:QUV655361 RER655360:RER655361 RON655360:RON655361 RYJ655360:RYJ655361 SIF655360:SIF655361 SSB655360:SSB655361 TBX655360:TBX655361 TLT655360:TLT655361 TVP655360:TVP655361 UFL655360:UFL655361 UPH655360:UPH655361 UZD655360:UZD655361 VIZ655360:VIZ655361 VSV655360:VSV655361 WCR655360:WCR655361 WMN655360:WMN655361 WWJ655360:WWJ655361 AD720896:AD720897 JX720896:JX720897 TT720896:TT720897 ADP720896:ADP720897 ANL720896:ANL720897 AXH720896:AXH720897 BHD720896:BHD720897 BQZ720896:BQZ720897 CAV720896:CAV720897 CKR720896:CKR720897 CUN720896:CUN720897 DEJ720896:DEJ720897 DOF720896:DOF720897 DYB720896:DYB720897 EHX720896:EHX720897 ERT720896:ERT720897 FBP720896:FBP720897 FLL720896:FLL720897 FVH720896:FVH720897 GFD720896:GFD720897 GOZ720896:GOZ720897 GYV720896:GYV720897 HIR720896:HIR720897 HSN720896:HSN720897 ICJ720896:ICJ720897 IMF720896:IMF720897 IWB720896:IWB720897 JFX720896:JFX720897 JPT720896:JPT720897 JZP720896:JZP720897 KJL720896:KJL720897 KTH720896:KTH720897 LDD720896:LDD720897 LMZ720896:LMZ720897 LWV720896:LWV720897 MGR720896:MGR720897 MQN720896:MQN720897 NAJ720896:NAJ720897 NKF720896:NKF720897 NUB720896:NUB720897 ODX720896:ODX720897 ONT720896:ONT720897 OXP720896:OXP720897 PHL720896:PHL720897 PRH720896:PRH720897 QBD720896:QBD720897 QKZ720896:QKZ720897 QUV720896:QUV720897 RER720896:RER720897 RON720896:RON720897 RYJ720896:RYJ720897 SIF720896:SIF720897 SSB720896:SSB720897 TBX720896:TBX720897 TLT720896:TLT720897 TVP720896:TVP720897 UFL720896:UFL720897 UPH720896:UPH720897 UZD720896:UZD720897 VIZ720896:VIZ720897 VSV720896:VSV720897 WCR720896:WCR720897 WMN720896:WMN720897 WWJ720896:WWJ720897 AD786432:AD786433 JX786432:JX786433 TT786432:TT786433 ADP786432:ADP786433 ANL786432:ANL786433 AXH786432:AXH786433 BHD786432:BHD786433 BQZ786432:BQZ786433 CAV786432:CAV786433 CKR786432:CKR786433 CUN786432:CUN786433 DEJ786432:DEJ786433 DOF786432:DOF786433 DYB786432:DYB786433 EHX786432:EHX786433 ERT786432:ERT786433 FBP786432:FBP786433 FLL786432:FLL786433 FVH786432:FVH786433 GFD786432:GFD786433 GOZ786432:GOZ786433 GYV786432:GYV786433 HIR786432:HIR786433 HSN786432:HSN786433 ICJ786432:ICJ786433 IMF786432:IMF786433 IWB786432:IWB786433 JFX786432:JFX786433 JPT786432:JPT786433 JZP786432:JZP786433 KJL786432:KJL786433 KTH786432:KTH786433 LDD786432:LDD786433 LMZ786432:LMZ786433 LWV786432:LWV786433 MGR786432:MGR786433 MQN786432:MQN786433 NAJ786432:NAJ786433 NKF786432:NKF786433 NUB786432:NUB786433 ODX786432:ODX786433 ONT786432:ONT786433 OXP786432:OXP786433 PHL786432:PHL786433 PRH786432:PRH786433 QBD786432:QBD786433 QKZ786432:QKZ786433 QUV786432:QUV786433 RER786432:RER786433 RON786432:RON786433 RYJ786432:RYJ786433 SIF786432:SIF786433 SSB786432:SSB786433 TBX786432:TBX786433 TLT786432:TLT786433 TVP786432:TVP786433 UFL786432:UFL786433 UPH786432:UPH786433 UZD786432:UZD786433 VIZ786432:VIZ786433 VSV786432:VSV786433 WCR786432:WCR786433 WMN786432:WMN786433 WWJ786432:WWJ786433 AD851968:AD851969 JX851968:JX851969 TT851968:TT851969 ADP851968:ADP851969 ANL851968:ANL851969 AXH851968:AXH851969 BHD851968:BHD851969 BQZ851968:BQZ851969 CAV851968:CAV851969 CKR851968:CKR851969 CUN851968:CUN851969 DEJ851968:DEJ851969 DOF851968:DOF851969 DYB851968:DYB851969 EHX851968:EHX851969 ERT851968:ERT851969 FBP851968:FBP851969 FLL851968:FLL851969 FVH851968:FVH851969 GFD851968:GFD851969 GOZ851968:GOZ851969 GYV851968:GYV851969 HIR851968:HIR851969 HSN851968:HSN851969 ICJ851968:ICJ851969 IMF851968:IMF851969 IWB851968:IWB851969 JFX851968:JFX851969 JPT851968:JPT851969 JZP851968:JZP851969 KJL851968:KJL851969 KTH851968:KTH851969 LDD851968:LDD851969 LMZ851968:LMZ851969 LWV851968:LWV851969 MGR851968:MGR851969 MQN851968:MQN851969 NAJ851968:NAJ851969 NKF851968:NKF851969 NUB851968:NUB851969 ODX851968:ODX851969 ONT851968:ONT851969 OXP851968:OXP851969 PHL851968:PHL851969 PRH851968:PRH851969 QBD851968:QBD851969 QKZ851968:QKZ851969 QUV851968:QUV851969 RER851968:RER851969 RON851968:RON851969 RYJ851968:RYJ851969 SIF851968:SIF851969 SSB851968:SSB851969 TBX851968:TBX851969 TLT851968:TLT851969 TVP851968:TVP851969 UFL851968:UFL851969 UPH851968:UPH851969 UZD851968:UZD851969 VIZ851968:VIZ851969 VSV851968:VSV851969 WCR851968:WCR851969 WMN851968:WMN851969 WWJ851968:WWJ851969 AD917504:AD917505 JX917504:JX917505 TT917504:TT917505 ADP917504:ADP917505 ANL917504:ANL917505 AXH917504:AXH917505 BHD917504:BHD917505 BQZ917504:BQZ917505 CAV917504:CAV917505 CKR917504:CKR917505 CUN917504:CUN917505 DEJ917504:DEJ917505 DOF917504:DOF917505 DYB917504:DYB917505 EHX917504:EHX917505 ERT917504:ERT917505 FBP917504:FBP917505 FLL917504:FLL917505 FVH917504:FVH917505 GFD917504:GFD917505 GOZ917504:GOZ917505 GYV917504:GYV917505 HIR917504:HIR917505 HSN917504:HSN917505 ICJ917504:ICJ917505 IMF917504:IMF917505 IWB917504:IWB917505 JFX917504:JFX917505 JPT917504:JPT917505 JZP917504:JZP917505 KJL917504:KJL917505 KTH917504:KTH917505 LDD917504:LDD917505 LMZ917504:LMZ917505 LWV917504:LWV917505 MGR917504:MGR917505 MQN917504:MQN917505 NAJ917504:NAJ917505 NKF917504:NKF917505 NUB917504:NUB917505 ODX917504:ODX917505 ONT917504:ONT917505 OXP917504:OXP917505 PHL917504:PHL917505 PRH917504:PRH917505 QBD917504:QBD917505 QKZ917504:QKZ917505 QUV917504:QUV917505 RER917504:RER917505 RON917504:RON917505 RYJ917504:RYJ917505 SIF917504:SIF917505 SSB917504:SSB917505 TBX917504:TBX917505 TLT917504:TLT917505 TVP917504:TVP917505 UFL917504:UFL917505 UPH917504:UPH917505 UZD917504:UZD917505 VIZ917504:VIZ917505 VSV917504:VSV917505 WCR917504:WCR917505 WMN917504:WMN917505 WWJ917504:WWJ917505 AD983040:AD983041 JX983040:JX983041 TT983040:TT983041 ADP983040:ADP983041 ANL983040:ANL983041 AXH983040:AXH983041 BHD983040:BHD983041 BQZ983040:BQZ983041 CAV983040:CAV983041 CKR983040:CKR983041 CUN983040:CUN983041 DEJ983040:DEJ983041 DOF983040:DOF983041 DYB983040:DYB983041 EHX983040:EHX983041 ERT983040:ERT983041 FBP983040:FBP983041 FLL983040:FLL983041 FVH983040:FVH983041 GFD983040:GFD983041 GOZ983040:GOZ983041 GYV983040:GYV983041 HIR983040:HIR983041 HSN983040:HSN983041 ICJ983040:ICJ983041 IMF983040:IMF983041 IWB983040:IWB983041 JFX983040:JFX983041 JPT983040:JPT983041 JZP983040:JZP983041 KJL983040:KJL983041 KTH983040:KTH983041 LDD983040:LDD983041 LMZ983040:LMZ983041 LWV983040:LWV983041 MGR983040:MGR983041 MQN983040:MQN983041 NAJ983040:NAJ983041 NKF983040:NKF983041 NUB983040:NUB983041 ODX983040:ODX983041 ONT983040:ONT983041 OXP983040:OXP983041 PHL983040:PHL983041 PRH983040:PRH983041 QBD983040:QBD983041 QKZ983040:QKZ983041 QUV983040:QUV983041 RER983040:RER983041 RON983040:RON983041 RYJ983040:RYJ983041 SIF983040:SIF983041 SSB983040:SSB983041 TBX983040:TBX983041 TLT983040:TLT983041 TVP983040:TVP983041 UFL983040:UFL983041 UPH983040:UPH983041 UZD983040:UZD983041 VIZ983040:VIZ983041 VSV983040:VSV983041 WCR983040:WCR983041 WMN983040:WMN983041 WWJ983040:WWJ983041 UOX11:UOX16 AF65536:AF65537 KA65536:KA65537 TW65536:TW65537 ADS65536:ADS65537 ANO65536:ANO65537 AXK65536:AXK65537 BHG65536:BHG65537 BRC65536:BRC65537 CAY65536:CAY65537 CKU65536:CKU65537 CUQ65536:CUQ65537 DEM65536:DEM65537 DOI65536:DOI65537 DYE65536:DYE65537 EIA65536:EIA65537 ERW65536:ERW65537 FBS65536:FBS65537 FLO65536:FLO65537 FVK65536:FVK65537 GFG65536:GFG65537 GPC65536:GPC65537 GYY65536:GYY65537 HIU65536:HIU65537 HSQ65536:HSQ65537 ICM65536:ICM65537 IMI65536:IMI65537 IWE65536:IWE65537 JGA65536:JGA65537 JPW65536:JPW65537 JZS65536:JZS65537 KJO65536:KJO65537 KTK65536:KTK65537 LDG65536:LDG65537 LNC65536:LNC65537 LWY65536:LWY65537 MGU65536:MGU65537 MQQ65536:MQQ65537 NAM65536:NAM65537 NKI65536:NKI65537 NUE65536:NUE65537 OEA65536:OEA65537 ONW65536:ONW65537 OXS65536:OXS65537 PHO65536:PHO65537 PRK65536:PRK65537 QBG65536:QBG65537 QLC65536:QLC65537 QUY65536:QUY65537 REU65536:REU65537 ROQ65536:ROQ65537 RYM65536:RYM65537 SII65536:SII65537 SSE65536:SSE65537 TCA65536:TCA65537 TLW65536:TLW65537 TVS65536:TVS65537 UFO65536:UFO65537 UPK65536:UPK65537 UZG65536:UZG65537 VJC65536:VJC65537 VSY65536:VSY65537 WCU65536:WCU65537 WMQ65536:WMQ65537 WWM65536:WWM65537 AF131072:AF131073 KA131072:KA131073 TW131072:TW131073 ADS131072:ADS131073 ANO131072:ANO131073 AXK131072:AXK131073 BHG131072:BHG131073 BRC131072:BRC131073 CAY131072:CAY131073 CKU131072:CKU131073 CUQ131072:CUQ131073 DEM131072:DEM131073 DOI131072:DOI131073 DYE131072:DYE131073 EIA131072:EIA131073 ERW131072:ERW131073 FBS131072:FBS131073 FLO131072:FLO131073 FVK131072:FVK131073 GFG131072:GFG131073 GPC131072:GPC131073 GYY131072:GYY131073 HIU131072:HIU131073 HSQ131072:HSQ131073 ICM131072:ICM131073 IMI131072:IMI131073 IWE131072:IWE131073 JGA131072:JGA131073 JPW131072:JPW131073 JZS131072:JZS131073 KJO131072:KJO131073 KTK131072:KTK131073 LDG131072:LDG131073 LNC131072:LNC131073 LWY131072:LWY131073 MGU131072:MGU131073 MQQ131072:MQQ131073 NAM131072:NAM131073 NKI131072:NKI131073 NUE131072:NUE131073 OEA131072:OEA131073 ONW131072:ONW131073 OXS131072:OXS131073 PHO131072:PHO131073 PRK131072:PRK131073 QBG131072:QBG131073 QLC131072:QLC131073 QUY131072:QUY131073 REU131072:REU131073 ROQ131072:ROQ131073 RYM131072:RYM131073 SII131072:SII131073 SSE131072:SSE131073 TCA131072:TCA131073 TLW131072:TLW131073 TVS131072:TVS131073 UFO131072:UFO131073 UPK131072:UPK131073 UZG131072:UZG131073 VJC131072:VJC131073 VSY131072:VSY131073 WCU131072:WCU131073 WMQ131072:WMQ131073 WWM131072:WWM131073 AF196608:AF196609 KA196608:KA196609 TW196608:TW196609 ADS196608:ADS196609 ANO196608:ANO196609 AXK196608:AXK196609 BHG196608:BHG196609 BRC196608:BRC196609 CAY196608:CAY196609 CKU196608:CKU196609 CUQ196608:CUQ196609 DEM196608:DEM196609 DOI196608:DOI196609 DYE196608:DYE196609 EIA196608:EIA196609 ERW196608:ERW196609 FBS196608:FBS196609 FLO196608:FLO196609 FVK196608:FVK196609 GFG196608:GFG196609 GPC196608:GPC196609 GYY196608:GYY196609 HIU196608:HIU196609 HSQ196608:HSQ196609 ICM196608:ICM196609 IMI196608:IMI196609 IWE196608:IWE196609 JGA196608:JGA196609 JPW196608:JPW196609 JZS196608:JZS196609 KJO196608:KJO196609 KTK196608:KTK196609 LDG196608:LDG196609 LNC196608:LNC196609 LWY196608:LWY196609 MGU196608:MGU196609 MQQ196608:MQQ196609 NAM196608:NAM196609 NKI196608:NKI196609 NUE196608:NUE196609 OEA196608:OEA196609 ONW196608:ONW196609 OXS196608:OXS196609 PHO196608:PHO196609 PRK196608:PRK196609 QBG196608:QBG196609 QLC196608:QLC196609 QUY196608:QUY196609 REU196608:REU196609 ROQ196608:ROQ196609 RYM196608:RYM196609 SII196608:SII196609 SSE196608:SSE196609 TCA196608:TCA196609 TLW196608:TLW196609 TVS196608:TVS196609 UFO196608:UFO196609 UPK196608:UPK196609 UZG196608:UZG196609 VJC196608:VJC196609 VSY196608:VSY196609 WCU196608:WCU196609 WMQ196608:WMQ196609 WWM196608:WWM196609 AF262144:AF262145 KA262144:KA262145 TW262144:TW262145 ADS262144:ADS262145 ANO262144:ANO262145 AXK262144:AXK262145 BHG262144:BHG262145 BRC262144:BRC262145 CAY262144:CAY262145 CKU262144:CKU262145 CUQ262144:CUQ262145 DEM262144:DEM262145 DOI262144:DOI262145 DYE262144:DYE262145 EIA262144:EIA262145 ERW262144:ERW262145 FBS262144:FBS262145 FLO262144:FLO262145 FVK262144:FVK262145 GFG262144:GFG262145 GPC262144:GPC262145 GYY262144:GYY262145 HIU262144:HIU262145 HSQ262144:HSQ262145 ICM262144:ICM262145 IMI262144:IMI262145 IWE262144:IWE262145 JGA262144:JGA262145 JPW262144:JPW262145 JZS262144:JZS262145 KJO262144:KJO262145 KTK262144:KTK262145 LDG262144:LDG262145 LNC262144:LNC262145 LWY262144:LWY262145 MGU262144:MGU262145 MQQ262144:MQQ262145 NAM262144:NAM262145 NKI262144:NKI262145 NUE262144:NUE262145 OEA262144:OEA262145 ONW262144:ONW262145 OXS262144:OXS262145 PHO262144:PHO262145 PRK262144:PRK262145 QBG262144:QBG262145 QLC262144:QLC262145 QUY262144:QUY262145 REU262144:REU262145 ROQ262144:ROQ262145 RYM262144:RYM262145 SII262144:SII262145 SSE262144:SSE262145 TCA262144:TCA262145 TLW262144:TLW262145 TVS262144:TVS262145 UFO262144:UFO262145 UPK262144:UPK262145 UZG262144:UZG262145 VJC262144:VJC262145 VSY262144:VSY262145 WCU262144:WCU262145 WMQ262144:WMQ262145 WWM262144:WWM262145 AF327680:AF327681 KA327680:KA327681 TW327680:TW327681 ADS327680:ADS327681 ANO327680:ANO327681 AXK327680:AXK327681 BHG327680:BHG327681 BRC327680:BRC327681 CAY327680:CAY327681 CKU327680:CKU327681 CUQ327680:CUQ327681 DEM327680:DEM327681 DOI327680:DOI327681 DYE327680:DYE327681 EIA327680:EIA327681 ERW327680:ERW327681 FBS327680:FBS327681 FLO327680:FLO327681 FVK327680:FVK327681 GFG327680:GFG327681 GPC327680:GPC327681 GYY327680:GYY327681 HIU327680:HIU327681 HSQ327680:HSQ327681 ICM327680:ICM327681 IMI327680:IMI327681 IWE327680:IWE327681 JGA327680:JGA327681 JPW327680:JPW327681 JZS327680:JZS327681 KJO327680:KJO327681 KTK327680:KTK327681 LDG327680:LDG327681 LNC327680:LNC327681 LWY327680:LWY327681 MGU327680:MGU327681 MQQ327680:MQQ327681 NAM327680:NAM327681 NKI327680:NKI327681 NUE327680:NUE327681 OEA327680:OEA327681 ONW327680:ONW327681 OXS327680:OXS327681 PHO327680:PHO327681 PRK327680:PRK327681 QBG327680:QBG327681 QLC327680:QLC327681 QUY327680:QUY327681 REU327680:REU327681 ROQ327680:ROQ327681 RYM327680:RYM327681 SII327680:SII327681 SSE327680:SSE327681 TCA327680:TCA327681 TLW327680:TLW327681 TVS327680:TVS327681 UFO327680:UFO327681 UPK327680:UPK327681 UZG327680:UZG327681 VJC327680:VJC327681 VSY327680:VSY327681 WCU327680:WCU327681 WMQ327680:WMQ327681 WWM327680:WWM327681 AF393216:AF393217 KA393216:KA393217 TW393216:TW393217 ADS393216:ADS393217 ANO393216:ANO393217 AXK393216:AXK393217 BHG393216:BHG393217 BRC393216:BRC393217 CAY393216:CAY393217 CKU393216:CKU393217 CUQ393216:CUQ393217 DEM393216:DEM393217 DOI393216:DOI393217 DYE393216:DYE393217 EIA393216:EIA393217 ERW393216:ERW393217 FBS393216:FBS393217 FLO393216:FLO393217 FVK393216:FVK393217 GFG393216:GFG393217 GPC393216:GPC393217 GYY393216:GYY393217 HIU393216:HIU393217 HSQ393216:HSQ393217 ICM393216:ICM393217 IMI393216:IMI393217 IWE393216:IWE393217 JGA393216:JGA393217 JPW393216:JPW393217 JZS393216:JZS393217 KJO393216:KJO393217 KTK393216:KTK393217 LDG393216:LDG393217 LNC393216:LNC393217 LWY393216:LWY393217 MGU393216:MGU393217 MQQ393216:MQQ393217 NAM393216:NAM393217 NKI393216:NKI393217 NUE393216:NUE393217 OEA393216:OEA393217 ONW393216:ONW393217 OXS393216:OXS393217 PHO393216:PHO393217 PRK393216:PRK393217 QBG393216:QBG393217 QLC393216:QLC393217 QUY393216:QUY393217 REU393216:REU393217 ROQ393216:ROQ393217 RYM393216:RYM393217 SII393216:SII393217 SSE393216:SSE393217 TCA393216:TCA393217 TLW393216:TLW393217 TVS393216:TVS393217 UFO393216:UFO393217 UPK393216:UPK393217 UZG393216:UZG393217 VJC393216:VJC393217 VSY393216:VSY393217 WCU393216:WCU393217 WMQ393216:WMQ393217 WWM393216:WWM393217 AF458752:AF458753 KA458752:KA458753 TW458752:TW458753 ADS458752:ADS458753 ANO458752:ANO458753 AXK458752:AXK458753 BHG458752:BHG458753 BRC458752:BRC458753 CAY458752:CAY458753 CKU458752:CKU458753 CUQ458752:CUQ458753 DEM458752:DEM458753 DOI458752:DOI458753 DYE458752:DYE458753 EIA458752:EIA458753 ERW458752:ERW458753 FBS458752:FBS458753 FLO458752:FLO458753 FVK458752:FVK458753 GFG458752:GFG458753 GPC458752:GPC458753 GYY458752:GYY458753 HIU458752:HIU458753 HSQ458752:HSQ458753 ICM458752:ICM458753 IMI458752:IMI458753 IWE458752:IWE458753 JGA458752:JGA458753 JPW458752:JPW458753 JZS458752:JZS458753 KJO458752:KJO458753 KTK458752:KTK458753 LDG458752:LDG458753 LNC458752:LNC458753 LWY458752:LWY458753 MGU458752:MGU458753 MQQ458752:MQQ458753 NAM458752:NAM458753 NKI458752:NKI458753 NUE458752:NUE458753 OEA458752:OEA458753 ONW458752:ONW458753 OXS458752:OXS458753 PHO458752:PHO458753 PRK458752:PRK458753 QBG458752:QBG458753 QLC458752:QLC458753 QUY458752:QUY458753 REU458752:REU458753 ROQ458752:ROQ458753 RYM458752:RYM458753 SII458752:SII458753 SSE458752:SSE458753 TCA458752:TCA458753 TLW458752:TLW458753 TVS458752:TVS458753 UFO458752:UFO458753 UPK458752:UPK458753 UZG458752:UZG458753 VJC458752:VJC458753 VSY458752:VSY458753 WCU458752:WCU458753 WMQ458752:WMQ458753 WWM458752:WWM458753 AF524288:AF524289 KA524288:KA524289 TW524288:TW524289 ADS524288:ADS524289 ANO524288:ANO524289 AXK524288:AXK524289 BHG524288:BHG524289 BRC524288:BRC524289 CAY524288:CAY524289 CKU524288:CKU524289 CUQ524288:CUQ524289 DEM524288:DEM524289 DOI524288:DOI524289 DYE524288:DYE524289 EIA524288:EIA524289 ERW524288:ERW524289 FBS524288:FBS524289 FLO524288:FLO524289 FVK524288:FVK524289 GFG524288:GFG524289 GPC524288:GPC524289 GYY524288:GYY524289 HIU524288:HIU524289 HSQ524288:HSQ524289 ICM524288:ICM524289 IMI524288:IMI524289 IWE524288:IWE524289 JGA524288:JGA524289 JPW524288:JPW524289 JZS524288:JZS524289 KJO524288:KJO524289 KTK524288:KTK524289 LDG524288:LDG524289 LNC524288:LNC524289 LWY524288:LWY524289 MGU524288:MGU524289 MQQ524288:MQQ524289 NAM524288:NAM524289 NKI524288:NKI524289 NUE524288:NUE524289 OEA524288:OEA524289 ONW524288:ONW524289 OXS524288:OXS524289 PHO524288:PHO524289 PRK524288:PRK524289 QBG524288:QBG524289 QLC524288:QLC524289 QUY524288:QUY524289 REU524288:REU524289 ROQ524288:ROQ524289 RYM524288:RYM524289 SII524288:SII524289 SSE524288:SSE524289 TCA524288:TCA524289 TLW524288:TLW524289 TVS524288:TVS524289 UFO524288:UFO524289 UPK524288:UPK524289 UZG524288:UZG524289 VJC524288:VJC524289 VSY524288:VSY524289 WCU524288:WCU524289 WMQ524288:WMQ524289 WWM524288:WWM524289 AF589824:AF589825 KA589824:KA589825 TW589824:TW589825 ADS589824:ADS589825 ANO589824:ANO589825 AXK589824:AXK589825 BHG589824:BHG589825 BRC589824:BRC589825 CAY589824:CAY589825 CKU589824:CKU589825 CUQ589824:CUQ589825 DEM589824:DEM589825 DOI589824:DOI589825 DYE589824:DYE589825 EIA589824:EIA589825 ERW589824:ERW589825 FBS589824:FBS589825 FLO589824:FLO589825 FVK589824:FVK589825 GFG589824:GFG589825 GPC589824:GPC589825 GYY589824:GYY589825 HIU589824:HIU589825 HSQ589824:HSQ589825 ICM589824:ICM589825 IMI589824:IMI589825 IWE589824:IWE589825 JGA589824:JGA589825 JPW589824:JPW589825 JZS589824:JZS589825 KJO589824:KJO589825 KTK589824:KTK589825 LDG589824:LDG589825 LNC589824:LNC589825 LWY589824:LWY589825 MGU589824:MGU589825 MQQ589824:MQQ589825 NAM589824:NAM589825 NKI589824:NKI589825 NUE589824:NUE589825 OEA589824:OEA589825 ONW589824:ONW589825 OXS589824:OXS589825 PHO589824:PHO589825 PRK589824:PRK589825 QBG589824:QBG589825 QLC589824:QLC589825 QUY589824:QUY589825 REU589824:REU589825 ROQ589824:ROQ589825 RYM589824:RYM589825 SII589824:SII589825 SSE589824:SSE589825 TCA589824:TCA589825 TLW589824:TLW589825 TVS589824:TVS589825 UFO589824:UFO589825 UPK589824:UPK589825 UZG589824:UZG589825 VJC589824:VJC589825 VSY589824:VSY589825 WCU589824:WCU589825 WMQ589824:WMQ589825 WWM589824:WWM589825 AF655360:AF655361 KA655360:KA655361 TW655360:TW655361 ADS655360:ADS655361 ANO655360:ANO655361 AXK655360:AXK655361 BHG655360:BHG655361 BRC655360:BRC655361 CAY655360:CAY655361 CKU655360:CKU655361 CUQ655360:CUQ655361 DEM655360:DEM655361 DOI655360:DOI655361 DYE655360:DYE655361 EIA655360:EIA655361 ERW655360:ERW655361 FBS655360:FBS655361 FLO655360:FLO655361 FVK655360:FVK655361 GFG655360:GFG655361 GPC655360:GPC655361 GYY655360:GYY655361 HIU655360:HIU655361 HSQ655360:HSQ655361 ICM655360:ICM655361 IMI655360:IMI655361 IWE655360:IWE655361 JGA655360:JGA655361 JPW655360:JPW655361 JZS655360:JZS655361 KJO655360:KJO655361 KTK655360:KTK655361 LDG655360:LDG655361 LNC655360:LNC655361 LWY655360:LWY655361 MGU655360:MGU655361 MQQ655360:MQQ655361 NAM655360:NAM655361 NKI655360:NKI655361 NUE655360:NUE655361 OEA655360:OEA655361 ONW655360:ONW655361 OXS655360:OXS655361 PHO655360:PHO655361 PRK655360:PRK655361 QBG655360:QBG655361 QLC655360:QLC655361 QUY655360:QUY655361 REU655360:REU655361 ROQ655360:ROQ655361 RYM655360:RYM655361 SII655360:SII655361 SSE655360:SSE655361 TCA655360:TCA655361 TLW655360:TLW655361 TVS655360:TVS655361 UFO655360:UFO655361 UPK655360:UPK655361 UZG655360:UZG655361 VJC655360:VJC655361 VSY655360:VSY655361 WCU655360:WCU655361 WMQ655360:WMQ655361 WWM655360:WWM655361 AF720896:AF720897 KA720896:KA720897 TW720896:TW720897 ADS720896:ADS720897 ANO720896:ANO720897 AXK720896:AXK720897 BHG720896:BHG720897 BRC720896:BRC720897 CAY720896:CAY720897 CKU720896:CKU720897 CUQ720896:CUQ720897 DEM720896:DEM720897 DOI720896:DOI720897 DYE720896:DYE720897 EIA720896:EIA720897 ERW720896:ERW720897 FBS720896:FBS720897 FLO720896:FLO720897 FVK720896:FVK720897 GFG720896:GFG720897 GPC720896:GPC720897 GYY720896:GYY720897 HIU720896:HIU720897 HSQ720896:HSQ720897 ICM720896:ICM720897 IMI720896:IMI720897 IWE720896:IWE720897 JGA720896:JGA720897 JPW720896:JPW720897 JZS720896:JZS720897 KJO720896:KJO720897 KTK720896:KTK720897 LDG720896:LDG720897 LNC720896:LNC720897 LWY720896:LWY720897 MGU720896:MGU720897 MQQ720896:MQQ720897 NAM720896:NAM720897 NKI720896:NKI720897 NUE720896:NUE720897 OEA720896:OEA720897 ONW720896:ONW720897 OXS720896:OXS720897 PHO720896:PHO720897 PRK720896:PRK720897 QBG720896:QBG720897 QLC720896:QLC720897 QUY720896:QUY720897 REU720896:REU720897 ROQ720896:ROQ720897 RYM720896:RYM720897 SII720896:SII720897 SSE720896:SSE720897 TCA720896:TCA720897 TLW720896:TLW720897 TVS720896:TVS720897 UFO720896:UFO720897 UPK720896:UPK720897 UZG720896:UZG720897 VJC720896:VJC720897 VSY720896:VSY720897 WCU720896:WCU720897 WMQ720896:WMQ720897 WWM720896:WWM720897 AF786432:AF786433 KA786432:KA786433 TW786432:TW786433 ADS786432:ADS786433 ANO786432:ANO786433 AXK786432:AXK786433 BHG786432:BHG786433 BRC786432:BRC786433 CAY786432:CAY786433 CKU786432:CKU786433 CUQ786432:CUQ786433 DEM786432:DEM786433 DOI786432:DOI786433 DYE786432:DYE786433 EIA786432:EIA786433 ERW786432:ERW786433 FBS786432:FBS786433 FLO786432:FLO786433 FVK786432:FVK786433 GFG786432:GFG786433 GPC786432:GPC786433 GYY786432:GYY786433 HIU786432:HIU786433 HSQ786432:HSQ786433 ICM786432:ICM786433 IMI786432:IMI786433 IWE786432:IWE786433 JGA786432:JGA786433 JPW786432:JPW786433 JZS786432:JZS786433 KJO786432:KJO786433 KTK786432:KTK786433 LDG786432:LDG786433 LNC786432:LNC786433 LWY786432:LWY786433 MGU786432:MGU786433 MQQ786432:MQQ786433 NAM786432:NAM786433 NKI786432:NKI786433 NUE786432:NUE786433 OEA786432:OEA786433 ONW786432:ONW786433 OXS786432:OXS786433 PHO786432:PHO786433 PRK786432:PRK786433 QBG786432:QBG786433 QLC786432:QLC786433 QUY786432:QUY786433 REU786432:REU786433 ROQ786432:ROQ786433 RYM786432:RYM786433 SII786432:SII786433 SSE786432:SSE786433 TCA786432:TCA786433 TLW786432:TLW786433 TVS786432:TVS786433 UFO786432:UFO786433 UPK786432:UPK786433 UZG786432:UZG786433 VJC786432:VJC786433 VSY786432:VSY786433 WCU786432:WCU786433 WMQ786432:WMQ786433 WWM786432:WWM786433 AF851968:AF851969 KA851968:KA851969 TW851968:TW851969 ADS851968:ADS851969 ANO851968:ANO851969 AXK851968:AXK851969 BHG851968:BHG851969 BRC851968:BRC851969 CAY851968:CAY851969 CKU851968:CKU851969 CUQ851968:CUQ851969 DEM851968:DEM851969 DOI851968:DOI851969 DYE851968:DYE851969 EIA851968:EIA851969 ERW851968:ERW851969 FBS851968:FBS851969 FLO851968:FLO851969 FVK851968:FVK851969 GFG851968:GFG851969 GPC851968:GPC851969 GYY851968:GYY851969 HIU851968:HIU851969 HSQ851968:HSQ851969 ICM851968:ICM851969 IMI851968:IMI851969 IWE851968:IWE851969 JGA851968:JGA851969 JPW851968:JPW851969 JZS851968:JZS851969 KJO851968:KJO851969 KTK851968:KTK851969 LDG851968:LDG851969 LNC851968:LNC851969 LWY851968:LWY851969 MGU851968:MGU851969 MQQ851968:MQQ851969 NAM851968:NAM851969 NKI851968:NKI851969 NUE851968:NUE851969 OEA851968:OEA851969 ONW851968:ONW851969 OXS851968:OXS851969 PHO851968:PHO851969 PRK851968:PRK851969 QBG851968:QBG851969 QLC851968:QLC851969 QUY851968:QUY851969 REU851968:REU851969 ROQ851968:ROQ851969 RYM851968:RYM851969 SII851968:SII851969 SSE851968:SSE851969 TCA851968:TCA851969 TLW851968:TLW851969 TVS851968:TVS851969 UFO851968:UFO851969 UPK851968:UPK851969 UZG851968:UZG851969 VJC851968:VJC851969 VSY851968:VSY851969 WCU851968:WCU851969 WMQ851968:WMQ851969 WWM851968:WWM851969 AF917504:AF917505 KA917504:KA917505 TW917504:TW917505 ADS917504:ADS917505 ANO917504:ANO917505 AXK917504:AXK917505 BHG917504:BHG917505 BRC917504:BRC917505 CAY917504:CAY917505 CKU917504:CKU917505 CUQ917504:CUQ917505 DEM917504:DEM917505 DOI917504:DOI917505 DYE917504:DYE917505 EIA917504:EIA917505 ERW917504:ERW917505 FBS917504:FBS917505 FLO917504:FLO917505 FVK917504:FVK917505 GFG917504:GFG917505 GPC917504:GPC917505 GYY917504:GYY917505 HIU917504:HIU917505 HSQ917504:HSQ917505 ICM917504:ICM917505 IMI917504:IMI917505 IWE917504:IWE917505 JGA917504:JGA917505 JPW917504:JPW917505 JZS917504:JZS917505 KJO917504:KJO917505 KTK917504:KTK917505 LDG917504:LDG917505 LNC917504:LNC917505 LWY917504:LWY917505 MGU917504:MGU917505 MQQ917504:MQQ917505 NAM917504:NAM917505 NKI917504:NKI917505 NUE917504:NUE917505 OEA917504:OEA917505 ONW917504:ONW917505 OXS917504:OXS917505 PHO917504:PHO917505 PRK917504:PRK917505 QBG917504:QBG917505 QLC917504:QLC917505 QUY917504:QUY917505 REU917504:REU917505 ROQ917504:ROQ917505 RYM917504:RYM917505 SII917504:SII917505 SSE917504:SSE917505 TCA917504:TCA917505 TLW917504:TLW917505 TVS917504:TVS917505 UFO917504:UFO917505 UPK917504:UPK917505 UZG917504:UZG917505 VJC917504:VJC917505 VSY917504:VSY917505 WCU917504:WCU917505 WMQ917504:WMQ917505 WWM917504:WWM917505 AF983040:AF983041 KA983040:KA983041 TW983040:TW983041 ADS983040:ADS983041 ANO983040:ANO983041 AXK983040:AXK983041 BHG983040:BHG983041 BRC983040:BRC983041 CAY983040:CAY983041 CKU983040:CKU983041 CUQ983040:CUQ983041 DEM983040:DEM983041 DOI983040:DOI983041 DYE983040:DYE983041 EIA983040:EIA983041 ERW983040:ERW983041 FBS983040:FBS983041 FLO983040:FLO983041 FVK983040:FVK983041 GFG983040:GFG983041 GPC983040:GPC983041 GYY983040:GYY983041 HIU983040:HIU983041 HSQ983040:HSQ983041 ICM983040:ICM983041 IMI983040:IMI983041 IWE983040:IWE983041 JGA983040:JGA983041 JPW983040:JPW983041 JZS983040:JZS983041 KJO983040:KJO983041 KTK983040:KTK983041 LDG983040:LDG983041 LNC983040:LNC983041 LWY983040:LWY983041 MGU983040:MGU983041 MQQ983040:MQQ983041 NAM983040:NAM983041 NKI983040:NKI983041 NUE983040:NUE983041 OEA983040:OEA983041 ONW983040:ONW983041 OXS983040:OXS983041 PHO983040:PHO983041 PRK983040:PRK983041 QBG983040:QBG983041 QLC983040:QLC983041 QUY983040:QUY983041 REU983040:REU983041 ROQ983040:ROQ983041 RYM983040:RYM983041 SII983040:SII983041 SSE983040:SSE983041 TCA983040:TCA983041 TLW983040:TLW983041 TVS983040:TVS983041 UFO983040:UFO983041 UPK983040:UPK983041 UZG983040:UZG983041 VJC983040:VJC983041 VSY983040:VSY983041 WCU983040:WCU983041 WMQ983040:WMQ983041 WWM983040:WWM983041 UYT11:UYT16 IG11:IG16 SC11:SC16 ABY11:ABY16 ALU11:ALU16 AVQ11:AVQ16 BFM11:BFM16 BPI11:BPI16 BZE11:BZE16 CJA11:CJA16 CSW11:CSW16 DCS11:DCS16 DMO11:DMO16 DWK11:DWK16 EGG11:EGG16 EQC11:EQC16 EZY11:EZY16 FJU11:FJU16 FTQ11:FTQ16 GDM11:GDM16 GNI11:GNI16 GXE11:GXE16 HHA11:HHA16 HQW11:HQW16 IAS11:IAS16 IKO11:IKO16 IUK11:IUK16 JEG11:JEG16 JOC11:JOC16 JXY11:JXY16 KHU11:KHU16 KRQ11:KRQ16 LBM11:LBM16 LLI11:LLI16 LVE11:LVE16 MFA11:MFA16 MOW11:MOW16 MYS11:MYS16 NIO11:NIO16 NSK11:NSK16 OCG11:OCG16 OMC11:OMC16 OVY11:OVY16 PFU11:PFU16 PPQ11:PPQ16 PZM11:PZM16 QJI11:QJI16 QTE11:QTE16 RDA11:RDA16 RMW11:RMW16 RWS11:RWS16 SGO11:SGO16 SQK11:SQK16 TAG11:TAG16 TKC11:TKC16 TTY11:TTY16 UDU11:UDU16 UNQ11:UNQ16 UXM11:UXM16 VHI11:VHI16 VRE11:VRE16 WBA11:WBA16 WKW11:WKW16 WUS11:WUS16 VIP11:VIP16 IJ11:IJ16 SF11:SF16 ACB11:ACB16 ALX11:ALX16 AVT11:AVT16 BFP11:BFP16 BPL11:BPL16 BZH11:BZH16 CJD11:CJD16 CSZ11:CSZ16 DCV11:DCV16 DMR11:DMR16 DWN11:DWN16 EGJ11:EGJ16 EQF11:EQF16 FAB11:FAB16 FJX11:FJX16 FTT11:FTT16 GDP11:GDP16 GNL11:GNL16 GXH11:GXH16 HHD11:HHD16 HQZ11:HQZ16 IAV11:IAV16 IKR11:IKR16 IUN11:IUN16 JEJ11:JEJ16 JOF11:JOF16 JYB11:JYB16 KHX11:KHX16 KRT11:KRT16 LBP11:LBP16 LLL11:LLL16 LVH11:LVH16 MFD11:MFD16 MOZ11:MOZ16 MYV11:MYV16 NIR11:NIR16 NSN11:NSN16 OCJ11:OCJ16 OMF11:OMF16 OWB11:OWB16 PFX11:PFX16 PPT11:PPT16 PZP11:PZP16 QJL11:QJL16 QTH11:QTH16 RDD11:RDD16 RMZ11:RMZ16 RWV11:RWV16 SGR11:SGR16 SQN11:SQN16 TAJ11:TAJ16 TKF11:TKF16 TUB11:TUB16 UDX11:UDX16 UNT11:UNT16 UXP11:UXP16 VHL11:VHL16 VRH11:VRH16 WBD11:WBD16 WKZ11:WKZ16 WUV11:WUV16 VSL11:VSL16 IM11:IM16 SI11:SI16 ACE11:ACE16 AMA11:AMA16 AVW11:AVW16 BFS11:BFS16 BPO11:BPO16 BZK11:BZK16 CJG11:CJG16 CTC11:CTC16 DCY11:DCY16 DMU11:DMU16 DWQ11:DWQ16 EGM11:EGM16 EQI11:EQI16 FAE11:FAE16 FKA11:FKA16 FTW11:FTW16 GDS11:GDS16 GNO11:GNO16 GXK11:GXK16 HHG11:HHG16 HRC11:HRC16 IAY11:IAY16 IKU11:IKU16 IUQ11:IUQ16 JEM11:JEM16 JOI11:JOI16 JYE11:JYE16 KIA11:KIA16 KRW11:KRW16 LBS11:LBS16 LLO11:LLO16 LVK11:LVK16 MFG11:MFG16 MPC11:MPC16 MYY11:MYY16 NIU11:NIU16 NSQ11:NSQ16 OCM11:OCM16 OMI11:OMI16 OWE11:OWE16 PGA11:PGA16 PPW11:PPW16 PZS11:PZS16 QJO11:QJO16 QTK11:QTK16 RDG11:RDG16 RNC11:RNC16 RWY11:RWY16 SGU11:SGU16 SQQ11:SQQ16 TAM11:TAM16 TKI11:TKI16 TUE11:TUE16 UEA11:UEA16 UNW11:UNW16 UXS11:UXS16 VHO11:VHO16 VRK11:VRK16 WBG11:WBG16 WLC11:WLC16 WUY11:WUY16 WCH11:WCH16 IP11:IP16 SL11:SL16 ACH11:ACH16 AMD11:AMD16 AVZ11:AVZ16 BFV11:BFV16 BPR11:BPR16 BZN11:BZN16 CJJ11:CJJ16 CTF11:CTF16 DDB11:DDB16 DMX11:DMX16 DWT11:DWT16 EGP11:EGP16 EQL11:EQL16 FAH11:FAH16 FKD11:FKD16 FTZ11:FTZ16 GDV11:GDV16 GNR11:GNR16 GXN11:GXN16 HHJ11:HHJ16 HRF11:HRF16 IBB11:IBB16 IKX11:IKX16 IUT11:IUT16 JEP11:JEP16 JOL11:JOL16 JYH11:JYH16 KID11:KID16 KRZ11:KRZ16 LBV11:LBV16 LLR11:LLR16 LVN11:LVN16 MFJ11:MFJ16 MPF11:MPF16 MZB11:MZB16 NIX11:NIX16 NST11:NST16 OCP11:OCP16 OML11:OML16 OWH11:OWH16 PGD11:PGD16 PPZ11:PPZ16 PZV11:PZV16 QJR11:QJR16 QTN11:QTN16 RDJ11:RDJ16 RNF11:RNF16 RXB11:RXB16 SGX11:SGX16 SQT11:SQT16 TAP11:TAP16 TKL11:TKL16 TUH11:TUH16 UED11:UED16 UNZ11:UNZ16 UXV11:UXV16 VHR11:VHR16 VRN11:VRN16 WBJ11:WBJ16 WLF11:WLF16 WVB11:WVB16 WMD11:WMD16 IS11:IS16 SO11:SO16 ACK11:ACK16 AMG11:AMG16 AWC11:AWC16 BFY11:BFY16 BPU11:BPU16 BZQ11:BZQ16 CJM11:CJM16 CTI11:CTI16 DDE11:DDE16 DNA11:DNA16 DWW11:DWW16 EGS11:EGS16 EQO11:EQO16 FAK11:FAK16 FKG11:FKG16 FUC11:FUC16 GDY11:GDY16 GNU11:GNU16 GXQ11:GXQ16 HHM11:HHM16 HRI11:HRI16 IBE11:IBE16 ILA11:ILA16 IUW11:IUW16 JES11:JES16 JOO11:JOO16 JYK11:JYK16 KIG11:KIG16 KSC11:KSC16 LBY11:LBY16 LLU11:LLU16 LVQ11:LVQ16 MFM11:MFM16 MPI11:MPI16 MZE11:MZE16 NJA11:NJA16 NSW11:NSW16 OCS11:OCS16 OMO11:OMO16 OWK11:OWK16 PGG11:PGG16 PQC11:PQC16 PZY11:PZY16 QJU11:QJU16 QTQ11:QTQ16 RDM11:RDM16 RNI11:RNI16 RXE11:RXE16 SHA11:SHA16 SQW11:SQW16 TAS11:TAS16 TKO11:TKO16 TUK11:TUK16 UEG11:UEG16 UOC11:UOC16 UXY11:UXY16 VHU11:VHU16 VRQ11:VRQ16 WBM11:WBM16 WLI11:WLI16 WVE11:WVE16 WVZ11:WVZ16 IV11:IV16 SR11:SR16 ACN11:ACN16 AMJ11:AMJ16 AWF11:AWF16 BGB11:BGB16 BPX11:BPX16 BZT11:BZT16 CJP11:CJP16 CTL11:CTL16 DDH11:DDH16 DND11:DND16 DWZ11:DWZ16 EGV11:EGV16 EQR11:EQR16 FAN11:FAN16 FKJ11:FKJ16 FUF11:FUF16 GEB11:GEB16 GNX11:GNX16 GXT11:GXT16 HHP11:HHP16 HRL11:HRL16 IBH11:IBH16 ILD11:ILD16 IUZ11:IUZ16 JEV11:JEV16 JOR11:JOR16 JYN11:JYN16 KIJ11:KIJ16 KSF11:KSF16 LCB11:LCB16 LLX11:LLX16 LVT11:LVT16 MFP11:MFP16 MPL11:MPL16 MZH11:MZH16 NJD11:NJD16 NSZ11:NSZ16 OCV11:OCV16 OMR11:OMR16 OWN11:OWN16 PGJ11:PGJ16 PQF11:PQF16 QAB11:QAB16 QJX11:QJX16 QTT11:QTT16 RDP11:RDP16 RNL11:RNL16 RXH11:RXH16 SHD11:SHD16 SQZ11:SQZ16 TAV11:TAV16 TKR11:TKR16 TUN11:TUN16 UEJ11:UEJ16 UOF11:UOF16 UYB11:UYB16 VHX11:VHX16 VRT11:VRT16 WBP11:WBP16 WLL11:WLL16 WVH11:WVH16 IY11:IY16 SU11:SU16 ACQ11:ACQ16 AMM11:AMM16 AWI11:AWI16 BGE11:BGE16 BQA11:BQA16 BZW11:BZW16 CJS11:CJS16 CTO11:CTO16 DDK11:DDK16 DNG11:DNG16 DXC11:DXC16 EGY11:EGY16 EQU11:EQU16 FAQ11:FAQ16 FKM11:FKM16 FUI11:FUI16 GEE11:GEE16 GOA11:GOA16 GXW11:GXW16 HHS11:HHS16 HRO11:HRO16 IBK11:IBK16 ILG11:ILG16 IVC11:IVC16 JEY11:JEY16 JOU11:JOU16 JYQ11:JYQ16 KIM11:KIM16 KSI11:KSI16 LCE11:LCE16 LMA11:LMA16 LVW11:LVW16 MFS11:MFS16 MPO11:MPO16 MZK11:MZK16 NJG11:NJG16 NTC11:NTC16 OCY11:OCY16 OMU11:OMU16 OWQ11:OWQ16 PGM11:PGM16 PQI11:PQI16 QAE11:QAE16 QKA11:QKA16 QTW11:QTW16 RDS11:RDS16 RNO11:RNO16 RXK11:RXK16 SHG11:SHG16 SRC11:SRC16 TAY11:TAY16 TKU11:TKU16 TUQ11:TUQ16 UEM11:UEM16 UOI11:UOI16 UYE11:UYE16 VIA11:VIA16 VRW11:VRW16 WBS11:WBS16 WLO11:WLO16 WVK11:WVK16 JB11:JB16 SX11:SX16 ACT11:ACT16 AMP11:AMP16 AWL11:AWL16 BGH11:BGH16 BQD11:BQD16 BZZ11:BZZ16 CJV11:CJV16 CTR11:CTR16 DDN11:DDN16 DNJ11:DNJ16 DXF11:DXF16 EHB11:EHB16 EQX11:EQX16 FAT11:FAT16 FKP11:FKP16 FUL11:FUL16 GEH11:GEH16 GOD11:GOD16 GXZ11:GXZ16 HHV11:HHV16 HRR11:HRR16 IBN11:IBN16 ILJ11:ILJ16 IVF11:IVF16 JFB11:JFB16 JOX11:JOX16 JYT11:JYT16 KIP11:KIP16 KSL11:KSL16 LCH11:LCH16 LMD11:LMD16 LVZ11:LVZ16 MFV11:MFV16 MPR11:MPR16 MZN11:MZN16 NJJ11:NJJ16 NTF11:NTF16 ODB11:ODB16 OMX11:OMX16 OWT11:OWT16 PGP11:PGP16 PQL11:PQL16 QAH11:QAH16 QKD11:QKD16 QTZ11:QTZ16 RDV11:RDV16 RNR11:RNR16 RXN11:RXN16 SHJ11:SHJ16 SRF11:SRF16 TBB11:TBB16 TKX11:TKX16 TUT11:TUT16 UEP11:UEP16 UOL11:UOL16 UYH11:UYH16 VID11:VID16 VRZ11:VRZ16 WBV11:WBV16 WLR11:WLR16 WVN11:WVN16 JE11:JE16 TA11:TA16 ACW11:ACW16 AMS11:AMS16 AWO11:AWO16 BGK11:BGK16 BQG11:BQG16 CAC11:CAC16 CJY11:CJY16 CTU11:CTU16 DDQ11:DDQ16 DNM11:DNM16 DXI11:DXI16 EHE11:EHE16 ERA11:ERA16 FAW11:FAW16 FKS11:FKS16 FUO11:FUO16 GEK11:GEK16 GOG11:GOG16 GYC11:GYC16 HHY11:HHY16 HRU11:HRU16 IBQ11:IBQ16 ILM11:ILM16 IVI11:IVI16 JFE11:JFE16 JPA11:JPA16 JYW11:JYW16 KIS11:KIS16 KSO11:KSO16 LCK11:LCK16 LMG11:LMG16 LWC11:LWC16 MFY11:MFY16 MPU11:MPU16 MZQ11:MZQ16 NJM11:NJM16 NTI11:NTI16 ODE11:ODE16 ONA11:ONA16 OWW11:OWW16 PGS11:PGS16 PQO11:PQO16 QAK11:QAK16 QKG11:QKG16 QUC11:QUC16 RDY11:RDY16 RNU11:RNU16 RXQ11:RXQ16 SHM11:SHM16 SRI11:SRI16 TBE11:TBE16 TLA11:TLA16 TUW11:TUW16 UES11:UES16 UOO11:UOO16 UYK11:UYK16 VIG11:VIG16 VSC11:VSC16 WBY11:WBY16 WLU11:WLU16 WVQ11:WVQ16 JH11:JH16 TD11:TD16 ACZ11:ACZ16 AMV11:AMV16 AWR11:AWR16 BGN11:BGN16 BQJ11:BQJ16 CAF11:CAF16 CKB11:CKB16 CTX11:CTX16 DDT11:DDT16 DNP11:DNP16 DXL11:DXL16 EHH11:EHH16 ERD11:ERD16 FAZ11:FAZ16 FKV11:FKV16 FUR11:FUR16 GEN11:GEN16 GOJ11:GOJ16 GYF11:GYF16 HIB11:HIB16 HRX11:HRX16 IBT11:IBT16 ILP11:ILP16 IVL11:IVL16 JFH11:JFH16 JPD11:JPD16 JYZ11:JYZ16 KIV11:KIV16 KSR11:KSR16 LCN11:LCN16 LMJ11:LMJ16 LWF11:LWF16 MGB11:MGB16 MPX11:MPX16 MZT11:MZT16 NJP11:NJP16 NTL11:NTL16 ODH11:ODH16 OND11:OND16 OWZ11:OWZ16 PGV11:PGV16 PQR11:PQR16 QAN11:QAN16 QKJ11:QKJ16 QUF11:QUF16 REB11:REB16 RNX11:RNX16 RXT11:RXT16 SHP11:SHP16 SRL11:SRL16 TBH11:TBH16 TLD11:TLD16 TUZ11:TUZ16 UEV11:UEV16 UOR11:UOR16 UYN11:UYN16 VIJ11:VIJ16 VSF11:VSF16 WCB11:WCB16 WLX11:WLX16 WVT11:WVT16 JK11:JK16 TG11:TG16 ADC11:ADC16 AMY11:AMY16 AWU11:AWU16 BGQ11:BGQ16 BQM11:BQM16 CAI11:CAI16 CKE11:CKE16 CUA11:CUA16 DDW11:DDW16 DNS11:DNS16 DXO11:DXO16 EHK11:EHK16 ERG11:ERG16 FBC11:FBC16 FKY11:FKY16 FUU11:FUU16 GEQ11:GEQ16 GOM11:GOM16 GYI11:GYI16 HIE11:HIE16 HSA11:HSA16 IBW11:IBW16 ILS11:ILS16 IVO11:IVO16 JFK11:JFK16 JPG11:JPG16 JZC11:JZC16 KIY11:KIY16 KSU11:KSU16 LCQ11:LCQ16 LMM11:LMM16 LWI11:LWI16 MGE11:MGE16 MQA11:MQA16 MZW11:MZW16 NJS11:NJS16 NTO11:NTO16 ODK11:ODK16 ONG11:ONG16 OXC11:OXC16 PGY11:PGY16 PQU11:PQU16 QAQ11:QAQ16 QKM11:QKM16 QUI11:QUI16 REE11:REE16 ROA11:ROA16 RXW11:RXW16 SHS11:SHS16 SRO11:SRO16 TBK11:TBK16 TLG11:TLG16 TVC11:TVC16 UEY11:UEY16 UOU11:UOU16 UYQ11:UYQ16 VIM11:VIM16 VSI11:VSI16 WCE11:WCE16 WMA11:WMA16 WVW11:WVW16 JN11:JN16 TJ11:TJ16 ADF11:ADF16 ANB11:ANB16 AWX11:AWX16 BGT11:BGT16 BQP11:BQP16 CAL11:CAL16 CKH11:CKH16 CUD11:CUD16 DDZ11:DDZ16 DNV11:DNV16 DXR11:DXR16 EHN11:EHN16 ERJ11:ERJ16 FBF11:FBF16 FLB11:FLB16 FUX11:FUX16 GET11:GET16 GOP11:GOP16 GYL11:GYL16 HIH11:HIH16 HSD11:HSD16 IBZ11:IBZ16 ILV11:ILV16 IVR11:IVR16 JFN11:JFN16 JPJ11:JPJ16 JZF11:JZF16 KJB11:KJB16 KSX11:KSX16 LCT11:LCT16 LMP11:LMP16 LWL11:LWL16 MGH11:MGH16 MQD11:MQD16 MZZ11:MZZ16 NJV11:NJV16 NTR11:NTR16 ODN11:ODN16 ONJ11:ONJ16 OXF11:OXF16 PHB11:PHB16 PQX11:PQX16 QAT11:QAT16 QKP11:QKP16 QUL11:QUL16 REH11:REH16 ROD11:ROD16 RXZ11:RXZ16 SHV11:SHV16 SRR11:SRR16 TBN11:TBN16 TLJ11:TLJ16 TVF11:TVF16 UFB11:UFB16 IT5:IT6 SP5:SP6 ACL5:ACL6 AMH5:AMH6 AWD5:AWD6 BFZ5:BFZ6 BPV5:BPV6 BZR5:BZR6 CJN5:CJN6 CTJ5:CTJ6 DDF5:DDF6 DNB5:DNB6 DWX5:DWX6 EGT5:EGT6 EQP5:EQP6 FAL5:FAL6 FKH5:FKH6 FUD5:FUD6 GDZ5:GDZ6 GNV5:GNV6 GXR5:GXR6 HHN5:HHN6 HRJ5:HRJ6 IBF5:IBF6 ILB5:ILB6 IUX5:IUX6 JET5:JET6 JOP5:JOP6 JYL5:JYL6 KIH5:KIH6 KSD5:KSD6 LBZ5:LBZ6 LLV5:LLV6 LVR5:LVR6 MFN5:MFN6 MPJ5:MPJ6 MZF5:MZF6 NJB5:NJB6 NSX5:NSX6 OCT5:OCT6 OMP5:OMP6 OWL5:OWL6 PGH5:PGH6 PQD5:PQD6 PZZ5:PZZ6 QJV5:QJV6 QTR5:QTR6 RDN5:RDN6 RNJ5:RNJ6 RXF5:RXF6 SHB5:SHB6 SQX5:SQX6 TAT5:TAT6 TKP5:TKP6 TUL5:TUL6 UEH5:UEH6 UOD5:UOD6 UXZ5:UXZ6 VHV5:VHV6 VRR5:VRR6 WBN5:WBN6 WLJ5:WLJ6 WVF5:WVF6 L5:L6 IW5:IW6 SS5:SS6 ACO5:ACO6 AMK5:AMK6 AWG5:AWG6 BGC5:BGC6 BPY5:BPY6 BZU5:BZU6 CJQ5:CJQ6 CTM5:CTM6 DDI5:DDI6 DNE5:DNE6 DXA5:DXA6 EGW5:EGW6 EQS5:EQS6 FAO5:FAO6 FKK5:FKK6 FUG5:FUG6 GEC5:GEC6 GNY5:GNY6 GXU5:GXU6 HHQ5:HHQ6 HRM5:HRM6 IBI5:IBI6 ILE5:ILE6 IVA5:IVA6 JEW5:JEW6 JOS5:JOS6 JYO5:JYO6 KIK5:KIK6 KSG5:KSG6 LCC5:LCC6 LLY5:LLY6 LVU5:LVU6 MFQ5:MFQ6 MPM5:MPM6 MZI5:MZI6 NJE5:NJE6 NTA5:NTA6 OCW5:OCW6 OMS5:OMS6 OWO5:OWO6 PGK5:PGK6 PQG5:PQG6 QAC5:QAC6 QJY5:QJY6 QTU5:QTU6 RDQ5:RDQ6 RNM5:RNM6 RXI5:RXI6 SHE5:SHE6 SRA5:SRA6 TAW5:TAW6 TKS5:TKS6 TUO5:TUO6 UEK5:UEK6 UOG5:UOG6 UYC5:UYC6 VHY5:VHY6 VRU5:VRU6 WBQ5:WBQ6 WLM5:WLM6 WVI5:WVI6 N5:N6 IZ5:IZ6 SV5:SV6 ACR5:ACR6 AMN5:AMN6 AWJ5:AWJ6 BGF5:BGF6 BQB5:BQB6 BZX5:BZX6 CJT5:CJT6 CTP5:CTP6 DDL5:DDL6 DNH5:DNH6 DXD5:DXD6 EGZ5:EGZ6 EQV5:EQV6 FAR5:FAR6 FKN5:FKN6 FUJ5:FUJ6 GEF5:GEF6 GOB5:GOB6 GXX5:GXX6 HHT5:HHT6 HRP5:HRP6 IBL5:IBL6 ILH5:ILH6 IVD5:IVD6 JEZ5:JEZ6 JOV5:JOV6 JYR5:JYR6 KIN5:KIN6 KSJ5:KSJ6 LCF5:LCF6 LMB5:LMB6 LVX5:LVX6 MFT5:MFT6 MPP5:MPP6 MZL5:MZL6 NJH5:NJH6 NTD5:NTD6 OCZ5:OCZ6 OMV5:OMV6 OWR5:OWR6 PGN5:PGN6 PQJ5:PQJ6 QAF5:QAF6 QKB5:QKB6 QTX5:QTX6 RDT5:RDT6 RNP5:RNP6 RXL5:RXL6 SHH5:SHH6 SRD5:SRD6 TAZ5:TAZ6 TKV5:TKV6 TUR5:TUR6 UEN5:UEN6 UOJ5:UOJ6 UYF5:UYF6 VIB5:VIB6 VRX5:VRX6 WBT5:WBT6 WLP5:WLP6 WVL5:WVL6 P5:P6 JC5:JC6 SY5:SY6 ACU5:ACU6 AMQ5:AMQ6 AWM5:AWM6 BGI5:BGI6 BQE5:BQE6 CAA5:CAA6 CJW5:CJW6 CTS5:CTS6 DDO5:DDO6 DNK5:DNK6 DXG5:DXG6 EHC5:EHC6 EQY5:EQY6 FAU5:FAU6 FKQ5:FKQ6 FUM5:FUM6 GEI5:GEI6 GOE5:GOE6 GYA5:GYA6 HHW5:HHW6 HRS5:HRS6 IBO5:IBO6 ILK5:ILK6 IVG5:IVG6 JFC5:JFC6 JOY5:JOY6 JYU5:JYU6 KIQ5:KIQ6 KSM5:KSM6 LCI5:LCI6 LME5:LME6 LWA5:LWA6 MFW5:MFW6 MPS5:MPS6 MZO5:MZO6 NJK5:NJK6 NTG5:NTG6 ODC5:ODC6 OMY5:OMY6 OWU5:OWU6 PGQ5:PGQ6 PQM5:PQM6 QAI5:QAI6 QKE5:QKE6 QUA5:QUA6 RDW5:RDW6 RNS5:RNS6 RXO5:RXO6 SHK5:SHK6 SRG5:SRG6 TBC5:TBC6 TKY5:TKY6 TUU5:TUU6 UEQ5:UEQ6 UOM5:UOM6 UYI5:UYI6 VIE5:VIE6 VSA5:VSA6 WBW5:WBW6 WLS5:WLS6 WVO5:WVO6 R5:R6 JF5:JF6 TB5:TB6 ACX5:ACX6 AMT5:AMT6 AWP5:AWP6 BGL5:BGL6 BQH5:BQH6 CAD5:CAD6 CJZ5:CJZ6 CTV5:CTV6 DDR5:DDR6 DNN5:DNN6 DXJ5:DXJ6 EHF5:EHF6 ERB5:ERB6 FAX5:FAX6 FKT5:FKT6 FUP5:FUP6 GEL5:GEL6 GOH5:GOH6 GYD5:GYD6 HHZ5:HHZ6 HRV5:HRV6 IBR5:IBR6 ILN5:ILN6 IVJ5:IVJ6 JFF5:JFF6 JPB5:JPB6 JYX5:JYX6 KIT5:KIT6 KSP5:KSP6 LCL5:LCL6 LMH5:LMH6 LWD5:LWD6 MFZ5:MFZ6 MPV5:MPV6 MZR5:MZR6 NJN5:NJN6 NTJ5:NTJ6 ODF5:ODF6 ONB5:ONB6 OWX5:OWX6 PGT5:PGT6 PQP5:PQP6 QAL5:QAL6 QKH5:QKH6 QUD5:QUD6 RDZ5:RDZ6 RNV5:RNV6 RXR5:RXR6 SHN5:SHN6 SRJ5:SRJ6 TBF5:TBF6 TLB5:TLB6 TUX5:TUX6 UET5:UET6 UOP5:UOP6 UYL5:UYL6 VIH5:VIH6 VSD5:VSD6 WBZ5:WBZ6 WLV5:WLV6 WVR5:WVR6 T5:T6 JI5:JI6 TE5:TE6 ADA5:ADA6 AMW5:AMW6 AWS5:AWS6 BGO5:BGO6 BQK5:BQK6 CAG5:CAG6 CKC5:CKC6 CTY5:CTY6 DDU5:DDU6 DNQ5:DNQ6 DXM5:DXM6 EHI5:EHI6 ERE5:ERE6 FBA5:FBA6 FKW5:FKW6 FUS5:FUS6 GEO5:GEO6 GOK5:GOK6 GYG5:GYG6 HIC5:HIC6 HRY5:HRY6 IBU5:IBU6 ILQ5:ILQ6 IVM5:IVM6 JFI5:JFI6 JPE5:JPE6 JZA5:JZA6 KIW5:KIW6 KSS5:KSS6 LCO5:LCO6 LMK5:LMK6 LWG5:LWG6 MGC5:MGC6 MPY5:MPY6 MZU5:MZU6 NJQ5:NJQ6 NTM5:NTM6 ODI5:ODI6 ONE5:ONE6 OXA5:OXA6 PGW5:PGW6 PQS5:PQS6 QAO5:QAO6 QKK5:QKK6 QUG5:QUG6 REC5:REC6 RNY5:RNY6 RXU5:RXU6 SHQ5:SHQ6 SRM5:SRM6 TBI5:TBI6 TLE5:TLE6 TVA5:TVA6 UEW5:UEW6 UOS5:UOS6 UYO5:UYO6 VIK5:VIK6 VSG5:VSG6 WCC5:WCC6 WLY5:WLY6 WVU5:WVU6 V5:V6 JL5:JL6 TH5:TH6 ADD5:ADD6 AMZ5:AMZ6 AWV5:AWV6 BGR5:BGR6 BQN5:BQN6 CAJ5:CAJ6 CKF5:CKF6 CUB5:CUB6 DDX5:DDX6 DNT5:DNT6 DXP5:DXP6 EHL5:EHL6 ERH5:ERH6 FBD5:FBD6 FKZ5:FKZ6 FUV5:FUV6 GER5:GER6 GON5:GON6 GYJ5:GYJ6 HIF5:HIF6 HSB5:HSB6 IBX5:IBX6 ILT5:ILT6 IVP5:IVP6 JFL5:JFL6 JPH5:JPH6 JZD5:JZD6 KIZ5:KIZ6 KSV5:KSV6 LCR5:LCR6 LMN5:LMN6 LWJ5:LWJ6 MGF5:MGF6 MQB5:MQB6 MZX5:MZX6 NJT5:NJT6 NTP5:NTP6 ODL5:ODL6 ONH5:ONH6 OXD5:OXD6 PGZ5:PGZ6 PQV5:PQV6 QAR5:QAR6 QKN5:QKN6 QUJ5:QUJ6 REF5:REF6 ROB5:ROB6 RXX5:RXX6 SHT5:SHT6 SRP5:SRP6 TBL5:TBL6 TLH5:TLH6 TVD5:TVD6 UEZ5:UEZ6 UOV5:UOV6 UYR5:UYR6 VIN5:VIN6 VSJ5:VSJ6 WCF5:WCF6 WMB5:WMB6 WVX5:WVX6 X5:X6 JO5:JO6 TK5:TK6 ADG5:ADG6 ANC5:ANC6 AWY5:AWY6 BGU5:BGU6 BQQ5:BQQ6 CAM5:CAM6 CKI5:CKI6 CUE5:CUE6 DEA5:DEA6 DNW5:DNW6 DXS5:DXS6 EHO5:EHO6 ERK5:ERK6 FBG5:FBG6 FLC5:FLC6 FUY5:FUY6 GEU5:GEU6 GOQ5:GOQ6 GYM5:GYM6 HII5:HII6 HSE5:HSE6 ICA5:ICA6 ILW5:ILW6 IVS5:IVS6 JFO5:JFO6 JPK5:JPK6 JZG5:JZG6 KJC5:KJC6 KSY5:KSY6 LCU5:LCU6 LMQ5:LMQ6 LWM5:LWM6 MGI5:MGI6 MQE5:MQE6 NAA5:NAA6 NJW5:NJW6 NTS5:NTS6 ODO5:ODO6 ONK5:ONK6 OXG5:OXG6 PHC5:PHC6 PQY5:PQY6 QAU5:QAU6 QKQ5:QKQ6 QUM5:QUM6 REI5:REI6 ROE5:ROE6 RYA5:RYA6 SHW5:SHW6 SRS5:SRS6 TBO5:TBO6 TLK5:TLK6 TVG5:TVG6 UFC5:UFC6 UOY5:UOY6 UYU5:UYU6 VIQ5:VIQ6 VSM5:VSM6 WCI5:WCI6 WME5:WME6 WWA5:WWA6 Z5:Z6 JR5:JR6 TN5:TN6 ADJ5:ADJ6 ANF5:ANF6 AXB5:AXB6 BGX5:BGX6 BQT5:BQT6 CAP5:CAP6 CKL5:CKL6 CUH5:CUH6 DED5:DED6 DNZ5:DNZ6 DXV5:DXV6 EHR5:EHR6 ERN5:ERN6 FBJ5:FBJ6 FLF5:FLF6 FVB5:FVB6 GEX5:GEX6 GOT5:GOT6 GYP5:GYP6 HIL5:HIL6 HSH5:HSH6 ICD5:ICD6 ILZ5:ILZ6 IVV5:IVV6 JFR5:JFR6 JPN5:JPN6 JZJ5:JZJ6 KJF5:KJF6 KTB5:KTB6 LCX5:LCX6 LMT5:LMT6 LWP5:LWP6 MGL5:MGL6 MQH5:MQH6 NAD5:NAD6 NJZ5:NJZ6 NTV5:NTV6 ODR5:ODR6 ONN5:ONN6 OXJ5:OXJ6 PHF5:PHF6 PRB5:PRB6 QAX5:QAX6 QKT5:QKT6 QUP5:QUP6 REL5:REL6 ROH5:ROH6 RYD5:RYD6 SHZ5:SHZ6 SRV5:SRV6 TBR5:TBR6 TLN5:TLN6 TVJ5:TVJ6 UFF5:UFF6 UPB5:UPB6 UYX5:UYX6 VIT5:VIT6 VSP5:VSP6 WCL5:WCL6 WMH5:WMH6 WWD5:WWD6 AB5:AB6 JU5:JU6 TQ5:TQ6 ADM5:ADM6 ANI5:ANI6 AXE5:AXE6 BHA5:BHA6 BQW5:BQW6 CAS5:CAS6 CKO5:CKO6 CUK5:CUK6 DEG5:DEG6 DOC5:DOC6 DXY5:DXY6 EHU5:EHU6 ERQ5:ERQ6 FBM5:FBM6 FLI5:FLI6 FVE5:FVE6 GFA5:GFA6 GOW5:GOW6 GYS5:GYS6 HIO5:HIO6 HSK5:HSK6 ICG5:ICG6 IMC5:IMC6 IVY5:IVY6 JFU5:JFU6 JPQ5:JPQ6 JZM5:JZM6 KJI5:KJI6 KTE5:KTE6 LDA5:LDA6 LMW5:LMW6 LWS5:LWS6 MGO5:MGO6 MQK5:MQK6 NAG5:NAG6 NKC5:NKC6 NTY5:NTY6 ODU5:ODU6 ONQ5:ONQ6 OXM5:OXM6 PHI5:PHI6 PRE5:PRE6 QBA5:QBA6 QKW5:QKW6 QUS5:QUS6 REO5:REO6 ROK5:ROK6 RYG5:RYG6 SIC5:SIC6 SRY5:SRY6 TBU5:TBU6 TLQ5:TLQ6 TVM5:TVM6 UFI5:UFI6 UPE5:UPE6 UZA5:UZA6 VIW5:VIW6 VSS5:VSS6 WCO5:WCO6 WMK5:WMK6 WWG5:WWG6 AD5:AD6 JX5:JX6 TT5:TT6 ADP5:ADP6 ANL5:ANL6 AXH5:AXH6 BHD5:BHD6 BQZ5:BQZ6 CAV5:CAV6 CKR5:CKR6 CUN5:CUN6 DEJ5:DEJ6 DOF5:DOF6 DYB5:DYB6 EHX5:EHX6 ERT5:ERT6 FBP5:FBP6 FLL5:FLL6 FVH5:FVH6 GFD5:GFD6 GOZ5:GOZ6 GYV5:GYV6 HIR5:HIR6 HSN5:HSN6 ICJ5:ICJ6 IMF5:IMF6 IWB5:IWB6 JFX5:JFX6 JPT5:JPT6 JZP5:JZP6 KJL5:KJL6 KTH5:KTH6 LDD5:LDD6 LMZ5:LMZ6 LWV5:LWV6 MGR5:MGR6 MQN5:MQN6 NAJ5:NAJ6 NKF5:NKF6 NUB5:NUB6 ODX5:ODX6 ONT5:ONT6 OXP5:OXP6 PHL5:PHL6 PRH5:PRH6 QBD5:QBD6 QKZ5:QKZ6 QUV5:QUV6 RER5:RER6 RON5:RON6 RYJ5:RYJ6 SIF5:SIF6 SSB5:SSB6 TBX5:TBX6 TLT5:TLT6 TVP5:TVP6 UFL5:UFL6 UPH5:UPH6 UZD5:UZD6 VIZ5:VIZ6 VSV5:VSV6 WCR5:WCR6 WMN5:WMN6 WWJ5:WWJ6 AF5:AF6 KA5:KA6 TW5:TW6 ADS5:ADS6 ANO5:ANO6 AXK5:AXK6 BHG5:BHG6 BRC5:BRC6 CAY5:CAY6 CKU5:CKU6 CUQ5:CUQ6 DEM5:DEM6 DOI5:DOI6 DYE5:DYE6 EIA5:EIA6 ERW5:ERW6 FBS5:FBS6 FLO5:FLO6 FVK5:FVK6 GFG5:GFG6 GPC5:GPC6 GYY5:GYY6 HIU5:HIU6 HSQ5:HSQ6 ICM5:ICM6 IMI5:IMI6 IWE5:IWE6 JGA5:JGA6 JPW5:JPW6 JZS5:JZS6 KJO5:KJO6 KTK5:KTK6 LDG5:LDG6 LNC5:LNC6 LWY5:LWY6 MGU5:MGU6 MQQ5:MQQ6 NAM5:NAM6 NKI5:NKI6 NUE5:NUE6 OEA5:OEA6 ONW5:ONW6 OXS5:OXS6 PHO5:PHO6 PRK5:PRK6 QBG5:QBG6 QLC5:QLC6 QUY5:QUY6 REU5:REU6 ROQ5:ROQ6 RYM5:RYM6 SII5:SII6 SSE5:SSE6 TCA5:TCA6 TLW5:TLW6 TVS5:TVS6 UFO5:UFO6 UPK5:UPK6 UZG5:UZG6 VJC5:VJC6 VSY5:VSY6 WCU5:WCU6 WMQ5:WMQ6 WWM5:WWM6 J5:J6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1C05-5789-4997-9909-52985A802A21}">
  <sheetPr codeName="Sheet23">
    <tabColor theme="3" tint="-0.499984740745262"/>
  </sheetPr>
  <dimension ref="A1:AD12"/>
  <sheetViews>
    <sheetView topLeftCell="A2" workbookViewId="0">
      <selection activeCell="A12" sqref="A12"/>
    </sheetView>
  </sheetViews>
  <sheetFormatPr defaultRowHeight="12.75"/>
  <cols>
    <col min="1" max="1" width="3" style="358" customWidth="1"/>
    <col min="2" max="2" width="3.5703125" style="359" customWidth="1"/>
    <col min="3" max="3" width="10.140625" style="359" bestFit="1" customWidth="1"/>
    <col min="4" max="4" width="30.7109375" style="359" customWidth="1"/>
    <col min="5" max="5" width="12.140625" style="359" customWidth="1"/>
    <col min="6" max="6" width="15.5703125" style="359" customWidth="1"/>
    <col min="7" max="7" width="6.42578125" style="359" customWidth="1"/>
    <col min="8" max="8" width="12.140625" style="359" customWidth="1"/>
    <col min="9" max="9" width="6.42578125" style="359" customWidth="1"/>
    <col min="10" max="10" width="12.140625" style="359" customWidth="1"/>
    <col min="11" max="11" width="6.42578125" style="359" customWidth="1"/>
    <col min="12" max="12" width="12.140625" style="359" customWidth="1"/>
    <col min="13" max="13" width="6.42578125" style="359" customWidth="1"/>
    <col min="14" max="14" width="12.140625" style="359" customWidth="1"/>
    <col min="15" max="15" width="6.42578125" style="359" customWidth="1"/>
    <col min="16" max="16" width="12.140625" style="359" customWidth="1"/>
    <col min="17" max="17" width="6.42578125" style="359" customWidth="1"/>
    <col min="18" max="18" width="12.140625" style="359" customWidth="1"/>
    <col min="19" max="19" width="6.42578125" style="359" customWidth="1"/>
    <col min="20" max="20" width="12.140625" style="359" customWidth="1"/>
    <col min="21" max="21" width="6.42578125" style="359" customWidth="1"/>
    <col min="22" max="22" width="12.140625" style="359" customWidth="1"/>
    <col min="23" max="23" width="6.42578125" style="359" customWidth="1"/>
    <col min="24" max="24" width="12.140625" style="359" customWidth="1"/>
    <col min="25" max="25" width="6.42578125" style="359" customWidth="1"/>
    <col min="26" max="26" width="12.140625" style="359" customWidth="1"/>
    <col min="27" max="27" width="6.42578125" style="359" customWidth="1"/>
    <col min="28" max="28" width="12.140625" style="359" customWidth="1"/>
    <col min="29" max="29" width="6.42578125" style="359" customWidth="1"/>
    <col min="30" max="30" width="12.140625" style="359" customWidth="1"/>
    <col min="31" max="232" width="9.140625" style="359"/>
    <col min="233" max="233" width="1.7109375" style="359" customWidth="1"/>
    <col min="234" max="234" width="3.5703125" style="359" customWidth="1"/>
    <col min="235" max="235" width="11" style="359" customWidth="1"/>
    <col min="236" max="236" width="20.7109375" style="359" customWidth="1"/>
    <col min="237" max="238" width="11.7109375" style="359" customWidth="1"/>
    <col min="239" max="239" width="9.7109375" style="359" customWidth="1"/>
    <col min="240" max="240" width="10.140625" style="359" bestFit="1" customWidth="1"/>
    <col min="241" max="242" width="7.7109375" style="359" customWidth="1"/>
    <col min="243" max="243" width="4" style="359" customWidth="1"/>
    <col min="244" max="244" width="9.7109375" style="359" customWidth="1"/>
    <col min="245" max="245" width="15.140625" style="359" customWidth="1"/>
    <col min="246" max="246" width="5.140625" style="359" customWidth="1"/>
    <col min="247" max="247" width="9.7109375" style="359" customWidth="1"/>
    <col min="248" max="248" width="13.7109375" style="359" customWidth="1"/>
    <col min="249" max="249" width="5.140625" style="359" customWidth="1"/>
    <col min="250" max="250" width="9.7109375" style="359" customWidth="1"/>
    <col min="251" max="251" width="12.5703125" style="359" customWidth="1"/>
    <col min="252" max="252" width="5.140625" style="359" customWidth="1"/>
    <col min="253" max="253" width="9.7109375" style="359" customWidth="1"/>
    <col min="254" max="254" width="12.7109375" style="359" customWidth="1"/>
    <col min="255" max="255" width="5.140625" style="359" customWidth="1"/>
    <col min="256" max="256" width="9.7109375" style="359" customWidth="1"/>
    <col min="257" max="257" width="12.7109375" style="359" customWidth="1"/>
    <col min="258" max="258" width="5.140625" style="359" customWidth="1"/>
    <col min="259" max="259" width="9.7109375" style="359" customWidth="1"/>
    <col min="260" max="260" width="12.7109375" style="359" customWidth="1"/>
    <col min="261" max="261" width="5.140625" style="359" customWidth="1"/>
    <col min="262" max="262" width="9.7109375" style="359" customWidth="1"/>
    <col min="263" max="263" width="12.7109375" style="359" customWidth="1"/>
    <col min="264" max="264" width="5.140625" style="359" customWidth="1"/>
    <col min="265" max="265" width="9.7109375" style="359" customWidth="1"/>
    <col min="266" max="266" width="12.7109375" style="359" customWidth="1"/>
    <col min="267" max="267" width="5.140625" style="359" customWidth="1"/>
    <col min="268" max="268" width="9.7109375" style="359" customWidth="1"/>
    <col min="269" max="269" width="12.7109375" style="359" customWidth="1"/>
    <col min="270" max="270" width="5.140625" style="359" customWidth="1"/>
    <col min="271" max="271" width="9.7109375" style="359" customWidth="1"/>
    <col min="272" max="272" width="12.7109375" style="359" customWidth="1"/>
    <col min="273" max="273" width="5.140625" style="359" customWidth="1"/>
    <col min="274" max="274" width="9.7109375" style="359" customWidth="1"/>
    <col min="275" max="275" width="12.7109375" style="359" customWidth="1"/>
    <col min="276" max="276" width="5.140625" style="359" customWidth="1"/>
    <col min="277" max="277" width="9.7109375" style="359" customWidth="1"/>
    <col min="278" max="278" width="12.7109375" style="359" customWidth="1"/>
    <col min="279" max="279" width="5.140625" style="359" customWidth="1"/>
    <col min="280" max="280" width="9.7109375" style="359" customWidth="1"/>
    <col min="281" max="281" width="12.7109375" style="359" customWidth="1"/>
    <col min="282" max="282" width="5.140625" style="359" customWidth="1"/>
    <col min="283" max="283" width="9.7109375" style="359" customWidth="1"/>
    <col min="284" max="284" width="12.7109375" style="359" customWidth="1"/>
    <col min="285" max="285" width="37.7109375" style="359" customWidth="1"/>
    <col min="286" max="488" width="9.140625" style="359"/>
    <col min="489" max="489" width="1.7109375" style="359" customWidth="1"/>
    <col min="490" max="490" width="3.5703125" style="359" customWidth="1"/>
    <col min="491" max="491" width="11" style="359" customWidth="1"/>
    <col min="492" max="492" width="20.7109375" style="359" customWidth="1"/>
    <col min="493" max="494" width="11.7109375" style="359" customWidth="1"/>
    <col min="495" max="495" width="9.7109375" style="359" customWidth="1"/>
    <col min="496" max="496" width="10.140625" style="359" bestFit="1" customWidth="1"/>
    <col min="497" max="498" width="7.7109375" style="359" customWidth="1"/>
    <col min="499" max="499" width="4" style="359" customWidth="1"/>
    <col min="500" max="500" width="9.7109375" style="359" customWidth="1"/>
    <col min="501" max="501" width="15.140625" style="359" customWidth="1"/>
    <col min="502" max="502" width="5.140625" style="359" customWidth="1"/>
    <col min="503" max="503" width="9.7109375" style="359" customWidth="1"/>
    <col min="504" max="504" width="13.7109375" style="359" customWidth="1"/>
    <col min="505" max="505" width="5.140625" style="359" customWidth="1"/>
    <col min="506" max="506" width="9.7109375" style="359" customWidth="1"/>
    <col min="507" max="507" width="12.5703125" style="359" customWidth="1"/>
    <col min="508" max="508" width="5.140625" style="359" customWidth="1"/>
    <col min="509" max="509" width="9.7109375" style="359" customWidth="1"/>
    <col min="510" max="510" width="12.7109375" style="359" customWidth="1"/>
    <col min="511" max="511" width="5.140625" style="359" customWidth="1"/>
    <col min="512" max="512" width="9.7109375" style="359" customWidth="1"/>
    <col min="513" max="513" width="12.7109375" style="359" customWidth="1"/>
    <col min="514" max="514" width="5.140625" style="359" customWidth="1"/>
    <col min="515" max="515" width="9.7109375" style="359" customWidth="1"/>
    <col min="516" max="516" width="12.7109375" style="359" customWidth="1"/>
    <col min="517" max="517" width="5.140625" style="359" customWidth="1"/>
    <col min="518" max="518" width="9.7109375" style="359" customWidth="1"/>
    <col min="519" max="519" width="12.7109375" style="359" customWidth="1"/>
    <col min="520" max="520" width="5.140625" style="359" customWidth="1"/>
    <col min="521" max="521" width="9.7109375" style="359" customWidth="1"/>
    <col min="522" max="522" width="12.7109375" style="359" customWidth="1"/>
    <col min="523" max="523" width="5.140625" style="359" customWidth="1"/>
    <col min="524" max="524" width="9.7109375" style="359" customWidth="1"/>
    <col min="525" max="525" width="12.7109375" style="359" customWidth="1"/>
    <col min="526" max="526" width="5.140625" style="359" customWidth="1"/>
    <col min="527" max="527" width="9.7109375" style="359" customWidth="1"/>
    <col min="528" max="528" width="12.7109375" style="359" customWidth="1"/>
    <col min="529" max="529" width="5.140625" style="359" customWidth="1"/>
    <col min="530" max="530" width="9.7109375" style="359" customWidth="1"/>
    <col min="531" max="531" width="12.7109375" style="359" customWidth="1"/>
    <col min="532" max="532" width="5.140625" style="359" customWidth="1"/>
    <col min="533" max="533" width="9.7109375" style="359" customWidth="1"/>
    <col min="534" max="534" width="12.7109375" style="359" customWidth="1"/>
    <col min="535" max="535" width="5.140625" style="359" customWidth="1"/>
    <col min="536" max="536" width="9.7109375" style="359" customWidth="1"/>
    <col min="537" max="537" width="12.7109375" style="359" customWidth="1"/>
    <col min="538" max="538" width="5.140625" style="359" customWidth="1"/>
    <col min="539" max="539" width="9.7109375" style="359" customWidth="1"/>
    <col min="540" max="540" width="12.7109375" style="359" customWidth="1"/>
    <col min="541" max="541" width="37.7109375" style="359" customWidth="1"/>
    <col min="542" max="744" width="9.140625" style="359"/>
    <col min="745" max="745" width="1.7109375" style="359" customWidth="1"/>
    <col min="746" max="746" width="3.5703125" style="359" customWidth="1"/>
    <col min="747" max="747" width="11" style="359" customWidth="1"/>
    <col min="748" max="748" width="20.7109375" style="359" customWidth="1"/>
    <col min="749" max="750" width="11.7109375" style="359" customWidth="1"/>
    <col min="751" max="751" width="9.7109375" style="359" customWidth="1"/>
    <col min="752" max="752" width="10.140625" style="359" bestFit="1" customWidth="1"/>
    <col min="753" max="754" width="7.7109375" style="359" customWidth="1"/>
    <col min="755" max="755" width="4" style="359" customWidth="1"/>
    <col min="756" max="756" width="9.7109375" style="359" customWidth="1"/>
    <col min="757" max="757" width="15.140625" style="359" customWidth="1"/>
    <col min="758" max="758" width="5.140625" style="359" customWidth="1"/>
    <col min="759" max="759" width="9.7109375" style="359" customWidth="1"/>
    <col min="760" max="760" width="13.7109375" style="359" customWidth="1"/>
    <col min="761" max="761" width="5.140625" style="359" customWidth="1"/>
    <col min="762" max="762" width="9.7109375" style="359" customWidth="1"/>
    <col min="763" max="763" width="12.5703125" style="359" customWidth="1"/>
    <col min="764" max="764" width="5.140625" style="359" customWidth="1"/>
    <col min="765" max="765" width="9.7109375" style="359" customWidth="1"/>
    <col min="766" max="766" width="12.7109375" style="359" customWidth="1"/>
    <col min="767" max="767" width="5.140625" style="359" customWidth="1"/>
    <col min="768" max="768" width="9.7109375" style="359" customWidth="1"/>
    <col min="769" max="769" width="12.7109375" style="359" customWidth="1"/>
    <col min="770" max="770" width="5.140625" style="359" customWidth="1"/>
    <col min="771" max="771" width="9.7109375" style="359" customWidth="1"/>
    <col min="772" max="772" width="12.7109375" style="359" customWidth="1"/>
    <col min="773" max="773" width="5.140625" style="359" customWidth="1"/>
    <col min="774" max="774" width="9.7109375" style="359" customWidth="1"/>
    <col min="775" max="775" width="12.7109375" style="359" customWidth="1"/>
    <col min="776" max="776" width="5.140625" style="359" customWidth="1"/>
    <col min="777" max="777" width="9.7109375" style="359" customWidth="1"/>
    <col min="778" max="778" width="12.7109375" style="359" customWidth="1"/>
    <col min="779" max="779" width="5.140625" style="359" customWidth="1"/>
    <col min="780" max="780" width="9.7109375" style="359" customWidth="1"/>
    <col min="781" max="781" width="12.7109375" style="359" customWidth="1"/>
    <col min="782" max="782" width="5.140625" style="359" customWidth="1"/>
    <col min="783" max="783" width="9.7109375" style="359" customWidth="1"/>
    <col min="784" max="784" width="12.7109375" style="359" customWidth="1"/>
    <col min="785" max="785" width="5.140625" style="359" customWidth="1"/>
    <col min="786" max="786" width="9.7109375" style="359" customWidth="1"/>
    <col min="787" max="787" width="12.7109375" style="359" customWidth="1"/>
    <col min="788" max="788" width="5.140625" style="359" customWidth="1"/>
    <col min="789" max="789" width="9.7109375" style="359" customWidth="1"/>
    <col min="790" max="790" width="12.7109375" style="359" customWidth="1"/>
    <col min="791" max="791" width="5.140625" style="359" customWidth="1"/>
    <col min="792" max="792" width="9.7109375" style="359" customWidth="1"/>
    <col min="793" max="793" width="12.7109375" style="359" customWidth="1"/>
    <col min="794" max="794" width="5.140625" style="359" customWidth="1"/>
    <col min="795" max="795" width="9.7109375" style="359" customWidth="1"/>
    <col min="796" max="796" width="12.7109375" style="359" customWidth="1"/>
    <col min="797" max="797" width="37.7109375" style="359" customWidth="1"/>
    <col min="798" max="1000" width="9.140625" style="359"/>
    <col min="1001" max="1001" width="1.7109375" style="359" customWidth="1"/>
    <col min="1002" max="1002" width="3.5703125" style="359" customWidth="1"/>
    <col min="1003" max="1003" width="11" style="359" customWidth="1"/>
    <col min="1004" max="1004" width="20.7109375" style="359" customWidth="1"/>
    <col min="1005" max="1006" width="11.7109375" style="359" customWidth="1"/>
    <col min="1007" max="1007" width="9.7109375" style="359" customWidth="1"/>
    <col min="1008" max="1008" width="10.140625" style="359" bestFit="1" customWidth="1"/>
    <col min="1009" max="1010" width="7.7109375" style="359" customWidth="1"/>
    <col min="1011" max="1011" width="4" style="359" customWidth="1"/>
    <col min="1012" max="1012" width="9.7109375" style="359" customWidth="1"/>
    <col min="1013" max="1013" width="15.140625" style="359" customWidth="1"/>
    <col min="1014" max="1014" width="5.140625" style="359" customWidth="1"/>
    <col min="1015" max="1015" width="9.7109375" style="359" customWidth="1"/>
    <col min="1016" max="1016" width="13.7109375" style="359" customWidth="1"/>
    <col min="1017" max="1017" width="5.140625" style="359" customWidth="1"/>
    <col min="1018" max="1018" width="9.7109375" style="359" customWidth="1"/>
    <col min="1019" max="1019" width="12.5703125" style="359" customWidth="1"/>
    <col min="1020" max="1020" width="5.140625" style="359" customWidth="1"/>
    <col min="1021" max="1021" width="9.7109375" style="359" customWidth="1"/>
    <col min="1022" max="1022" width="12.7109375" style="359" customWidth="1"/>
    <col min="1023" max="1023" width="5.140625" style="359" customWidth="1"/>
    <col min="1024" max="1024" width="9.7109375" style="359" customWidth="1"/>
    <col min="1025" max="1025" width="12.7109375" style="359" customWidth="1"/>
    <col min="1026" max="1026" width="5.140625" style="359" customWidth="1"/>
    <col min="1027" max="1027" width="9.7109375" style="359" customWidth="1"/>
    <col min="1028" max="1028" width="12.7109375" style="359" customWidth="1"/>
    <col min="1029" max="1029" width="5.140625" style="359" customWidth="1"/>
    <col min="1030" max="1030" width="9.7109375" style="359" customWidth="1"/>
    <col min="1031" max="1031" width="12.7109375" style="359" customWidth="1"/>
    <col min="1032" max="1032" width="5.140625" style="359" customWidth="1"/>
    <col min="1033" max="1033" width="9.7109375" style="359" customWidth="1"/>
    <col min="1034" max="1034" width="12.7109375" style="359" customWidth="1"/>
    <col min="1035" max="1035" width="5.140625" style="359" customWidth="1"/>
    <col min="1036" max="1036" width="9.7109375" style="359" customWidth="1"/>
    <col min="1037" max="1037" width="12.7109375" style="359" customWidth="1"/>
    <col min="1038" max="1038" width="5.140625" style="359" customWidth="1"/>
    <col min="1039" max="1039" width="9.7109375" style="359" customWidth="1"/>
    <col min="1040" max="1040" width="12.7109375" style="359" customWidth="1"/>
    <col min="1041" max="1041" width="5.140625" style="359" customWidth="1"/>
    <col min="1042" max="1042" width="9.7109375" style="359" customWidth="1"/>
    <col min="1043" max="1043" width="12.7109375" style="359" customWidth="1"/>
    <col min="1044" max="1044" width="5.140625" style="359" customWidth="1"/>
    <col min="1045" max="1045" width="9.7109375" style="359" customWidth="1"/>
    <col min="1046" max="1046" width="12.7109375" style="359" customWidth="1"/>
    <col min="1047" max="1047" width="5.140625" style="359" customWidth="1"/>
    <col min="1048" max="1048" width="9.7109375" style="359" customWidth="1"/>
    <col min="1049" max="1049" width="12.7109375" style="359" customWidth="1"/>
    <col min="1050" max="1050" width="5.140625" style="359" customWidth="1"/>
    <col min="1051" max="1051" width="9.7109375" style="359" customWidth="1"/>
    <col min="1052" max="1052" width="12.7109375" style="359" customWidth="1"/>
    <col min="1053" max="1053" width="37.7109375" style="359" customWidth="1"/>
    <col min="1054" max="1256" width="9.140625" style="359"/>
    <col min="1257" max="1257" width="1.7109375" style="359" customWidth="1"/>
    <col min="1258" max="1258" width="3.5703125" style="359" customWidth="1"/>
    <col min="1259" max="1259" width="11" style="359" customWidth="1"/>
    <col min="1260" max="1260" width="20.7109375" style="359" customWidth="1"/>
    <col min="1261" max="1262" width="11.7109375" style="359" customWidth="1"/>
    <col min="1263" max="1263" width="9.7109375" style="359" customWidth="1"/>
    <col min="1264" max="1264" width="10.140625" style="359" bestFit="1" customWidth="1"/>
    <col min="1265" max="1266" width="7.7109375" style="359" customWidth="1"/>
    <col min="1267" max="1267" width="4" style="359" customWidth="1"/>
    <col min="1268" max="1268" width="9.7109375" style="359" customWidth="1"/>
    <col min="1269" max="1269" width="15.140625" style="359" customWidth="1"/>
    <col min="1270" max="1270" width="5.140625" style="359" customWidth="1"/>
    <col min="1271" max="1271" width="9.7109375" style="359" customWidth="1"/>
    <col min="1272" max="1272" width="13.7109375" style="359" customWidth="1"/>
    <col min="1273" max="1273" width="5.140625" style="359" customWidth="1"/>
    <col min="1274" max="1274" width="9.7109375" style="359" customWidth="1"/>
    <col min="1275" max="1275" width="12.5703125" style="359" customWidth="1"/>
    <col min="1276" max="1276" width="5.140625" style="359" customWidth="1"/>
    <col min="1277" max="1277" width="9.7109375" style="359" customWidth="1"/>
    <col min="1278" max="1278" width="12.7109375" style="359" customWidth="1"/>
    <col min="1279" max="1279" width="5.140625" style="359" customWidth="1"/>
    <col min="1280" max="1280" width="9.7109375" style="359" customWidth="1"/>
    <col min="1281" max="1281" width="12.7109375" style="359" customWidth="1"/>
    <col min="1282" max="1282" width="5.140625" style="359" customWidth="1"/>
    <col min="1283" max="1283" width="9.7109375" style="359" customWidth="1"/>
    <col min="1284" max="1284" width="12.7109375" style="359" customWidth="1"/>
    <col min="1285" max="1285" width="5.140625" style="359" customWidth="1"/>
    <col min="1286" max="1286" width="9.7109375" style="359" customWidth="1"/>
    <col min="1287" max="1287" width="12.7109375" style="359" customWidth="1"/>
    <col min="1288" max="1288" width="5.140625" style="359" customWidth="1"/>
    <col min="1289" max="1289" width="9.7109375" style="359" customWidth="1"/>
    <col min="1290" max="1290" width="12.7109375" style="359" customWidth="1"/>
    <col min="1291" max="1291" width="5.140625" style="359" customWidth="1"/>
    <col min="1292" max="1292" width="9.7109375" style="359" customWidth="1"/>
    <col min="1293" max="1293" width="12.7109375" style="359" customWidth="1"/>
    <col min="1294" max="1294" width="5.140625" style="359" customWidth="1"/>
    <col min="1295" max="1295" width="9.7109375" style="359" customWidth="1"/>
    <col min="1296" max="1296" width="12.7109375" style="359" customWidth="1"/>
    <col min="1297" max="1297" width="5.140625" style="359" customWidth="1"/>
    <col min="1298" max="1298" width="9.7109375" style="359" customWidth="1"/>
    <col min="1299" max="1299" width="12.7109375" style="359" customWidth="1"/>
    <col min="1300" max="1300" width="5.140625" style="359" customWidth="1"/>
    <col min="1301" max="1301" width="9.7109375" style="359" customWidth="1"/>
    <col min="1302" max="1302" width="12.7109375" style="359" customWidth="1"/>
    <col min="1303" max="1303" width="5.140625" style="359" customWidth="1"/>
    <col min="1304" max="1304" width="9.7109375" style="359" customWidth="1"/>
    <col min="1305" max="1305" width="12.7109375" style="359" customWidth="1"/>
    <col min="1306" max="1306" width="5.140625" style="359" customWidth="1"/>
    <col min="1307" max="1307" width="9.7109375" style="359" customWidth="1"/>
    <col min="1308" max="1308" width="12.7109375" style="359" customWidth="1"/>
    <col min="1309" max="1309" width="37.7109375" style="359" customWidth="1"/>
    <col min="1310" max="1512" width="9.140625" style="359"/>
    <col min="1513" max="1513" width="1.7109375" style="359" customWidth="1"/>
    <col min="1514" max="1514" width="3.5703125" style="359" customWidth="1"/>
    <col min="1515" max="1515" width="11" style="359" customWidth="1"/>
    <col min="1516" max="1516" width="20.7109375" style="359" customWidth="1"/>
    <col min="1517" max="1518" width="11.7109375" style="359" customWidth="1"/>
    <col min="1519" max="1519" width="9.7109375" style="359" customWidth="1"/>
    <col min="1520" max="1520" width="10.140625" style="359" bestFit="1" customWidth="1"/>
    <col min="1521" max="1522" width="7.7109375" style="359" customWidth="1"/>
    <col min="1523" max="1523" width="4" style="359" customWidth="1"/>
    <col min="1524" max="1524" width="9.7109375" style="359" customWidth="1"/>
    <col min="1525" max="1525" width="15.140625" style="359" customWidth="1"/>
    <col min="1526" max="1526" width="5.140625" style="359" customWidth="1"/>
    <col min="1527" max="1527" width="9.7109375" style="359" customWidth="1"/>
    <col min="1528" max="1528" width="13.7109375" style="359" customWidth="1"/>
    <col min="1529" max="1529" width="5.140625" style="359" customWidth="1"/>
    <col min="1530" max="1530" width="9.7109375" style="359" customWidth="1"/>
    <col min="1531" max="1531" width="12.5703125" style="359" customWidth="1"/>
    <col min="1532" max="1532" width="5.140625" style="359" customWidth="1"/>
    <col min="1533" max="1533" width="9.7109375" style="359" customWidth="1"/>
    <col min="1534" max="1534" width="12.7109375" style="359" customWidth="1"/>
    <col min="1535" max="1535" width="5.140625" style="359" customWidth="1"/>
    <col min="1536" max="1536" width="9.7109375" style="359" customWidth="1"/>
    <col min="1537" max="1537" width="12.7109375" style="359" customWidth="1"/>
    <col min="1538" max="1538" width="5.140625" style="359" customWidth="1"/>
    <col min="1539" max="1539" width="9.7109375" style="359" customWidth="1"/>
    <col min="1540" max="1540" width="12.7109375" style="359" customWidth="1"/>
    <col min="1541" max="1541" width="5.140625" style="359" customWidth="1"/>
    <col min="1542" max="1542" width="9.7109375" style="359" customWidth="1"/>
    <col min="1543" max="1543" width="12.7109375" style="359" customWidth="1"/>
    <col min="1544" max="1544" width="5.140625" style="359" customWidth="1"/>
    <col min="1545" max="1545" width="9.7109375" style="359" customWidth="1"/>
    <col min="1546" max="1546" width="12.7109375" style="359" customWidth="1"/>
    <col min="1547" max="1547" width="5.140625" style="359" customWidth="1"/>
    <col min="1548" max="1548" width="9.7109375" style="359" customWidth="1"/>
    <col min="1549" max="1549" width="12.7109375" style="359" customWidth="1"/>
    <col min="1550" max="1550" width="5.140625" style="359" customWidth="1"/>
    <col min="1551" max="1551" width="9.7109375" style="359" customWidth="1"/>
    <col min="1552" max="1552" width="12.7109375" style="359" customWidth="1"/>
    <col min="1553" max="1553" width="5.140625" style="359" customWidth="1"/>
    <col min="1554" max="1554" width="9.7109375" style="359" customWidth="1"/>
    <col min="1555" max="1555" width="12.7109375" style="359" customWidth="1"/>
    <col min="1556" max="1556" width="5.140625" style="359" customWidth="1"/>
    <col min="1557" max="1557" width="9.7109375" style="359" customWidth="1"/>
    <col min="1558" max="1558" width="12.7109375" style="359" customWidth="1"/>
    <col min="1559" max="1559" width="5.140625" style="359" customWidth="1"/>
    <col min="1560" max="1560" width="9.7109375" style="359" customWidth="1"/>
    <col min="1561" max="1561" width="12.7109375" style="359" customWidth="1"/>
    <col min="1562" max="1562" width="5.140625" style="359" customWidth="1"/>
    <col min="1563" max="1563" width="9.7109375" style="359" customWidth="1"/>
    <col min="1564" max="1564" width="12.7109375" style="359" customWidth="1"/>
    <col min="1565" max="1565" width="37.7109375" style="359" customWidth="1"/>
    <col min="1566" max="1768" width="9.140625" style="359"/>
    <col min="1769" max="1769" width="1.7109375" style="359" customWidth="1"/>
    <col min="1770" max="1770" width="3.5703125" style="359" customWidth="1"/>
    <col min="1771" max="1771" width="11" style="359" customWidth="1"/>
    <col min="1772" max="1772" width="20.7109375" style="359" customWidth="1"/>
    <col min="1773" max="1774" width="11.7109375" style="359" customWidth="1"/>
    <col min="1775" max="1775" width="9.7109375" style="359" customWidth="1"/>
    <col min="1776" max="1776" width="10.140625" style="359" bestFit="1" customWidth="1"/>
    <col min="1777" max="1778" width="7.7109375" style="359" customWidth="1"/>
    <col min="1779" max="1779" width="4" style="359" customWidth="1"/>
    <col min="1780" max="1780" width="9.7109375" style="359" customWidth="1"/>
    <col min="1781" max="1781" width="15.140625" style="359" customWidth="1"/>
    <col min="1782" max="1782" width="5.140625" style="359" customWidth="1"/>
    <col min="1783" max="1783" width="9.7109375" style="359" customWidth="1"/>
    <col min="1784" max="1784" width="13.7109375" style="359" customWidth="1"/>
    <col min="1785" max="1785" width="5.140625" style="359" customWidth="1"/>
    <col min="1786" max="1786" width="9.7109375" style="359" customWidth="1"/>
    <col min="1787" max="1787" width="12.5703125" style="359" customWidth="1"/>
    <col min="1788" max="1788" width="5.140625" style="359" customWidth="1"/>
    <col min="1789" max="1789" width="9.7109375" style="359" customWidth="1"/>
    <col min="1790" max="1790" width="12.7109375" style="359" customWidth="1"/>
    <col min="1791" max="1791" width="5.140625" style="359" customWidth="1"/>
    <col min="1792" max="1792" width="9.7109375" style="359" customWidth="1"/>
    <col min="1793" max="1793" width="12.7109375" style="359" customWidth="1"/>
    <col min="1794" max="1794" width="5.140625" style="359" customWidth="1"/>
    <col min="1795" max="1795" width="9.7109375" style="359" customWidth="1"/>
    <col min="1796" max="1796" width="12.7109375" style="359" customWidth="1"/>
    <col min="1797" max="1797" width="5.140625" style="359" customWidth="1"/>
    <col min="1798" max="1798" width="9.7109375" style="359" customWidth="1"/>
    <col min="1799" max="1799" width="12.7109375" style="359" customWidth="1"/>
    <col min="1800" max="1800" width="5.140625" style="359" customWidth="1"/>
    <col min="1801" max="1801" width="9.7109375" style="359" customWidth="1"/>
    <col min="1802" max="1802" width="12.7109375" style="359" customWidth="1"/>
    <col min="1803" max="1803" width="5.140625" style="359" customWidth="1"/>
    <col min="1804" max="1804" width="9.7109375" style="359" customWidth="1"/>
    <col min="1805" max="1805" width="12.7109375" style="359" customWidth="1"/>
    <col min="1806" max="1806" width="5.140625" style="359" customWidth="1"/>
    <col min="1807" max="1807" width="9.7109375" style="359" customWidth="1"/>
    <col min="1808" max="1808" width="12.7109375" style="359" customWidth="1"/>
    <col min="1809" max="1809" width="5.140625" style="359" customWidth="1"/>
    <col min="1810" max="1810" width="9.7109375" style="359" customWidth="1"/>
    <col min="1811" max="1811" width="12.7109375" style="359" customWidth="1"/>
    <col min="1812" max="1812" width="5.140625" style="359" customWidth="1"/>
    <col min="1813" max="1813" width="9.7109375" style="359" customWidth="1"/>
    <col min="1814" max="1814" width="12.7109375" style="359" customWidth="1"/>
    <col min="1815" max="1815" width="5.140625" style="359" customWidth="1"/>
    <col min="1816" max="1816" width="9.7109375" style="359" customWidth="1"/>
    <col min="1817" max="1817" width="12.7109375" style="359" customWidth="1"/>
    <col min="1818" max="1818" width="5.140625" style="359" customWidth="1"/>
    <col min="1819" max="1819" width="9.7109375" style="359" customWidth="1"/>
    <col min="1820" max="1820" width="12.7109375" style="359" customWidth="1"/>
    <col min="1821" max="1821" width="37.7109375" style="359" customWidth="1"/>
    <col min="1822" max="2024" width="9.140625" style="359"/>
    <col min="2025" max="2025" width="1.7109375" style="359" customWidth="1"/>
    <col min="2026" max="2026" width="3.5703125" style="359" customWidth="1"/>
    <col min="2027" max="2027" width="11" style="359" customWidth="1"/>
    <col min="2028" max="2028" width="20.7109375" style="359" customWidth="1"/>
    <col min="2029" max="2030" width="11.7109375" style="359" customWidth="1"/>
    <col min="2031" max="2031" width="9.7109375" style="359" customWidth="1"/>
    <col min="2032" max="2032" width="10.140625" style="359" bestFit="1" customWidth="1"/>
    <col min="2033" max="2034" width="7.7109375" style="359" customWidth="1"/>
    <col min="2035" max="2035" width="4" style="359" customWidth="1"/>
    <col min="2036" max="2036" width="9.7109375" style="359" customWidth="1"/>
    <col min="2037" max="2037" width="15.140625" style="359" customWidth="1"/>
    <col min="2038" max="2038" width="5.140625" style="359" customWidth="1"/>
    <col min="2039" max="2039" width="9.7109375" style="359" customWidth="1"/>
    <col min="2040" max="2040" width="13.7109375" style="359" customWidth="1"/>
    <col min="2041" max="2041" width="5.140625" style="359" customWidth="1"/>
    <col min="2042" max="2042" width="9.7109375" style="359" customWidth="1"/>
    <col min="2043" max="2043" width="12.5703125" style="359" customWidth="1"/>
    <col min="2044" max="2044" width="5.140625" style="359" customWidth="1"/>
    <col min="2045" max="2045" width="9.7109375" style="359" customWidth="1"/>
    <col min="2046" max="2046" width="12.7109375" style="359" customWidth="1"/>
    <col min="2047" max="2047" width="5.140625" style="359" customWidth="1"/>
    <col min="2048" max="2048" width="9.7109375" style="359" customWidth="1"/>
    <col min="2049" max="2049" width="12.7109375" style="359" customWidth="1"/>
    <col min="2050" max="2050" width="5.140625" style="359" customWidth="1"/>
    <col min="2051" max="2051" width="9.7109375" style="359" customWidth="1"/>
    <col min="2052" max="2052" width="12.7109375" style="359" customWidth="1"/>
    <col min="2053" max="2053" width="5.140625" style="359" customWidth="1"/>
    <col min="2054" max="2054" width="9.7109375" style="359" customWidth="1"/>
    <col min="2055" max="2055" width="12.7109375" style="359" customWidth="1"/>
    <col min="2056" max="2056" width="5.140625" style="359" customWidth="1"/>
    <col min="2057" max="2057" width="9.7109375" style="359" customWidth="1"/>
    <col min="2058" max="2058" width="12.7109375" style="359" customWidth="1"/>
    <col min="2059" max="2059" width="5.140625" style="359" customWidth="1"/>
    <col min="2060" max="2060" width="9.7109375" style="359" customWidth="1"/>
    <col min="2061" max="2061" width="12.7109375" style="359" customWidth="1"/>
    <col min="2062" max="2062" width="5.140625" style="359" customWidth="1"/>
    <col min="2063" max="2063" width="9.7109375" style="359" customWidth="1"/>
    <col min="2064" max="2064" width="12.7109375" style="359" customWidth="1"/>
    <col min="2065" max="2065" width="5.140625" style="359" customWidth="1"/>
    <col min="2066" max="2066" width="9.7109375" style="359" customWidth="1"/>
    <col min="2067" max="2067" width="12.7109375" style="359" customWidth="1"/>
    <col min="2068" max="2068" width="5.140625" style="359" customWidth="1"/>
    <col min="2069" max="2069" width="9.7109375" style="359" customWidth="1"/>
    <col min="2070" max="2070" width="12.7109375" style="359" customWidth="1"/>
    <col min="2071" max="2071" width="5.140625" style="359" customWidth="1"/>
    <col min="2072" max="2072" width="9.7109375" style="359" customWidth="1"/>
    <col min="2073" max="2073" width="12.7109375" style="359" customWidth="1"/>
    <col min="2074" max="2074" width="5.140625" style="359" customWidth="1"/>
    <col min="2075" max="2075" width="9.7109375" style="359" customWidth="1"/>
    <col min="2076" max="2076" width="12.7109375" style="359" customWidth="1"/>
    <col min="2077" max="2077" width="37.7109375" style="359" customWidth="1"/>
    <col min="2078" max="2280" width="9.140625" style="359"/>
    <col min="2281" max="2281" width="1.7109375" style="359" customWidth="1"/>
    <col min="2282" max="2282" width="3.5703125" style="359" customWidth="1"/>
    <col min="2283" max="2283" width="11" style="359" customWidth="1"/>
    <col min="2284" max="2284" width="20.7109375" style="359" customWidth="1"/>
    <col min="2285" max="2286" width="11.7109375" style="359" customWidth="1"/>
    <col min="2287" max="2287" width="9.7109375" style="359" customWidth="1"/>
    <col min="2288" max="2288" width="10.140625" style="359" bestFit="1" customWidth="1"/>
    <col min="2289" max="2290" width="7.7109375" style="359" customWidth="1"/>
    <col min="2291" max="2291" width="4" style="359" customWidth="1"/>
    <col min="2292" max="2292" width="9.7109375" style="359" customWidth="1"/>
    <col min="2293" max="2293" width="15.140625" style="359" customWidth="1"/>
    <col min="2294" max="2294" width="5.140625" style="359" customWidth="1"/>
    <col min="2295" max="2295" width="9.7109375" style="359" customWidth="1"/>
    <col min="2296" max="2296" width="13.7109375" style="359" customWidth="1"/>
    <col min="2297" max="2297" width="5.140625" style="359" customWidth="1"/>
    <col min="2298" max="2298" width="9.7109375" style="359" customWidth="1"/>
    <col min="2299" max="2299" width="12.5703125" style="359" customWidth="1"/>
    <col min="2300" max="2300" width="5.140625" style="359" customWidth="1"/>
    <col min="2301" max="2301" width="9.7109375" style="359" customWidth="1"/>
    <col min="2302" max="2302" width="12.7109375" style="359" customWidth="1"/>
    <col min="2303" max="2303" width="5.140625" style="359" customWidth="1"/>
    <col min="2304" max="2304" width="9.7109375" style="359" customWidth="1"/>
    <col min="2305" max="2305" width="12.7109375" style="359" customWidth="1"/>
    <col min="2306" max="2306" width="5.140625" style="359" customWidth="1"/>
    <col min="2307" max="2307" width="9.7109375" style="359" customWidth="1"/>
    <col min="2308" max="2308" width="12.7109375" style="359" customWidth="1"/>
    <col min="2309" max="2309" width="5.140625" style="359" customWidth="1"/>
    <col min="2310" max="2310" width="9.7109375" style="359" customWidth="1"/>
    <col min="2311" max="2311" width="12.7109375" style="359" customWidth="1"/>
    <col min="2312" max="2312" width="5.140625" style="359" customWidth="1"/>
    <col min="2313" max="2313" width="9.7109375" style="359" customWidth="1"/>
    <col min="2314" max="2314" width="12.7109375" style="359" customWidth="1"/>
    <col min="2315" max="2315" width="5.140625" style="359" customWidth="1"/>
    <col min="2316" max="2316" width="9.7109375" style="359" customWidth="1"/>
    <col min="2317" max="2317" width="12.7109375" style="359" customWidth="1"/>
    <col min="2318" max="2318" width="5.140625" style="359" customWidth="1"/>
    <col min="2319" max="2319" width="9.7109375" style="359" customWidth="1"/>
    <col min="2320" max="2320" width="12.7109375" style="359" customWidth="1"/>
    <col min="2321" max="2321" width="5.140625" style="359" customWidth="1"/>
    <col min="2322" max="2322" width="9.7109375" style="359" customWidth="1"/>
    <col min="2323" max="2323" width="12.7109375" style="359" customWidth="1"/>
    <col min="2324" max="2324" width="5.140625" style="359" customWidth="1"/>
    <col min="2325" max="2325" width="9.7109375" style="359" customWidth="1"/>
    <col min="2326" max="2326" width="12.7109375" style="359" customWidth="1"/>
    <col min="2327" max="2327" width="5.140625" style="359" customWidth="1"/>
    <col min="2328" max="2328" width="9.7109375" style="359" customWidth="1"/>
    <col min="2329" max="2329" width="12.7109375" style="359" customWidth="1"/>
    <col min="2330" max="2330" width="5.140625" style="359" customWidth="1"/>
    <col min="2331" max="2331" width="9.7109375" style="359" customWidth="1"/>
    <col min="2332" max="2332" width="12.7109375" style="359" customWidth="1"/>
    <col min="2333" max="2333" width="37.7109375" style="359" customWidth="1"/>
    <col min="2334" max="2536" width="9.140625" style="359"/>
    <col min="2537" max="2537" width="1.7109375" style="359" customWidth="1"/>
    <col min="2538" max="2538" width="3.5703125" style="359" customWidth="1"/>
    <col min="2539" max="2539" width="11" style="359" customWidth="1"/>
    <col min="2540" max="2540" width="20.7109375" style="359" customWidth="1"/>
    <col min="2541" max="2542" width="11.7109375" style="359" customWidth="1"/>
    <col min="2543" max="2543" width="9.7109375" style="359" customWidth="1"/>
    <col min="2544" max="2544" width="10.140625" style="359" bestFit="1" customWidth="1"/>
    <col min="2545" max="2546" width="7.7109375" style="359" customWidth="1"/>
    <col min="2547" max="2547" width="4" style="359" customWidth="1"/>
    <col min="2548" max="2548" width="9.7109375" style="359" customWidth="1"/>
    <col min="2549" max="2549" width="15.140625" style="359" customWidth="1"/>
    <col min="2550" max="2550" width="5.140625" style="359" customWidth="1"/>
    <col min="2551" max="2551" width="9.7109375" style="359" customWidth="1"/>
    <col min="2552" max="2552" width="13.7109375" style="359" customWidth="1"/>
    <col min="2553" max="2553" width="5.140625" style="359" customWidth="1"/>
    <col min="2554" max="2554" width="9.7109375" style="359" customWidth="1"/>
    <col min="2555" max="2555" width="12.5703125" style="359" customWidth="1"/>
    <col min="2556" max="2556" width="5.140625" style="359" customWidth="1"/>
    <col min="2557" max="2557" width="9.7109375" style="359" customWidth="1"/>
    <col min="2558" max="2558" width="12.7109375" style="359" customWidth="1"/>
    <col min="2559" max="2559" width="5.140625" style="359" customWidth="1"/>
    <col min="2560" max="2560" width="9.7109375" style="359" customWidth="1"/>
    <col min="2561" max="2561" width="12.7109375" style="359" customWidth="1"/>
    <col min="2562" max="2562" width="5.140625" style="359" customWidth="1"/>
    <col min="2563" max="2563" width="9.7109375" style="359" customWidth="1"/>
    <col min="2564" max="2564" width="12.7109375" style="359" customWidth="1"/>
    <col min="2565" max="2565" width="5.140625" style="359" customWidth="1"/>
    <col min="2566" max="2566" width="9.7109375" style="359" customWidth="1"/>
    <col min="2567" max="2567" width="12.7109375" style="359" customWidth="1"/>
    <col min="2568" max="2568" width="5.140625" style="359" customWidth="1"/>
    <col min="2569" max="2569" width="9.7109375" style="359" customWidth="1"/>
    <col min="2570" max="2570" width="12.7109375" style="359" customWidth="1"/>
    <col min="2571" max="2571" width="5.140625" style="359" customWidth="1"/>
    <col min="2572" max="2572" width="9.7109375" style="359" customWidth="1"/>
    <col min="2573" max="2573" width="12.7109375" style="359" customWidth="1"/>
    <col min="2574" max="2574" width="5.140625" style="359" customWidth="1"/>
    <col min="2575" max="2575" width="9.7109375" style="359" customWidth="1"/>
    <col min="2576" max="2576" width="12.7109375" style="359" customWidth="1"/>
    <col min="2577" max="2577" width="5.140625" style="359" customWidth="1"/>
    <col min="2578" max="2578" width="9.7109375" style="359" customWidth="1"/>
    <col min="2579" max="2579" width="12.7109375" style="359" customWidth="1"/>
    <col min="2580" max="2580" width="5.140625" style="359" customWidth="1"/>
    <col min="2581" max="2581" width="9.7109375" style="359" customWidth="1"/>
    <col min="2582" max="2582" width="12.7109375" style="359" customWidth="1"/>
    <col min="2583" max="2583" width="5.140625" style="359" customWidth="1"/>
    <col min="2584" max="2584" width="9.7109375" style="359" customWidth="1"/>
    <col min="2585" max="2585" width="12.7109375" style="359" customWidth="1"/>
    <col min="2586" max="2586" width="5.140625" style="359" customWidth="1"/>
    <col min="2587" max="2587" width="9.7109375" style="359" customWidth="1"/>
    <col min="2588" max="2588" width="12.7109375" style="359" customWidth="1"/>
    <col min="2589" max="2589" width="37.7109375" style="359" customWidth="1"/>
    <col min="2590" max="2792" width="9.140625" style="359"/>
    <col min="2793" max="2793" width="1.7109375" style="359" customWidth="1"/>
    <col min="2794" max="2794" width="3.5703125" style="359" customWidth="1"/>
    <col min="2795" max="2795" width="11" style="359" customWidth="1"/>
    <col min="2796" max="2796" width="20.7109375" style="359" customWidth="1"/>
    <col min="2797" max="2798" width="11.7109375" style="359" customWidth="1"/>
    <col min="2799" max="2799" width="9.7109375" style="359" customWidth="1"/>
    <col min="2800" max="2800" width="10.140625" style="359" bestFit="1" customWidth="1"/>
    <col min="2801" max="2802" width="7.7109375" style="359" customWidth="1"/>
    <col min="2803" max="2803" width="4" style="359" customWidth="1"/>
    <col min="2804" max="2804" width="9.7109375" style="359" customWidth="1"/>
    <col min="2805" max="2805" width="15.140625" style="359" customWidth="1"/>
    <col min="2806" max="2806" width="5.140625" style="359" customWidth="1"/>
    <col min="2807" max="2807" width="9.7109375" style="359" customWidth="1"/>
    <col min="2808" max="2808" width="13.7109375" style="359" customWidth="1"/>
    <col min="2809" max="2809" width="5.140625" style="359" customWidth="1"/>
    <col min="2810" max="2810" width="9.7109375" style="359" customWidth="1"/>
    <col min="2811" max="2811" width="12.5703125" style="359" customWidth="1"/>
    <col min="2812" max="2812" width="5.140625" style="359" customWidth="1"/>
    <col min="2813" max="2813" width="9.7109375" style="359" customWidth="1"/>
    <col min="2814" max="2814" width="12.7109375" style="359" customWidth="1"/>
    <col min="2815" max="2815" width="5.140625" style="359" customWidth="1"/>
    <col min="2816" max="2816" width="9.7109375" style="359" customWidth="1"/>
    <col min="2817" max="2817" width="12.7109375" style="359" customWidth="1"/>
    <col min="2818" max="2818" width="5.140625" style="359" customWidth="1"/>
    <col min="2819" max="2819" width="9.7109375" style="359" customWidth="1"/>
    <col min="2820" max="2820" width="12.7109375" style="359" customWidth="1"/>
    <col min="2821" max="2821" width="5.140625" style="359" customWidth="1"/>
    <col min="2822" max="2822" width="9.7109375" style="359" customWidth="1"/>
    <col min="2823" max="2823" width="12.7109375" style="359" customWidth="1"/>
    <col min="2824" max="2824" width="5.140625" style="359" customWidth="1"/>
    <col min="2825" max="2825" width="9.7109375" style="359" customWidth="1"/>
    <col min="2826" max="2826" width="12.7109375" style="359" customWidth="1"/>
    <col min="2827" max="2827" width="5.140625" style="359" customWidth="1"/>
    <col min="2828" max="2828" width="9.7109375" style="359" customWidth="1"/>
    <col min="2829" max="2829" width="12.7109375" style="359" customWidth="1"/>
    <col min="2830" max="2830" width="5.140625" style="359" customWidth="1"/>
    <col min="2831" max="2831" width="9.7109375" style="359" customWidth="1"/>
    <col min="2832" max="2832" width="12.7109375" style="359" customWidth="1"/>
    <col min="2833" max="2833" width="5.140625" style="359" customWidth="1"/>
    <col min="2834" max="2834" width="9.7109375" style="359" customWidth="1"/>
    <col min="2835" max="2835" width="12.7109375" style="359" customWidth="1"/>
    <col min="2836" max="2836" width="5.140625" style="359" customWidth="1"/>
    <col min="2837" max="2837" width="9.7109375" style="359" customWidth="1"/>
    <col min="2838" max="2838" width="12.7109375" style="359" customWidth="1"/>
    <col min="2839" max="2839" width="5.140625" style="359" customWidth="1"/>
    <col min="2840" max="2840" width="9.7109375" style="359" customWidth="1"/>
    <col min="2841" max="2841" width="12.7109375" style="359" customWidth="1"/>
    <col min="2842" max="2842" width="5.140625" style="359" customWidth="1"/>
    <col min="2843" max="2843" width="9.7109375" style="359" customWidth="1"/>
    <col min="2844" max="2844" width="12.7109375" style="359" customWidth="1"/>
    <col min="2845" max="2845" width="37.7109375" style="359" customWidth="1"/>
    <col min="2846" max="3048" width="9.140625" style="359"/>
    <col min="3049" max="3049" width="1.7109375" style="359" customWidth="1"/>
    <col min="3050" max="3050" width="3.5703125" style="359" customWidth="1"/>
    <col min="3051" max="3051" width="11" style="359" customWidth="1"/>
    <col min="3052" max="3052" width="20.7109375" style="359" customWidth="1"/>
    <col min="3053" max="3054" width="11.7109375" style="359" customWidth="1"/>
    <col min="3055" max="3055" width="9.7109375" style="359" customWidth="1"/>
    <col min="3056" max="3056" width="10.140625" style="359" bestFit="1" customWidth="1"/>
    <col min="3057" max="3058" width="7.7109375" style="359" customWidth="1"/>
    <col min="3059" max="3059" width="4" style="359" customWidth="1"/>
    <col min="3060" max="3060" width="9.7109375" style="359" customWidth="1"/>
    <col min="3061" max="3061" width="15.140625" style="359" customWidth="1"/>
    <col min="3062" max="3062" width="5.140625" style="359" customWidth="1"/>
    <col min="3063" max="3063" width="9.7109375" style="359" customWidth="1"/>
    <col min="3064" max="3064" width="13.7109375" style="359" customWidth="1"/>
    <col min="3065" max="3065" width="5.140625" style="359" customWidth="1"/>
    <col min="3066" max="3066" width="9.7109375" style="359" customWidth="1"/>
    <col min="3067" max="3067" width="12.5703125" style="359" customWidth="1"/>
    <col min="3068" max="3068" width="5.140625" style="359" customWidth="1"/>
    <col min="3069" max="3069" width="9.7109375" style="359" customWidth="1"/>
    <col min="3070" max="3070" width="12.7109375" style="359" customWidth="1"/>
    <col min="3071" max="3071" width="5.140625" style="359" customWidth="1"/>
    <col min="3072" max="3072" width="9.7109375" style="359" customWidth="1"/>
    <col min="3073" max="3073" width="12.7109375" style="359" customWidth="1"/>
    <col min="3074" max="3074" width="5.140625" style="359" customWidth="1"/>
    <col min="3075" max="3075" width="9.7109375" style="359" customWidth="1"/>
    <col min="3076" max="3076" width="12.7109375" style="359" customWidth="1"/>
    <col min="3077" max="3077" width="5.140625" style="359" customWidth="1"/>
    <col min="3078" max="3078" width="9.7109375" style="359" customWidth="1"/>
    <col min="3079" max="3079" width="12.7109375" style="359" customWidth="1"/>
    <col min="3080" max="3080" width="5.140625" style="359" customWidth="1"/>
    <col min="3081" max="3081" width="9.7109375" style="359" customWidth="1"/>
    <col min="3082" max="3082" width="12.7109375" style="359" customWidth="1"/>
    <col min="3083" max="3083" width="5.140625" style="359" customWidth="1"/>
    <col min="3084" max="3084" width="9.7109375" style="359" customWidth="1"/>
    <col min="3085" max="3085" width="12.7109375" style="359" customWidth="1"/>
    <col min="3086" max="3086" width="5.140625" style="359" customWidth="1"/>
    <col min="3087" max="3087" width="9.7109375" style="359" customWidth="1"/>
    <col min="3088" max="3088" width="12.7109375" style="359" customWidth="1"/>
    <col min="3089" max="3089" width="5.140625" style="359" customWidth="1"/>
    <col min="3090" max="3090" width="9.7109375" style="359" customWidth="1"/>
    <col min="3091" max="3091" width="12.7109375" style="359" customWidth="1"/>
    <col min="3092" max="3092" width="5.140625" style="359" customWidth="1"/>
    <col min="3093" max="3093" width="9.7109375" style="359" customWidth="1"/>
    <col min="3094" max="3094" width="12.7109375" style="359" customWidth="1"/>
    <col min="3095" max="3095" width="5.140625" style="359" customWidth="1"/>
    <col min="3096" max="3096" width="9.7109375" style="359" customWidth="1"/>
    <col min="3097" max="3097" width="12.7109375" style="359" customWidth="1"/>
    <col min="3098" max="3098" width="5.140625" style="359" customWidth="1"/>
    <col min="3099" max="3099" width="9.7109375" style="359" customWidth="1"/>
    <col min="3100" max="3100" width="12.7109375" style="359" customWidth="1"/>
    <col min="3101" max="3101" width="37.7109375" style="359" customWidth="1"/>
    <col min="3102" max="3304" width="9.140625" style="359"/>
    <col min="3305" max="3305" width="1.7109375" style="359" customWidth="1"/>
    <col min="3306" max="3306" width="3.5703125" style="359" customWidth="1"/>
    <col min="3307" max="3307" width="11" style="359" customWidth="1"/>
    <col min="3308" max="3308" width="20.7109375" style="359" customWidth="1"/>
    <col min="3309" max="3310" width="11.7109375" style="359" customWidth="1"/>
    <col min="3311" max="3311" width="9.7109375" style="359" customWidth="1"/>
    <col min="3312" max="3312" width="10.140625" style="359" bestFit="1" customWidth="1"/>
    <col min="3313" max="3314" width="7.7109375" style="359" customWidth="1"/>
    <col min="3315" max="3315" width="4" style="359" customWidth="1"/>
    <col min="3316" max="3316" width="9.7109375" style="359" customWidth="1"/>
    <col min="3317" max="3317" width="15.140625" style="359" customWidth="1"/>
    <col min="3318" max="3318" width="5.140625" style="359" customWidth="1"/>
    <col min="3319" max="3319" width="9.7109375" style="359" customWidth="1"/>
    <col min="3320" max="3320" width="13.7109375" style="359" customWidth="1"/>
    <col min="3321" max="3321" width="5.140625" style="359" customWidth="1"/>
    <col min="3322" max="3322" width="9.7109375" style="359" customWidth="1"/>
    <col min="3323" max="3323" width="12.5703125" style="359" customWidth="1"/>
    <col min="3324" max="3324" width="5.140625" style="359" customWidth="1"/>
    <col min="3325" max="3325" width="9.7109375" style="359" customWidth="1"/>
    <col min="3326" max="3326" width="12.7109375" style="359" customWidth="1"/>
    <col min="3327" max="3327" width="5.140625" style="359" customWidth="1"/>
    <col min="3328" max="3328" width="9.7109375" style="359" customWidth="1"/>
    <col min="3329" max="3329" width="12.7109375" style="359" customWidth="1"/>
    <col min="3330" max="3330" width="5.140625" style="359" customWidth="1"/>
    <col min="3331" max="3331" width="9.7109375" style="359" customWidth="1"/>
    <col min="3332" max="3332" width="12.7109375" style="359" customWidth="1"/>
    <col min="3333" max="3333" width="5.140625" style="359" customWidth="1"/>
    <col min="3334" max="3334" width="9.7109375" style="359" customWidth="1"/>
    <col min="3335" max="3335" width="12.7109375" style="359" customWidth="1"/>
    <col min="3336" max="3336" width="5.140625" style="359" customWidth="1"/>
    <col min="3337" max="3337" width="9.7109375" style="359" customWidth="1"/>
    <col min="3338" max="3338" width="12.7109375" style="359" customWidth="1"/>
    <col min="3339" max="3339" width="5.140625" style="359" customWidth="1"/>
    <col min="3340" max="3340" width="9.7109375" style="359" customWidth="1"/>
    <col min="3341" max="3341" width="12.7109375" style="359" customWidth="1"/>
    <col min="3342" max="3342" width="5.140625" style="359" customWidth="1"/>
    <col min="3343" max="3343" width="9.7109375" style="359" customWidth="1"/>
    <col min="3344" max="3344" width="12.7109375" style="359" customWidth="1"/>
    <col min="3345" max="3345" width="5.140625" style="359" customWidth="1"/>
    <col min="3346" max="3346" width="9.7109375" style="359" customWidth="1"/>
    <col min="3347" max="3347" width="12.7109375" style="359" customWidth="1"/>
    <col min="3348" max="3348" width="5.140625" style="359" customWidth="1"/>
    <col min="3349" max="3349" width="9.7109375" style="359" customWidth="1"/>
    <col min="3350" max="3350" width="12.7109375" style="359" customWidth="1"/>
    <col min="3351" max="3351" width="5.140625" style="359" customWidth="1"/>
    <col min="3352" max="3352" width="9.7109375" style="359" customWidth="1"/>
    <col min="3353" max="3353" width="12.7109375" style="359" customWidth="1"/>
    <col min="3354" max="3354" width="5.140625" style="359" customWidth="1"/>
    <col min="3355" max="3355" width="9.7109375" style="359" customWidth="1"/>
    <col min="3356" max="3356" width="12.7109375" style="359" customWidth="1"/>
    <col min="3357" max="3357" width="37.7109375" style="359" customWidth="1"/>
    <col min="3358" max="3560" width="9.140625" style="359"/>
    <col min="3561" max="3561" width="1.7109375" style="359" customWidth="1"/>
    <col min="3562" max="3562" width="3.5703125" style="359" customWidth="1"/>
    <col min="3563" max="3563" width="11" style="359" customWidth="1"/>
    <col min="3564" max="3564" width="20.7109375" style="359" customWidth="1"/>
    <col min="3565" max="3566" width="11.7109375" style="359" customWidth="1"/>
    <col min="3567" max="3567" width="9.7109375" style="359" customWidth="1"/>
    <col min="3568" max="3568" width="10.140625" style="359" bestFit="1" customWidth="1"/>
    <col min="3569" max="3570" width="7.7109375" style="359" customWidth="1"/>
    <col min="3571" max="3571" width="4" style="359" customWidth="1"/>
    <col min="3572" max="3572" width="9.7109375" style="359" customWidth="1"/>
    <col min="3573" max="3573" width="15.140625" style="359" customWidth="1"/>
    <col min="3574" max="3574" width="5.140625" style="359" customWidth="1"/>
    <col min="3575" max="3575" width="9.7109375" style="359" customWidth="1"/>
    <col min="3576" max="3576" width="13.7109375" style="359" customWidth="1"/>
    <col min="3577" max="3577" width="5.140625" style="359" customWidth="1"/>
    <col min="3578" max="3578" width="9.7109375" style="359" customWidth="1"/>
    <col min="3579" max="3579" width="12.5703125" style="359" customWidth="1"/>
    <col min="3580" max="3580" width="5.140625" style="359" customWidth="1"/>
    <col min="3581" max="3581" width="9.7109375" style="359" customWidth="1"/>
    <col min="3582" max="3582" width="12.7109375" style="359" customWidth="1"/>
    <col min="3583" max="3583" width="5.140625" style="359" customWidth="1"/>
    <col min="3584" max="3584" width="9.7109375" style="359" customWidth="1"/>
    <col min="3585" max="3585" width="12.7109375" style="359" customWidth="1"/>
    <col min="3586" max="3586" width="5.140625" style="359" customWidth="1"/>
    <col min="3587" max="3587" width="9.7109375" style="359" customWidth="1"/>
    <col min="3588" max="3588" width="12.7109375" style="359" customWidth="1"/>
    <col min="3589" max="3589" width="5.140625" style="359" customWidth="1"/>
    <col min="3590" max="3590" width="9.7109375" style="359" customWidth="1"/>
    <col min="3591" max="3591" width="12.7109375" style="359" customWidth="1"/>
    <col min="3592" max="3592" width="5.140625" style="359" customWidth="1"/>
    <col min="3593" max="3593" width="9.7109375" style="359" customWidth="1"/>
    <col min="3594" max="3594" width="12.7109375" style="359" customWidth="1"/>
    <col min="3595" max="3595" width="5.140625" style="359" customWidth="1"/>
    <col min="3596" max="3596" width="9.7109375" style="359" customWidth="1"/>
    <col min="3597" max="3597" width="12.7109375" style="359" customWidth="1"/>
    <col min="3598" max="3598" width="5.140625" style="359" customWidth="1"/>
    <col min="3599" max="3599" width="9.7109375" style="359" customWidth="1"/>
    <col min="3600" max="3600" width="12.7109375" style="359" customWidth="1"/>
    <col min="3601" max="3601" width="5.140625" style="359" customWidth="1"/>
    <col min="3602" max="3602" width="9.7109375" style="359" customWidth="1"/>
    <col min="3603" max="3603" width="12.7109375" style="359" customWidth="1"/>
    <col min="3604" max="3604" width="5.140625" style="359" customWidth="1"/>
    <col min="3605" max="3605" width="9.7109375" style="359" customWidth="1"/>
    <col min="3606" max="3606" width="12.7109375" style="359" customWidth="1"/>
    <col min="3607" max="3607" width="5.140625" style="359" customWidth="1"/>
    <col min="3608" max="3608" width="9.7109375" style="359" customWidth="1"/>
    <col min="3609" max="3609" width="12.7109375" style="359" customWidth="1"/>
    <col min="3610" max="3610" width="5.140625" style="359" customWidth="1"/>
    <col min="3611" max="3611" width="9.7109375" style="359" customWidth="1"/>
    <col min="3612" max="3612" width="12.7109375" style="359" customWidth="1"/>
    <col min="3613" max="3613" width="37.7109375" style="359" customWidth="1"/>
    <col min="3614" max="3816" width="9.140625" style="359"/>
    <col min="3817" max="3817" width="1.7109375" style="359" customWidth="1"/>
    <col min="3818" max="3818" width="3.5703125" style="359" customWidth="1"/>
    <col min="3819" max="3819" width="11" style="359" customWidth="1"/>
    <col min="3820" max="3820" width="20.7109375" style="359" customWidth="1"/>
    <col min="3821" max="3822" width="11.7109375" style="359" customWidth="1"/>
    <col min="3823" max="3823" width="9.7109375" style="359" customWidth="1"/>
    <col min="3824" max="3824" width="10.140625" style="359" bestFit="1" customWidth="1"/>
    <col min="3825" max="3826" width="7.7109375" style="359" customWidth="1"/>
    <col min="3827" max="3827" width="4" style="359" customWidth="1"/>
    <col min="3828" max="3828" width="9.7109375" style="359" customWidth="1"/>
    <col min="3829" max="3829" width="15.140625" style="359" customWidth="1"/>
    <col min="3830" max="3830" width="5.140625" style="359" customWidth="1"/>
    <col min="3831" max="3831" width="9.7109375" style="359" customWidth="1"/>
    <col min="3832" max="3832" width="13.7109375" style="359" customWidth="1"/>
    <col min="3833" max="3833" width="5.140625" style="359" customWidth="1"/>
    <col min="3834" max="3834" width="9.7109375" style="359" customWidth="1"/>
    <col min="3835" max="3835" width="12.5703125" style="359" customWidth="1"/>
    <col min="3836" max="3836" width="5.140625" style="359" customWidth="1"/>
    <col min="3837" max="3837" width="9.7109375" style="359" customWidth="1"/>
    <col min="3838" max="3838" width="12.7109375" style="359" customWidth="1"/>
    <col min="3839" max="3839" width="5.140625" style="359" customWidth="1"/>
    <col min="3840" max="3840" width="9.7109375" style="359" customWidth="1"/>
    <col min="3841" max="3841" width="12.7109375" style="359" customWidth="1"/>
    <col min="3842" max="3842" width="5.140625" style="359" customWidth="1"/>
    <col min="3843" max="3843" width="9.7109375" style="359" customWidth="1"/>
    <col min="3844" max="3844" width="12.7109375" style="359" customWidth="1"/>
    <col min="3845" max="3845" width="5.140625" style="359" customWidth="1"/>
    <col min="3846" max="3846" width="9.7109375" style="359" customWidth="1"/>
    <col min="3847" max="3847" width="12.7109375" style="359" customWidth="1"/>
    <col min="3848" max="3848" width="5.140625" style="359" customWidth="1"/>
    <col min="3849" max="3849" width="9.7109375" style="359" customWidth="1"/>
    <col min="3850" max="3850" width="12.7109375" style="359" customWidth="1"/>
    <col min="3851" max="3851" width="5.140625" style="359" customWidth="1"/>
    <col min="3852" max="3852" width="9.7109375" style="359" customWidth="1"/>
    <col min="3853" max="3853" width="12.7109375" style="359" customWidth="1"/>
    <col min="3854" max="3854" width="5.140625" style="359" customWidth="1"/>
    <col min="3855" max="3855" width="9.7109375" style="359" customWidth="1"/>
    <col min="3856" max="3856" width="12.7109375" style="359" customWidth="1"/>
    <col min="3857" max="3857" width="5.140625" style="359" customWidth="1"/>
    <col min="3858" max="3858" width="9.7109375" style="359" customWidth="1"/>
    <col min="3859" max="3859" width="12.7109375" style="359" customWidth="1"/>
    <col min="3860" max="3860" width="5.140625" style="359" customWidth="1"/>
    <col min="3861" max="3861" width="9.7109375" style="359" customWidth="1"/>
    <col min="3862" max="3862" width="12.7109375" style="359" customWidth="1"/>
    <col min="3863" max="3863" width="5.140625" style="359" customWidth="1"/>
    <col min="3864" max="3864" width="9.7109375" style="359" customWidth="1"/>
    <col min="3865" max="3865" width="12.7109375" style="359" customWidth="1"/>
    <col min="3866" max="3866" width="5.140625" style="359" customWidth="1"/>
    <col min="3867" max="3867" width="9.7109375" style="359" customWidth="1"/>
    <col min="3868" max="3868" width="12.7109375" style="359" customWidth="1"/>
    <col min="3869" max="3869" width="37.7109375" style="359" customWidth="1"/>
    <col min="3870" max="4072" width="9.140625" style="359"/>
    <col min="4073" max="4073" width="1.7109375" style="359" customWidth="1"/>
    <col min="4074" max="4074" width="3.5703125" style="359" customWidth="1"/>
    <col min="4075" max="4075" width="11" style="359" customWidth="1"/>
    <col min="4076" max="4076" width="20.7109375" style="359" customWidth="1"/>
    <col min="4077" max="4078" width="11.7109375" style="359" customWidth="1"/>
    <col min="4079" max="4079" width="9.7109375" style="359" customWidth="1"/>
    <col min="4080" max="4080" width="10.140625" style="359" bestFit="1" customWidth="1"/>
    <col min="4081" max="4082" width="7.7109375" style="359" customWidth="1"/>
    <col min="4083" max="4083" width="4" style="359" customWidth="1"/>
    <col min="4084" max="4084" width="9.7109375" style="359" customWidth="1"/>
    <col min="4085" max="4085" width="15.140625" style="359" customWidth="1"/>
    <col min="4086" max="4086" width="5.140625" style="359" customWidth="1"/>
    <col min="4087" max="4087" width="9.7109375" style="359" customWidth="1"/>
    <col min="4088" max="4088" width="13.7109375" style="359" customWidth="1"/>
    <col min="4089" max="4089" width="5.140625" style="359" customWidth="1"/>
    <col min="4090" max="4090" width="9.7109375" style="359" customWidth="1"/>
    <col min="4091" max="4091" width="12.5703125" style="359" customWidth="1"/>
    <col min="4092" max="4092" width="5.140625" style="359" customWidth="1"/>
    <col min="4093" max="4093" width="9.7109375" style="359" customWidth="1"/>
    <col min="4094" max="4094" width="12.7109375" style="359" customWidth="1"/>
    <col min="4095" max="4095" width="5.140625" style="359" customWidth="1"/>
    <col min="4096" max="4096" width="9.7109375" style="359" customWidth="1"/>
    <col min="4097" max="4097" width="12.7109375" style="359" customWidth="1"/>
    <col min="4098" max="4098" width="5.140625" style="359" customWidth="1"/>
    <col min="4099" max="4099" width="9.7109375" style="359" customWidth="1"/>
    <col min="4100" max="4100" width="12.7109375" style="359" customWidth="1"/>
    <col min="4101" max="4101" width="5.140625" style="359" customWidth="1"/>
    <col min="4102" max="4102" width="9.7109375" style="359" customWidth="1"/>
    <col min="4103" max="4103" width="12.7109375" style="359" customWidth="1"/>
    <col min="4104" max="4104" width="5.140625" style="359" customWidth="1"/>
    <col min="4105" max="4105" width="9.7109375" style="359" customWidth="1"/>
    <col min="4106" max="4106" width="12.7109375" style="359" customWidth="1"/>
    <col min="4107" max="4107" width="5.140625" style="359" customWidth="1"/>
    <col min="4108" max="4108" width="9.7109375" style="359" customWidth="1"/>
    <col min="4109" max="4109" width="12.7109375" style="359" customWidth="1"/>
    <col min="4110" max="4110" width="5.140625" style="359" customWidth="1"/>
    <col min="4111" max="4111" width="9.7109375" style="359" customWidth="1"/>
    <col min="4112" max="4112" width="12.7109375" style="359" customWidth="1"/>
    <col min="4113" max="4113" width="5.140625" style="359" customWidth="1"/>
    <col min="4114" max="4114" width="9.7109375" style="359" customWidth="1"/>
    <col min="4115" max="4115" width="12.7109375" style="359" customWidth="1"/>
    <col min="4116" max="4116" width="5.140625" style="359" customWidth="1"/>
    <col min="4117" max="4117" width="9.7109375" style="359" customWidth="1"/>
    <col min="4118" max="4118" width="12.7109375" style="359" customWidth="1"/>
    <col min="4119" max="4119" width="5.140625" style="359" customWidth="1"/>
    <col min="4120" max="4120" width="9.7109375" style="359" customWidth="1"/>
    <col min="4121" max="4121" width="12.7109375" style="359" customWidth="1"/>
    <col min="4122" max="4122" width="5.140625" style="359" customWidth="1"/>
    <col min="4123" max="4123" width="9.7109375" style="359" customWidth="1"/>
    <col min="4124" max="4124" width="12.7109375" style="359" customWidth="1"/>
    <col min="4125" max="4125" width="37.7109375" style="359" customWidth="1"/>
    <col min="4126" max="4328" width="9.140625" style="359"/>
    <col min="4329" max="4329" width="1.7109375" style="359" customWidth="1"/>
    <col min="4330" max="4330" width="3.5703125" style="359" customWidth="1"/>
    <col min="4331" max="4331" width="11" style="359" customWidth="1"/>
    <col min="4332" max="4332" width="20.7109375" style="359" customWidth="1"/>
    <col min="4333" max="4334" width="11.7109375" style="359" customWidth="1"/>
    <col min="4335" max="4335" width="9.7109375" style="359" customWidth="1"/>
    <col min="4336" max="4336" width="10.140625" style="359" bestFit="1" customWidth="1"/>
    <col min="4337" max="4338" width="7.7109375" style="359" customWidth="1"/>
    <col min="4339" max="4339" width="4" style="359" customWidth="1"/>
    <col min="4340" max="4340" width="9.7109375" style="359" customWidth="1"/>
    <col min="4341" max="4341" width="15.140625" style="359" customWidth="1"/>
    <col min="4342" max="4342" width="5.140625" style="359" customWidth="1"/>
    <col min="4343" max="4343" width="9.7109375" style="359" customWidth="1"/>
    <col min="4344" max="4344" width="13.7109375" style="359" customWidth="1"/>
    <col min="4345" max="4345" width="5.140625" style="359" customWidth="1"/>
    <col min="4346" max="4346" width="9.7109375" style="359" customWidth="1"/>
    <col min="4347" max="4347" width="12.5703125" style="359" customWidth="1"/>
    <col min="4348" max="4348" width="5.140625" style="359" customWidth="1"/>
    <col min="4349" max="4349" width="9.7109375" style="359" customWidth="1"/>
    <col min="4350" max="4350" width="12.7109375" style="359" customWidth="1"/>
    <col min="4351" max="4351" width="5.140625" style="359" customWidth="1"/>
    <col min="4352" max="4352" width="9.7109375" style="359" customWidth="1"/>
    <col min="4353" max="4353" width="12.7109375" style="359" customWidth="1"/>
    <col min="4354" max="4354" width="5.140625" style="359" customWidth="1"/>
    <col min="4355" max="4355" width="9.7109375" style="359" customWidth="1"/>
    <col min="4356" max="4356" width="12.7109375" style="359" customWidth="1"/>
    <col min="4357" max="4357" width="5.140625" style="359" customWidth="1"/>
    <col min="4358" max="4358" width="9.7109375" style="359" customWidth="1"/>
    <col min="4359" max="4359" width="12.7109375" style="359" customWidth="1"/>
    <col min="4360" max="4360" width="5.140625" style="359" customWidth="1"/>
    <col min="4361" max="4361" width="9.7109375" style="359" customWidth="1"/>
    <col min="4362" max="4362" width="12.7109375" style="359" customWidth="1"/>
    <col min="4363" max="4363" width="5.140625" style="359" customWidth="1"/>
    <col min="4364" max="4364" width="9.7109375" style="359" customWidth="1"/>
    <col min="4365" max="4365" width="12.7109375" style="359" customWidth="1"/>
    <col min="4366" max="4366" width="5.140625" style="359" customWidth="1"/>
    <col min="4367" max="4367" width="9.7109375" style="359" customWidth="1"/>
    <col min="4368" max="4368" width="12.7109375" style="359" customWidth="1"/>
    <col min="4369" max="4369" width="5.140625" style="359" customWidth="1"/>
    <col min="4370" max="4370" width="9.7109375" style="359" customWidth="1"/>
    <col min="4371" max="4371" width="12.7109375" style="359" customWidth="1"/>
    <col min="4372" max="4372" width="5.140625" style="359" customWidth="1"/>
    <col min="4373" max="4373" width="9.7109375" style="359" customWidth="1"/>
    <col min="4374" max="4374" width="12.7109375" style="359" customWidth="1"/>
    <col min="4375" max="4375" width="5.140625" style="359" customWidth="1"/>
    <col min="4376" max="4376" width="9.7109375" style="359" customWidth="1"/>
    <col min="4377" max="4377" width="12.7109375" style="359" customWidth="1"/>
    <col min="4378" max="4378" width="5.140625" style="359" customWidth="1"/>
    <col min="4379" max="4379" width="9.7109375" style="359" customWidth="1"/>
    <col min="4380" max="4380" width="12.7109375" style="359" customWidth="1"/>
    <col min="4381" max="4381" width="37.7109375" style="359" customWidth="1"/>
    <col min="4382" max="4584" width="9.140625" style="359"/>
    <col min="4585" max="4585" width="1.7109375" style="359" customWidth="1"/>
    <col min="4586" max="4586" width="3.5703125" style="359" customWidth="1"/>
    <col min="4587" max="4587" width="11" style="359" customWidth="1"/>
    <col min="4588" max="4588" width="20.7109375" style="359" customWidth="1"/>
    <col min="4589" max="4590" width="11.7109375" style="359" customWidth="1"/>
    <col min="4591" max="4591" width="9.7109375" style="359" customWidth="1"/>
    <col min="4592" max="4592" width="10.140625" style="359" bestFit="1" customWidth="1"/>
    <col min="4593" max="4594" width="7.7109375" style="359" customWidth="1"/>
    <col min="4595" max="4595" width="4" style="359" customWidth="1"/>
    <col min="4596" max="4596" width="9.7109375" style="359" customWidth="1"/>
    <col min="4597" max="4597" width="15.140625" style="359" customWidth="1"/>
    <col min="4598" max="4598" width="5.140625" style="359" customWidth="1"/>
    <col min="4599" max="4599" width="9.7109375" style="359" customWidth="1"/>
    <col min="4600" max="4600" width="13.7109375" style="359" customWidth="1"/>
    <col min="4601" max="4601" width="5.140625" style="359" customWidth="1"/>
    <col min="4602" max="4602" width="9.7109375" style="359" customWidth="1"/>
    <col min="4603" max="4603" width="12.5703125" style="359" customWidth="1"/>
    <col min="4604" max="4604" width="5.140625" style="359" customWidth="1"/>
    <col min="4605" max="4605" width="9.7109375" style="359" customWidth="1"/>
    <col min="4606" max="4606" width="12.7109375" style="359" customWidth="1"/>
    <col min="4607" max="4607" width="5.140625" style="359" customWidth="1"/>
    <col min="4608" max="4608" width="9.7109375" style="359" customWidth="1"/>
    <col min="4609" max="4609" width="12.7109375" style="359" customWidth="1"/>
    <col min="4610" max="4610" width="5.140625" style="359" customWidth="1"/>
    <col min="4611" max="4611" width="9.7109375" style="359" customWidth="1"/>
    <col min="4612" max="4612" width="12.7109375" style="359" customWidth="1"/>
    <col min="4613" max="4613" width="5.140625" style="359" customWidth="1"/>
    <col min="4614" max="4614" width="9.7109375" style="359" customWidth="1"/>
    <col min="4615" max="4615" width="12.7109375" style="359" customWidth="1"/>
    <col min="4616" max="4616" width="5.140625" style="359" customWidth="1"/>
    <col min="4617" max="4617" width="9.7109375" style="359" customWidth="1"/>
    <col min="4618" max="4618" width="12.7109375" style="359" customWidth="1"/>
    <col min="4619" max="4619" width="5.140625" style="359" customWidth="1"/>
    <col min="4620" max="4620" width="9.7109375" style="359" customWidth="1"/>
    <col min="4621" max="4621" width="12.7109375" style="359" customWidth="1"/>
    <col min="4622" max="4622" width="5.140625" style="359" customWidth="1"/>
    <col min="4623" max="4623" width="9.7109375" style="359" customWidth="1"/>
    <col min="4624" max="4624" width="12.7109375" style="359" customWidth="1"/>
    <col min="4625" max="4625" width="5.140625" style="359" customWidth="1"/>
    <col min="4626" max="4626" width="9.7109375" style="359" customWidth="1"/>
    <col min="4627" max="4627" width="12.7109375" style="359" customWidth="1"/>
    <col min="4628" max="4628" width="5.140625" style="359" customWidth="1"/>
    <col min="4629" max="4629" width="9.7109375" style="359" customWidth="1"/>
    <col min="4630" max="4630" width="12.7109375" style="359" customWidth="1"/>
    <col min="4631" max="4631" width="5.140625" style="359" customWidth="1"/>
    <col min="4632" max="4632" width="9.7109375" style="359" customWidth="1"/>
    <col min="4633" max="4633" width="12.7109375" style="359" customWidth="1"/>
    <col min="4634" max="4634" width="5.140625" style="359" customWidth="1"/>
    <col min="4635" max="4635" width="9.7109375" style="359" customWidth="1"/>
    <col min="4636" max="4636" width="12.7109375" style="359" customWidth="1"/>
    <col min="4637" max="4637" width="37.7109375" style="359" customWidth="1"/>
    <col min="4638" max="4840" width="9.140625" style="359"/>
    <col min="4841" max="4841" width="1.7109375" style="359" customWidth="1"/>
    <col min="4842" max="4842" width="3.5703125" style="359" customWidth="1"/>
    <col min="4843" max="4843" width="11" style="359" customWidth="1"/>
    <col min="4844" max="4844" width="20.7109375" style="359" customWidth="1"/>
    <col min="4845" max="4846" width="11.7109375" style="359" customWidth="1"/>
    <col min="4847" max="4847" width="9.7109375" style="359" customWidth="1"/>
    <col min="4848" max="4848" width="10.140625" style="359" bestFit="1" customWidth="1"/>
    <col min="4849" max="4850" width="7.7109375" style="359" customWidth="1"/>
    <col min="4851" max="4851" width="4" style="359" customWidth="1"/>
    <col min="4852" max="4852" width="9.7109375" style="359" customWidth="1"/>
    <col min="4853" max="4853" width="15.140625" style="359" customWidth="1"/>
    <col min="4854" max="4854" width="5.140625" style="359" customWidth="1"/>
    <col min="4855" max="4855" width="9.7109375" style="359" customWidth="1"/>
    <col min="4856" max="4856" width="13.7109375" style="359" customWidth="1"/>
    <col min="4857" max="4857" width="5.140625" style="359" customWidth="1"/>
    <col min="4858" max="4858" width="9.7109375" style="359" customWidth="1"/>
    <col min="4859" max="4859" width="12.5703125" style="359" customWidth="1"/>
    <col min="4860" max="4860" width="5.140625" style="359" customWidth="1"/>
    <col min="4861" max="4861" width="9.7109375" style="359" customWidth="1"/>
    <col min="4862" max="4862" width="12.7109375" style="359" customWidth="1"/>
    <col min="4863" max="4863" width="5.140625" style="359" customWidth="1"/>
    <col min="4864" max="4864" width="9.7109375" style="359" customWidth="1"/>
    <col min="4865" max="4865" width="12.7109375" style="359" customWidth="1"/>
    <col min="4866" max="4866" width="5.140625" style="359" customWidth="1"/>
    <col min="4867" max="4867" width="9.7109375" style="359" customWidth="1"/>
    <col min="4868" max="4868" width="12.7109375" style="359" customWidth="1"/>
    <col min="4869" max="4869" width="5.140625" style="359" customWidth="1"/>
    <col min="4870" max="4870" width="9.7109375" style="359" customWidth="1"/>
    <col min="4871" max="4871" width="12.7109375" style="359" customWidth="1"/>
    <col min="4872" max="4872" width="5.140625" style="359" customWidth="1"/>
    <col min="4873" max="4873" width="9.7109375" style="359" customWidth="1"/>
    <col min="4874" max="4874" width="12.7109375" style="359" customWidth="1"/>
    <col min="4875" max="4875" width="5.140625" style="359" customWidth="1"/>
    <col min="4876" max="4876" width="9.7109375" style="359" customWidth="1"/>
    <col min="4877" max="4877" width="12.7109375" style="359" customWidth="1"/>
    <col min="4878" max="4878" width="5.140625" style="359" customWidth="1"/>
    <col min="4879" max="4879" width="9.7109375" style="359" customWidth="1"/>
    <col min="4880" max="4880" width="12.7109375" style="359" customWidth="1"/>
    <col min="4881" max="4881" width="5.140625" style="359" customWidth="1"/>
    <col min="4882" max="4882" width="9.7109375" style="359" customWidth="1"/>
    <col min="4883" max="4883" width="12.7109375" style="359" customWidth="1"/>
    <col min="4884" max="4884" width="5.140625" style="359" customWidth="1"/>
    <col min="4885" max="4885" width="9.7109375" style="359" customWidth="1"/>
    <col min="4886" max="4886" width="12.7109375" style="359" customWidth="1"/>
    <col min="4887" max="4887" width="5.140625" style="359" customWidth="1"/>
    <col min="4888" max="4888" width="9.7109375" style="359" customWidth="1"/>
    <col min="4889" max="4889" width="12.7109375" style="359" customWidth="1"/>
    <col min="4890" max="4890" width="5.140625" style="359" customWidth="1"/>
    <col min="4891" max="4891" width="9.7109375" style="359" customWidth="1"/>
    <col min="4892" max="4892" width="12.7109375" style="359" customWidth="1"/>
    <col min="4893" max="4893" width="37.7109375" style="359" customWidth="1"/>
    <col min="4894" max="5096" width="9.140625" style="359"/>
    <col min="5097" max="5097" width="1.7109375" style="359" customWidth="1"/>
    <col min="5098" max="5098" width="3.5703125" style="359" customWidth="1"/>
    <col min="5099" max="5099" width="11" style="359" customWidth="1"/>
    <col min="5100" max="5100" width="20.7109375" style="359" customWidth="1"/>
    <col min="5101" max="5102" width="11.7109375" style="359" customWidth="1"/>
    <col min="5103" max="5103" width="9.7109375" style="359" customWidth="1"/>
    <col min="5104" max="5104" width="10.140625" style="359" bestFit="1" customWidth="1"/>
    <col min="5105" max="5106" width="7.7109375" style="359" customWidth="1"/>
    <col min="5107" max="5107" width="4" style="359" customWidth="1"/>
    <col min="5108" max="5108" width="9.7109375" style="359" customWidth="1"/>
    <col min="5109" max="5109" width="15.140625" style="359" customWidth="1"/>
    <col min="5110" max="5110" width="5.140625" style="359" customWidth="1"/>
    <col min="5111" max="5111" width="9.7109375" style="359" customWidth="1"/>
    <col min="5112" max="5112" width="13.7109375" style="359" customWidth="1"/>
    <col min="5113" max="5113" width="5.140625" style="359" customWidth="1"/>
    <col min="5114" max="5114" width="9.7109375" style="359" customWidth="1"/>
    <col min="5115" max="5115" width="12.5703125" style="359" customWidth="1"/>
    <col min="5116" max="5116" width="5.140625" style="359" customWidth="1"/>
    <col min="5117" max="5117" width="9.7109375" style="359" customWidth="1"/>
    <col min="5118" max="5118" width="12.7109375" style="359" customWidth="1"/>
    <col min="5119" max="5119" width="5.140625" style="359" customWidth="1"/>
    <col min="5120" max="5120" width="9.7109375" style="359" customWidth="1"/>
    <col min="5121" max="5121" width="12.7109375" style="359" customWidth="1"/>
    <col min="5122" max="5122" width="5.140625" style="359" customWidth="1"/>
    <col min="5123" max="5123" width="9.7109375" style="359" customWidth="1"/>
    <col min="5124" max="5124" width="12.7109375" style="359" customWidth="1"/>
    <col min="5125" max="5125" width="5.140625" style="359" customWidth="1"/>
    <col min="5126" max="5126" width="9.7109375" style="359" customWidth="1"/>
    <col min="5127" max="5127" width="12.7109375" style="359" customWidth="1"/>
    <col min="5128" max="5128" width="5.140625" style="359" customWidth="1"/>
    <col min="5129" max="5129" width="9.7109375" style="359" customWidth="1"/>
    <col min="5130" max="5130" width="12.7109375" style="359" customWidth="1"/>
    <col min="5131" max="5131" width="5.140625" style="359" customWidth="1"/>
    <col min="5132" max="5132" width="9.7109375" style="359" customWidth="1"/>
    <col min="5133" max="5133" width="12.7109375" style="359" customWidth="1"/>
    <col min="5134" max="5134" width="5.140625" style="359" customWidth="1"/>
    <col min="5135" max="5135" width="9.7109375" style="359" customWidth="1"/>
    <col min="5136" max="5136" width="12.7109375" style="359" customWidth="1"/>
    <col min="5137" max="5137" width="5.140625" style="359" customWidth="1"/>
    <col min="5138" max="5138" width="9.7109375" style="359" customWidth="1"/>
    <col min="5139" max="5139" width="12.7109375" style="359" customWidth="1"/>
    <col min="5140" max="5140" width="5.140625" style="359" customWidth="1"/>
    <col min="5141" max="5141" width="9.7109375" style="359" customWidth="1"/>
    <col min="5142" max="5142" width="12.7109375" style="359" customWidth="1"/>
    <col min="5143" max="5143" width="5.140625" style="359" customWidth="1"/>
    <col min="5144" max="5144" width="9.7109375" style="359" customWidth="1"/>
    <col min="5145" max="5145" width="12.7109375" style="359" customWidth="1"/>
    <col min="5146" max="5146" width="5.140625" style="359" customWidth="1"/>
    <col min="5147" max="5147" width="9.7109375" style="359" customWidth="1"/>
    <col min="5148" max="5148" width="12.7109375" style="359" customWidth="1"/>
    <col min="5149" max="5149" width="37.7109375" style="359" customWidth="1"/>
    <col min="5150" max="5352" width="9.140625" style="359"/>
    <col min="5353" max="5353" width="1.7109375" style="359" customWidth="1"/>
    <col min="5354" max="5354" width="3.5703125" style="359" customWidth="1"/>
    <col min="5355" max="5355" width="11" style="359" customWidth="1"/>
    <col min="5356" max="5356" width="20.7109375" style="359" customWidth="1"/>
    <col min="5357" max="5358" width="11.7109375" style="359" customWidth="1"/>
    <col min="5359" max="5359" width="9.7109375" style="359" customWidth="1"/>
    <col min="5360" max="5360" width="10.140625" style="359" bestFit="1" customWidth="1"/>
    <col min="5361" max="5362" width="7.7109375" style="359" customWidth="1"/>
    <col min="5363" max="5363" width="4" style="359" customWidth="1"/>
    <col min="5364" max="5364" width="9.7109375" style="359" customWidth="1"/>
    <col min="5365" max="5365" width="15.140625" style="359" customWidth="1"/>
    <col min="5366" max="5366" width="5.140625" style="359" customWidth="1"/>
    <col min="5367" max="5367" width="9.7109375" style="359" customWidth="1"/>
    <col min="5368" max="5368" width="13.7109375" style="359" customWidth="1"/>
    <col min="5369" max="5369" width="5.140625" style="359" customWidth="1"/>
    <col min="5370" max="5370" width="9.7109375" style="359" customWidth="1"/>
    <col min="5371" max="5371" width="12.5703125" style="359" customWidth="1"/>
    <col min="5372" max="5372" width="5.140625" style="359" customWidth="1"/>
    <col min="5373" max="5373" width="9.7109375" style="359" customWidth="1"/>
    <col min="5374" max="5374" width="12.7109375" style="359" customWidth="1"/>
    <col min="5375" max="5375" width="5.140625" style="359" customWidth="1"/>
    <col min="5376" max="5376" width="9.7109375" style="359" customWidth="1"/>
    <col min="5377" max="5377" width="12.7109375" style="359" customWidth="1"/>
    <col min="5378" max="5378" width="5.140625" style="359" customWidth="1"/>
    <col min="5379" max="5379" width="9.7109375" style="359" customWidth="1"/>
    <col min="5380" max="5380" width="12.7109375" style="359" customWidth="1"/>
    <col min="5381" max="5381" width="5.140625" style="359" customWidth="1"/>
    <col min="5382" max="5382" width="9.7109375" style="359" customWidth="1"/>
    <col min="5383" max="5383" width="12.7109375" style="359" customWidth="1"/>
    <col min="5384" max="5384" width="5.140625" style="359" customWidth="1"/>
    <col min="5385" max="5385" width="9.7109375" style="359" customWidth="1"/>
    <col min="5386" max="5386" width="12.7109375" style="359" customWidth="1"/>
    <col min="5387" max="5387" width="5.140625" style="359" customWidth="1"/>
    <col min="5388" max="5388" width="9.7109375" style="359" customWidth="1"/>
    <col min="5389" max="5389" width="12.7109375" style="359" customWidth="1"/>
    <col min="5390" max="5390" width="5.140625" style="359" customWidth="1"/>
    <col min="5391" max="5391" width="9.7109375" style="359" customWidth="1"/>
    <col min="5392" max="5392" width="12.7109375" style="359" customWidth="1"/>
    <col min="5393" max="5393" width="5.140625" style="359" customWidth="1"/>
    <col min="5394" max="5394" width="9.7109375" style="359" customWidth="1"/>
    <col min="5395" max="5395" width="12.7109375" style="359" customWidth="1"/>
    <col min="5396" max="5396" width="5.140625" style="359" customWidth="1"/>
    <col min="5397" max="5397" width="9.7109375" style="359" customWidth="1"/>
    <col min="5398" max="5398" width="12.7109375" style="359" customWidth="1"/>
    <col min="5399" max="5399" width="5.140625" style="359" customWidth="1"/>
    <col min="5400" max="5400" width="9.7109375" style="359" customWidth="1"/>
    <col min="5401" max="5401" width="12.7109375" style="359" customWidth="1"/>
    <col min="5402" max="5402" width="5.140625" style="359" customWidth="1"/>
    <col min="5403" max="5403" width="9.7109375" style="359" customWidth="1"/>
    <col min="5404" max="5404" width="12.7109375" style="359" customWidth="1"/>
    <col min="5405" max="5405" width="37.7109375" style="359" customWidth="1"/>
    <col min="5406" max="5608" width="9.140625" style="359"/>
    <col min="5609" max="5609" width="1.7109375" style="359" customWidth="1"/>
    <col min="5610" max="5610" width="3.5703125" style="359" customWidth="1"/>
    <col min="5611" max="5611" width="11" style="359" customWidth="1"/>
    <col min="5612" max="5612" width="20.7109375" style="359" customWidth="1"/>
    <col min="5613" max="5614" width="11.7109375" style="359" customWidth="1"/>
    <col min="5615" max="5615" width="9.7109375" style="359" customWidth="1"/>
    <col min="5616" max="5616" width="10.140625" style="359" bestFit="1" customWidth="1"/>
    <col min="5617" max="5618" width="7.7109375" style="359" customWidth="1"/>
    <col min="5619" max="5619" width="4" style="359" customWidth="1"/>
    <col min="5620" max="5620" width="9.7109375" style="359" customWidth="1"/>
    <col min="5621" max="5621" width="15.140625" style="359" customWidth="1"/>
    <col min="5622" max="5622" width="5.140625" style="359" customWidth="1"/>
    <col min="5623" max="5623" width="9.7109375" style="359" customWidth="1"/>
    <col min="5624" max="5624" width="13.7109375" style="359" customWidth="1"/>
    <col min="5625" max="5625" width="5.140625" style="359" customWidth="1"/>
    <col min="5626" max="5626" width="9.7109375" style="359" customWidth="1"/>
    <col min="5627" max="5627" width="12.5703125" style="359" customWidth="1"/>
    <col min="5628" max="5628" width="5.140625" style="359" customWidth="1"/>
    <col min="5629" max="5629" width="9.7109375" style="359" customWidth="1"/>
    <col min="5630" max="5630" width="12.7109375" style="359" customWidth="1"/>
    <col min="5631" max="5631" width="5.140625" style="359" customWidth="1"/>
    <col min="5632" max="5632" width="9.7109375" style="359" customWidth="1"/>
    <col min="5633" max="5633" width="12.7109375" style="359" customWidth="1"/>
    <col min="5634" max="5634" width="5.140625" style="359" customWidth="1"/>
    <col min="5635" max="5635" width="9.7109375" style="359" customWidth="1"/>
    <col min="5636" max="5636" width="12.7109375" style="359" customWidth="1"/>
    <col min="5637" max="5637" width="5.140625" style="359" customWidth="1"/>
    <col min="5638" max="5638" width="9.7109375" style="359" customWidth="1"/>
    <col min="5639" max="5639" width="12.7109375" style="359" customWidth="1"/>
    <col min="5640" max="5640" width="5.140625" style="359" customWidth="1"/>
    <col min="5641" max="5641" width="9.7109375" style="359" customWidth="1"/>
    <col min="5642" max="5642" width="12.7109375" style="359" customWidth="1"/>
    <col min="5643" max="5643" width="5.140625" style="359" customWidth="1"/>
    <col min="5644" max="5644" width="9.7109375" style="359" customWidth="1"/>
    <col min="5645" max="5645" width="12.7109375" style="359" customWidth="1"/>
    <col min="5646" max="5646" width="5.140625" style="359" customWidth="1"/>
    <col min="5647" max="5647" width="9.7109375" style="359" customWidth="1"/>
    <col min="5648" max="5648" width="12.7109375" style="359" customWidth="1"/>
    <col min="5649" max="5649" width="5.140625" style="359" customWidth="1"/>
    <col min="5650" max="5650" width="9.7109375" style="359" customWidth="1"/>
    <col min="5651" max="5651" width="12.7109375" style="359" customWidth="1"/>
    <col min="5652" max="5652" width="5.140625" style="359" customWidth="1"/>
    <col min="5653" max="5653" width="9.7109375" style="359" customWidth="1"/>
    <col min="5654" max="5654" width="12.7109375" style="359" customWidth="1"/>
    <col min="5655" max="5655" width="5.140625" style="359" customWidth="1"/>
    <col min="5656" max="5656" width="9.7109375" style="359" customWidth="1"/>
    <col min="5657" max="5657" width="12.7109375" style="359" customWidth="1"/>
    <col min="5658" max="5658" width="5.140625" style="359" customWidth="1"/>
    <col min="5659" max="5659" width="9.7109375" style="359" customWidth="1"/>
    <col min="5660" max="5660" width="12.7109375" style="359" customWidth="1"/>
    <col min="5661" max="5661" width="37.7109375" style="359" customWidth="1"/>
    <col min="5662" max="5864" width="9.140625" style="359"/>
    <col min="5865" max="5865" width="1.7109375" style="359" customWidth="1"/>
    <col min="5866" max="5866" width="3.5703125" style="359" customWidth="1"/>
    <col min="5867" max="5867" width="11" style="359" customWidth="1"/>
    <col min="5868" max="5868" width="20.7109375" style="359" customWidth="1"/>
    <col min="5869" max="5870" width="11.7109375" style="359" customWidth="1"/>
    <col min="5871" max="5871" width="9.7109375" style="359" customWidth="1"/>
    <col min="5872" max="5872" width="10.140625" style="359" bestFit="1" customWidth="1"/>
    <col min="5873" max="5874" width="7.7109375" style="359" customWidth="1"/>
    <col min="5875" max="5875" width="4" style="359" customWidth="1"/>
    <col min="5876" max="5876" width="9.7109375" style="359" customWidth="1"/>
    <col min="5877" max="5877" width="15.140625" style="359" customWidth="1"/>
    <col min="5878" max="5878" width="5.140625" style="359" customWidth="1"/>
    <col min="5879" max="5879" width="9.7109375" style="359" customWidth="1"/>
    <col min="5880" max="5880" width="13.7109375" style="359" customWidth="1"/>
    <col min="5881" max="5881" width="5.140625" style="359" customWidth="1"/>
    <col min="5882" max="5882" width="9.7109375" style="359" customWidth="1"/>
    <col min="5883" max="5883" width="12.5703125" style="359" customWidth="1"/>
    <col min="5884" max="5884" width="5.140625" style="359" customWidth="1"/>
    <col min="5885" max="5885" width="9.7109375" style="359" customWidth="1"/>
    <col min="5886" max="5886" width="12.7109375" style="359" customWidth="1"/>
    <col min="5887" max="5887" width="5.140625" style="359" customWidth="1"/>
    <col min="5888" max="5888" width="9.7109375" style="359" customWidth="1"/>
    <col min="5889" max="5889" width="12.7109375" style="359" customWidth="1"/>
    <col min="5890" max="5890" width="5.140625" style="359" customWidth="1"/>
    <col min="5891" max="5891" width="9.7109375" style="359" customWidth="1"/>
    <col min="5892" max="5892" width="12.7109375" style="359" customWidth="1"/>
    <col min="5893" max="5893" width="5.140625" style="359" customWidth="1"/>
    <col min="5894" max="5894" width="9.7109375" style="359" customWidth="1"/>
    <col min="5895" max="5895" width="12.7109375" style="359" customWidth="1"/>
    <col min="5896" max="5896" width="5.140625" style="359" customWidth="1"/>
    <col min="5897" max="5897" width="9.7109375" style="359" customWidth="1"/>
    <col min="5898" max="5898" width="12.7109375" style="359" customWidth="1"/>
    <col min="5899" max="5899" width="5.140625" style="359" customWidth="1"/>
    <col min="5900" max="5900" width="9.7109375" style="359" customWidth="1"/>
    <col min="5901" max="5901" width="12.7109375" style="359" customWidth="1"/>
    <col min="5902" max="5902" width="5.140625" style="359" customWidth="1"/>
    <col min="5903" max="5903" width="9.7109375" style="359" customWidth="1"/>
    <col min="5904" max="5904" width="12.7109375" style="359" customWidth="1"/>
    <col min="5905" max="5905" width="5.140625" style="359" customWidth="1"/>
    <col min="5906" max="5906" width="9.7109375" style="359" customWidth="1"/>
    <col min="5907" max="5907" width="12.7109375" style="359" customWidth="1"/>
    <col min="5908" max="5908" width="5.140625" style="359" customWidth="1"/>
    <col min="5909" max="5909" width="9.7109375" style="359" customWidth="1"/>
    <col min="5910" max="5910" width="12.7109375" style="359" customWidth="1"/>
    <col min="5911" max="5911" width="5.140625" style="359" customWidth="1"/>
    <col min="5912" max="5912" width="9.7109375" style="359" customWidth="1"/>
    <col min="5913" max="5913" width="12.7109375" style="359" customWidth="1"/>
    <col min="5914" max="5914" width="5.140625" style="359" customWidth="1"/>
    <col min="5915" max="5915" width="9.7109375" style="359" customWidth="1"/>
    <col min="5916" max="5916" width="12.7109375" style="359" customWidth="1"/>
    <col min="5917" max="5917" width="37.7109375" style="359" customWidth="1"/>
    <col min="5918" max="6120" width="9.140625" style="359"/>
    <col min="6121" max="6121" width="1.7109375" style="359" customWidth="1"/>
    <col min="6122" max="6122" width="3.5703125" style="359" customWidth="1"/>
    <col min="6123" max="6123" width="11" style="359" customWidth="1"/>
    <col min="6124" max="6124" width="20.7109375" style="359" customWidth="1"/>
    <col min="6125" max="6126" width="11.7109375" style="359" customWidth="1"/>
    <col min="6127" max="6127" width="9.7109375" style="359" customWidth="1"/>
    <col min="6128" max="6128" width="10.140625" style="359" bestFit="1" customWidth="1"/>
    <col min="6129" max="6130" width="7.7109375" style="359" customWidth="1"/>
    <col min="6131" max="6131" width="4" style="359" customWidth="1"/>
    <col min="6132" max="6132" width="9.7109375" style="359" customWidth="1"/>
    <col min="6133" max="6133" width="15.140625" style="359" customWidth="1"/>
    <col min="6134" max="6134" width="5.140625" style="359" customWidth="1"/>
    <col min="6135" max="6135" width="9.7109375" style="359" customWidth="1"/>
    <col min="6136" max="6136" width="13.7109375" style="359" customWidth="1"/>
    <col min="6137" max="6137" width="5.140625" style="359" customWidth="1"/>
    <col min="6138" max="6138" width="9.7109375" style="359" customWidth="1"/>
    <col min="6139" max="6139" width="12.5703125" style="359" customWidth="1"/>
    <col min="6140" max="6140" width="5.140625" style="359" customWidth="1"/>
    <col min="6141" max="6141" width="9.7109375" style="359" customWidth="1"/>
    <col min="6142" max="6142" width="12.7109375" style="359" customWidth="1"/>
    <col min="6143" max="6143" width="5.140625" style="359" customWidth="1"/>
    <col min="6144" max="6144" width="9.7109375" style="359" customWidth="1"/>
    <col min="6145" max="6145" width="12.7109375" style="359" customWidth="1"/>
    <col min="6146" max="6146" width="5.140625" style="359" customWidth="1"/>
    <col min="6147" max="6147" width="9.7109375" style="359" customWidth="1"/>
    <col min="6148" max="6148" width="12.7109375" style="359" customWidth="1"/>
    <col min="6149" max="6149" width="5.140625" style="359" customWidth="1"/>
    <col min="6150" max="6150" width="9.7109375" style="359" customWidth="1"/>
    <col min="6151" max="6151" width="12.7109375" style="359" customWidth="1"/>
    <col min="6152" max="6152" width="5.140625" style="359" customWidth="1"/>
    <col min="6153" max="6153" width="9.7109375" style="359" customWidth="1"/>
    <col min="6154" max="6154" width="12.7109375" style="359" customWidth="1"/>
    <col min="6155" max="6155" width="5.140625" style="359" customWidth="1"/>
    <col min="6156" max="6156" width="9.7109375" style="359" customWidth="1"/>
    <col min="6157" max="6157" width="12.7109375" style="359" customWidth="1"/>
    <col min="6158" max="6158" width="5.140625" style="359" customWidth="1"/>
    <col min="6159" max="6159" width="9.7109375" style="359" customWidth="1"/>
    <col min="6160" max="6160" width="12.7109375" style="359" customWidth="1"/>
    <col min="6161" max="6161" width="5.140625" style="359" customWidth="1"/>
    <col min="6162" max="6162" width="9.7109375" style="359" customWidth="1"/>
    <col min="6163" max="6163" width="12.7109375" style="359" customWidth="1"/>
    <col min="6164" max="6164" width="5.140625" style="359" customWidth="1"/>
    <col min="6165" max="6165" width="9.7109375" style="359" customWidth="1"/>
    <col min="6166" max="6166" width="12.7109375" style="359" customWidth="1"/>
    <col min="6167" max="6167" width="5.140625" style="359" customWidth="1"/>
    <col min="6168" max="6168" width="9.7109375" style="359" customWidth="1"/>
    <col min="6169" max="6169" width="12.7109375" style="359" customWidth="1"/>
    <col min="6170" max="6170" width="5.140625" style="359" customWidth="1"/>
    <col min="6171" max="6171" width="9.7109375" style="359" customWidth="1"/>
    <col min="6172" max="6172" width="12.7109375" style="359" customWidth="1"/>
    <col min="6173" max="6173" width="37.7109375" style="359" customWidth="1"/>
    <col min="6174" max="6376" width="9.140625" style="359"/>
    <col min="6377" max="6377" width="1.7109375" style="359" customWidth="1"/>
    <col min="6378" max="6378" width="3.5703125" style="359" customWidth="1"/>
    <col min="6379" max="6379" width="11" style="359" customWidth="1"/>
    <col min="6380" max="6380" width="20.7109375" style="359" customWidth="1"/>
    <col min="6381" max="6382" width="11.7109375" style="359" customWidth="1"/>
    <col min="6383" max="6383" width="9.7109375" style="359" customWidth="1"/>
    <col min="6384" max="6384" width="10.140625" style="359" bestFit="1" customWidth="1"/>
    <col min="6385" max="6386" width="7.7109375" style="359" customWidth="1"/>
    <col min="6387" max="6387" width="4" style="359" customWidth="1"/>
    <col min="6388" max="6388" width="9.7109375" style="359" customWidth="1"/>
    <col min="6389" max="6389" width="15.140625" style="359" customWidth="1"/>
    <col min="6390" max="6390" width="5.140625" style="359" customWidth="1"/>
    <col min="6391" max="6391" width="9.7109375" style="359" customWidth="1"/>
    <col min="6392" max="6392" width="13.7109375" style="359" customWidth="1"/>
    <col min="6393" max="6393" width="5.140625" style="359" customWidth="1"/>
    <col min="6394" max="6394" width="9.7109375" style="359" customWidth="1"/>
    <col min="6395" max="6395" width="12.5703125" style="359" customWidth="1"/>
    <col min="6396" max="6396" width="5.140625" style="359" customWidth="1"/>
    <col min="6397" max="6397" width="9.7109375" style="359" customWidth="1"/>
    <col min="6398" max="6398" width="12.7109375" style="359" customWidth="1"/>
    <col min="6399" max="6399" width="5.140625" style="359" customWidth="1"/>
    <col min="6400" max="6400" width="9.7109375" style="359" customWidth="1"/>
    <col min="6401" max="6401" width="12.7109375" style="359" customWidth="1"/>
    <col min="6402" max="6402" width="5.140625" style="359" customWidth="1"/>
    <col min="6403" max="6403" width="9.7109375" style="359" customWidth="1"/>
    <col min="6404" max="6404" width="12.7109375" style="359" customWidth="1"/>
    <col min="6405" max="6405" width="5.140625" style="359" customWidth="1"/>
    <col min="6406" max="6406" width="9.7109375" style="359" customWidth="1"/>
    <col min="6407" max="6407" width="12.7109375" style="359" customWidth="1"/>
    <col min="6408" max="6408" width="5.140625" style="359" customWidth="1"/>
    <col min="6409" max="6409" width="9.7109375" style="359" customWidth="1"/>
    <col min="6410" max="6410" width="12.7109375" style="359" customWidth="1"/>
    <col min="6411" max="6411" width="5.140625" style="359" customWidth="1"/>
    <col min="6412" max="6412" width="9.7109375" style="359" customWidth="1"/>
    <col min="6413" max="6413" width="12.7109375" style="359" customWidth="1"/>
    <col min="6414" max="6414" width="5.140625" style="359" customWidth="1"/>
    <col min="6415" max="6415" width="9.7109375" style="359" customWidth="1"/>
    <col min="6416" max="6416" width="12.7109375" style="359" customWidth="1"/>
    <col min="6417" max="6417" width="5.140625" style="359" customWidth="1"/>
    <col min="6418" max="6418" width="9.7109375" style="359" customWidth="1"/>
    <col min="6419" max="6419" width="12.7109375" style="359" customWidth="1"/>
    <col min="6420" max="6420" width="5.140625" style="359" customWidth="1"/>
    <col min="6421" max="6421" width="9.7109375" style="359" customWidth="1"/>
    <col min="6422" max="6422" width="12.7109375" style="359" customWidth="1"/>
    <col min="6423" max="6423" width="5.140625" style="359" customWidth="1"/>
    <col min="6424" max="6424" width="9.7109375" style="359" customWidth="1"/>
    <col min="6425" max="6425" width="12.7109375" style="359" customWidth="1"/>
    <col min="6426" max="6426" width="5.140625" style="359" customWidth="1"/>
    <col min="6427" max="6427" width="9.7109375" style="359" customWidth="1"/>
    <col min="6428" max="6428" width="12.7109375" style="359" customWidth="1"/>
    <col min="6429" max="6429" width="37.7109375" style="359" customWidth="1"/>
    <col min="6430" max="6632" width="9.140625" style="359"/>
    <col min="6633" max="6633" width="1.7109375" style="359" customWidth="1"/>
    <col min="6634" max="6634" width="3.5703125" style="359" customWidth="1"/>
    <col min="6635" max="6635" width="11" style="359" customWidth="1"/>
    <col min="6636" max="6636" width="20.7109375" style="359" customWidth="1"/>
    <col min="6637" max="6638" width="11.7109375" style="359" customWidth="1"/>
    <col min="6639" max="6639" width="9.7109375" style="359" customWidth="1"/>
    <col min="6640" max="6640" width="10.140625" style="359" bestFit="1" customWidth="1"/>
    <col min="6641" max="6642" width="7.7109375" style="359" customWidth="1"/>
    <col min="6643" max="6643" width="4" style="359" customWidth="1"/>
    <col min="6644" max="6644" width="9.7109375" style="359" customWidth="1"/>
    <col min="6645" max="6645" width="15.140625" style="359" customWidth="1"/>
    <col min="6646" max="6646" width="5.140625" style="359" customWidth="1"/>
    <col min="6647" max="6647" width="9.7109375" style="359" customWidth="1"/>
    <col min="6648" max="6648" width="13.7109375" style="359" customWidth="1"/>
    <col min="6649" max="6649" width="5.140625" style="359" customWidth="1"/>
    <col min="6650" max="6650" width="9.7109375" style="359" customWidth="1"/>
    <col min="6651" max="6651" width="12.5703125" style="359" customWidth="1"/>
    <col min="6652" max="6652" width="5.140625" style="359" customWidth="1"/>
    <col min="6653" max="6653" width="9.7109375" style="359" customWidth="1"/>
    <col min="6654" max="6654" width="12.7109375" style="359" customWidth="1"/>
    <col min="6655" max="6655" width="5.140625" style="359" customWidth="1"/>
    <col min="6656" max="6656" width="9.7109375" style="359" customWidth="1"/>
    <col min="6657" max="6657" width="12.7109375" style="359" customWidth="1"/>
    <col min="6658" max="6658" width="5.140625" style="359" customWidth="1"/>
    <col min="6659" max="6659" width="9.7109375" style="359" customWidth="1"/>
    <col min="6660" max="6660" width="12.7109375" style="359" customWidth="1"/>
    <col min="6661" max="6661" width="5.140625" style="359" customWidth="1"/>
    <col min="6662" max="6662" width="9.7109375" style="359" customWidth="1"/>
    <col min="6663" max="6663" width="12.7109375" style="359" customWidth="1"/>
    <col min="6664" max="6664" width="5.140625" style="359" customWidth="1"/>
    <col min="6665" max="6665" width="9.7109375" style="359" customWidth="1"/>
    <col min="6666" max="6666" width="12.7109375" style="359" customWidth="1"/>
    <col min="6667" max="6667" width="5.140625" style="359" customWidth="1"/>
    <col min="6668" max="6668" width="9.7109375" style="359" customWidth="1"/>
    <col min="6669" max="6669" width="12.7109375" style="359" customWidth="1"/>
    <col min="6670" max="6670" width="5.140625" style="359" customWidth="1"/>
    <col min="6671" max="6671" width="9.7109375" style="359" customWidth="1"/>
    <col min="6672" max="6672" width="12.7109375" style="359" customWidth="1"/>
    <col min="6673" max="6673" width="5.140625" style="359" customWidth="1"/>
    <col min="6674" max="6674" width="9.7109375" style="359" customWidth="1"/>
    <col min="6675" max="6675" width="12.7109375" style="359" customWidth="1"/>
    <col min="6676" max="6676" width="5.140625" style="359" customWidth="1"/>
    <col min="6677" max="6677" width="9.7109375" style="359" customWidth="1"/>
    <col min="6678" max="6678" width="12.7109375" style="359" customWidth="1"/>
    <col min="6679" max="6679" width="5.140625" style="359" customWidth="1"/>
    <col min="6680" max="6680" width="9.7109375" style="359" customWidth="1"/>
    <col min="6681" max="6681" width="12.7109375" style="359" customWidth="1"/>
    <col min="6682" max="6682" width="5.140625" style="359" customWidth="1"/>
    <col min="6683" max="6683" width="9.7109375" style="359" customWidth="1"/>
    <col min="6684" max="6684" width="12.7109375" style="359" customWidth="1"/>
    <col min="6685" max="6685" width="37.7109375" style="359" customWidth="1"/>
    <col min="6686" max="6888" width="9.140625" style="359"/>
    <col min="6889" max="6889" width="1.7109375" style="359" customWidth="1"/>
    <col min="6890" max="6890" width="3.5703125" style="359" customWidth="1"/>
    <col min="6891" max="6891" width="11" style="359" customWidth="1"/>
    <col min="6892" max="6892" width="20.7109375" style="359" customWidth="1"/>
    <col min="6893" max="6894" width="11.7109375" style="359" customWidth="1"/>
    <col min="6895" max="6895" width="9.7109375" style="359" customWidth="1"/>
    <col min="6896" max="6896" width="10.140625" style="359" bestFit="1" customWidth="1"/>
    <col min="6897" max="6898" width="7.7109375" style="359" customWidth="1"/>
    <col min="6899" max="6899" width="4" style="359" customWidth="1"/>
    <col min="6900" max="6900" width="9.7109375" style="359" customWidth="1"/>
    <col min="6901" max="6901" width="15.140625" style="359" customWidth="1"/>
    <col min="6902" max="6902" width="5.140625" style="359" customWidth="1"/>
    <col min="6903" max="6903" width="9.7109375" style="359" customWidth="1"/>
    <col min="6904" max="6904" width="13.7109375" style="359" customWidth="1"/>
    <col min="6905" max="6905" width="5.140625" style="359" customWidth="1"/>
    <col min="6906" max="6906" width="9.7109375" style="359" customWidth="1"/>
    <col min="6907" max="6907" width="12.5703125" style="359" customWidth="1"/>
    <col min="6908" max="6908" width="5.140625" style="359" customWidth="1"/>
    <col min="6909" max="6909" width="9.7109375" style="359" customWidth="1"/>
    <col min="6910" max="6910" width="12.7109375" style="359" customWidth="1"/>
    <col min="6911" max="6911" width="5.140625" style="359" customWidth="1"/>
    <col min="6912" max="6912" width="9.7109375" style="359" customWidth="1"/>
    <col min="6913" max="6913" width="12.7109375" style="359" customWidth="1"/>
    <col min="6914" max="6914" width="5.140625" style="359" customWidth="1"/>
    <col min="6915" max="6915" width="9.7109375" style="359" customWidth="1"/>
    <col min="6916" max="6916" width="12.7109375" style="359" customWidth="1"/>
    <col min="6917" max="6917" width="5.140625" style="359" customWidth="1"/>
    <col min="6918" max="6918" width="9.7109375" style="359" customWidth="1"/>
    <col min="6919" max="6919" width="12.7109375" style="359" customWidth="1"/>
    <col min="6920" max="6920" width="5.140625" style="359" customWidth="1"/>
    <col min="6921" max="6921" width="9.7109375" style="359" customWidth="1"/>
    <col min="6922" max="6922" width="12.7109375" style="359" customWidth="1"/>
    <col min="6923" max="6923" width="5.140625" style="359" customWidth="1"/>
    <col min="6924" max="6924" width="9.7109375" style="359" customWidth="1"/>
    <col min="6925" max="6925" width="12.7109375" style="359" customWidth="1"/>
    <col min="6926" max="6926" width="5.140625" style="359" customWidth="1"/>
    <col min="6927" max="6927" width="9.7109375" style="359" customWidth="1"/>
    <col min="6928" max="6928" width="12.7109375" style="359" customWidth="1"/>
    <col min="6929" max="6929" width="5.140625" style="359" customWidth="1"/>
    <col min="6930" max="6930" width="9.7109375" style="359" customWidth="1"/>
    <col min="6931" max="6931" width="12.7109375" style="359" customWidth="1"/>
    <col min="6932" max="6932" width="5.140625" style="359" customWidth="1"/>
    <col min="6933" max="6933" width="9.7109375" style="359" customWidth="1"/>
    <col min="6934" max="6934" width="12.7109375" style="359" customWidth="1"/>
    <col min="6935" max="6935" width="5.140625" style="359" customWidth="1"/>
    <col min="6936" max="6936" width="9.7109375" style="359" customWidth="1"/>
    <col min="6937" max="6937" width="12.7109375" style="359" customWidth="1"/>
    <col min="6938" max="6938" width="5.140625" style="359" customWidth="1"/>
    <col min="6939" max="6939" width="9.7109375" style="359" customWidth="1"/>
    <col min="6940" max="6940" width="12.7109375" style="359" customWidth="1"/>
    <col min="6941" max="6941" width="37.7109375" style="359" customWidth="1"/>
    <col min="6942" max="7144" width="9.140625" style="359"/>
    <col min="7145" max="7145" width="1.7109375" style="359" customWidth="1"/>
    <col min="7146" max="7146" width="3.5703125" style="359" customWidth="1"/>
    <col min="7147" max="7147" width="11" style="359" customWidth="1"/>
    <col min="7148" max="7148" width="20.7109375" style="359" customWidth="1"/>
    <col min="7149" max="7150" width="11.7109375" style="359" customWidth="1"/>
    <col min="7151" max="7151" width="9.7109375" style="359" customWidth="1"/>
    <col min="7152" max="7152" width="10.140625" style="359" bestFit="1" customWidth="1"/>
    <col min="7153" max="7154" width="7.7109375" style="359" customWidth="1"/>
    <col min="7155" max="7155" width="4" style="359" customWidth="1"/>
    <col min="7156" max="7156" width="9.7109375" style="359" customWidth="1"/>
    <col min="7157" max="7157" width="15.140625" style="359" customWidth="1"/>
    <col min="7158" max="7158" width="5.140625" style="359" customWidth="1"/>
    <col min="7159" max="7159" width="9.7109375" style="359" customWidth="1"/>
    <col min="7160" max="7160" width="13.7109375" style="359" customWidth="1"/>
    <col min="7161" max="7161" width="5.140625" style="359" customWidth="1"/>
    <col min="7162" max="7162" width="9.7109375" style="359" customWidth="1"/>
    <col min="7163" max="7163" width="12.5703125" style="359" customWidth="1"/>
    <col min="7164" max="7164" width="5.140625" style="359" customWidth="1"/>
    <col min="7165" max="7165" width="9.7109375" style="359" customWidth="1"/>
    <col min="7166" max="7166" width="12.7109375" style="359" customWidth="1"/>
    <col min="7167" max="7167" width="5.140625" style="359" customWidth="1"/>
    <col min="7168" max="7168" width="9.7109375" style="359" customWidth="1"/>
    <col min="7169" max="7169" width="12.7109375" style="359" customWidth="1"/>
    <col min="7170" max="7170" width="5.140625" style="359" customWidth="1"/>
    <col min="7171" max="7171" width="9.7109375" style="359" customWidth="1"/>
    <col min="7172" max="7172" width="12.7109375" style="359" customWidth="1"/>
    <col min="7173" max="7173" width="5.140625" style="359" customWidth="1"/>
    <col min="7174" max="7174" width="9.7109375" style="359" customWidth="1"/>
    <col min="7175" max="7175" width="12.7109375" style="359" customWidth="1"/>
    <col min="7176" max="7176" width="5.140625" style="359" customWidth="1"/>
    <col min="7177" max="7177" width="9.7109375" style="359" customWidth="1"/>
    <col min="7178" max="7178" width="12.7109375" style="359" customWidth="1"/>
    <col min="7179" max="7179" width="5.140625" style="359" customWidth="1"/>
    <col min="7180" max="7180" width="9.7109375" style="359" customWidth="1"/>
    <col min="7181" max="7181" width="12.7109375" style="359" customWidth="1"/>
    <col min="7182" max="7182" width="5.140625" style="359" customWidth="1"/>
    <col min="7183" max="7183" width="9.7109375" style="359" customWidth="1"/>
    <col min="7184" max="7184" width="12.7109375" style="359" customWidth="1"/>
    <col min="7185" max="7185" width="5.140625" style="359" customWidth="1"/>
    <col min="7186" max="7186" width="9.7109375" style="359" customWidth="1"/>
    <col min="7187" max="7187" width="12.7109375" style="359" customWidth="1"/>
    <col min="7188" max="7188" width="5.140625" style="359" customWidth="1"/>
    <col min="7189" max="7189" width="9.7109375" style="359" customWidth="1"/>
    <col min="7190" max="7190" width="12.7109375" style="359" customWidth="1"/>
    <col min="7191" max="7191" width="5.140625" style="359" customWidth="1"/>
    <col min="7192" max="7192" width="9.7109375" style="359" customWidth="1"/>
    <col min="7193" max="7193" width="12.7109375" style="359" customWidth="1"/>
    <col min="7194" max="7194" width="5.140625" style="359" customWidth="1"/>
    <col min="7195" max="7195" width="9.7109375" style="359" customWidth="1"/>
    <col min="7196" max="7196" width="12.7109375" style="359" customWidth="1"/>
    <col min="7197" max="7197" width="37.7109375" style="359" customWidth="1"/>
    <col min="7198" max="7400" width="9.140625" style="359"/>
    <col min="7401" max="7401" width="1.7109375" style="359" customWidth="1"/>
    <col min="7402" max="7402" width="3.5703125" style="359" customWidth="1"/>
    <col min="7403" max="7403" width="11" style="359" customWidth="1"/>
    <col min="7404" max="7404" width="20.7109375" style="359" customWidth="1"/>
    <col min="7405" max="7406" width="11.7109375" style="359" customWidth="1"/>
    <col min="7407" max="7407" width="9.7109375" style="359" customWidth="1"/>
    <col min="7408" max="7408" width="10.140625" style="359" bestFit="1" customWidth="1"/>
    <col min="7409" max="7410" width="7.7109375" style="359" customWidth="1"/>
    <col min="7411" max="7411" width="4" style="359" customWidth="1"/>
    <col min="7412" max="7412" width="9.7109375" style="359" customWidth="1"/>
    <col min="7413" max="7413" width="15.140625" style="359" customWidth="1"/>
    <col min="7414" max="7414" width="5.140625" style="359" customWidth="1"/>
    <col min="7415" max="7415" width="9.7109375" style="359" customWidth="1"/>
    <col min="7416" max="7416" width="13.7109375" style="359" customWidth="1"/>
    <col min="7417" max="7417" width="5.140625" style="359" customWidth="1"/>
    <col min="7418" max="7418" width="9.7109375" style="359" customWidth="1"/>
    <col min="7419" max="7419" width="12.5703125" style="359" customWidth="1"/>
    <col min="7420" max="7420" width="5.140625" style="359" customWidth="1"/>
    <col min="7421" max="7421" width="9.7109375" style="359" customWidth="1"/>
    <col min="7422" max="7422" width="12.7109375" style="359" customWidth="1"/>
    <col min="7423" max="7423" width="5.140625" style="359" customWidth="1"/>
    <col min="7424" max="7424" width="9.7109375" style="359" customWidth="1"/>
    <col min="7425" max="7425" width="12.7109375" style="359" customWidth="1"/>
    <col min="7426" max="7426" width="5.140625" style="359" customWidth="1"/>
    <col min="7427" max="7427" width="9.7109375" style="359" customWidth="1"/>
    <col min="7428" max="7428" width="12.7109375" style="359" customWidth="1"/>
    <col min="7429" max="7429" width="5.140625" style="359" customWidth="1"/>
    <col min="7430" max="7430" width="9.7109375" style="359" customWidth="1"/>
    <col min="7431" max="7431" width="12.7109375" style="359" customWidth="1"/>
    <col min="7432" max="7432" width="5.140625" style="359" customWidth="1"/>
    <col min="7433" max="7433" width="9.7109375" style="359" customWidth="1"/>
    <col min="7434" max="7434" width="12.7109375" style="359" customWidth="1"/>
    <col min="7435" max="7435" width="5.140625" style="359" customWidth="1"/>
    <col min="7436" max="7436" width="9.7109375" style="359" customWidth="1"/>
    <col min="7437" max="7437" width="12.7109375" style="359" customWidth="1"/>
    <col min="7438" max="7438" width="5.140625" style="359" customWidth="1"/>
    <col min="7439" max="7439" width="9.7109375" style="359" customWidth="1"/>
    <col min="7440" max="7440" width="12.7109375" style="359" customWidth="1"/>
    <col min="7441" max="7441" width="5.140625" style="359" customWidth="1"/>
    <col min="7442" max="7442" width="9.7109375" style="359" customWidth="1"/>
    <col min="7443" max="7443" width="12.7109375" style="359" customWidth="1"/>
    <col min="7444" max="7444" width="5.140625" style="359" customWidth="1"/>
    <col min="7445" max="7445" width="9.7109375" style="359" customWidth="1"/>
    <col min="7446" max="7446" width="12.7109375" style="359" customWidth="1"/>
    <col min="7447" max="7447" width="5.140625" style="359" customWidth="1"/>
    <col min="7448" max="7448" width="9.7109375" style="359" customWidth="1"/>
    <col min="7449" max="7449" width="12.7109375" style="359" customWidth="1"/>
    <col min="7450" max="7450" width="5.140625" style="359" customWidth="1"/>
    <col min="7451" max="7451" width="9.7109375" style="359" customWidth="1"/>
    <col min="7452" max="7452" width="12.7109375" style="359" customWidth="1"/>
    <col min="7453" max="7453" width="37.7109375" style="359" customWidth="1"/>
    <col min="7454" max="7656" width="9.140625" style="359"/>
    <col min="7657" max="7657" width="1.7109375" style="359" customWidth="1"/>
    <col min="7658" max="7658" width="3.5703125" style="359" customWidth="1"/>
    <col min="7659" max="7659" width="11" style="359" customWidth="1"/>
    <col min="7660" max="7660" width="20.7109375" style="359" customWidth="1"/>
    <col min="7661" max="7662" width="11.7109375" style="359" customWidth="1"/>
    <col min="7663" max="7663" width="9.7109375" style="359" customWidth="1"/>
    <col min="7664" max="7664" width="10.140625" style="359" bestFit="1" customWidth="1"/>
    <col min="7665" max="7666" width="7.7109375" style="359" customWidth="1"/>
    <col min="7667" max="7667" width="4" style="359" customWidth="1"/>
    <col min="7668" max="7668" width="9.7109375" style="359" customWidth="1"/>
    <col min="7669" max="7669" width="15.140625" style="359" customWidth="1"/>
    <col min="7670" max="7670" width="5.140625" style="359" customWidth="1"/>
    <col min="7671" max="7671" width="9.7109375" style="359" customWidth="1"/>
    <col min="7672" max="7672" width="13.7109375" style="359" customWidth="1"/>
    <col min="7673" max="7673" width="5.140625" style="359" customWidth="1"/>
    <col min="7674" max="7674" width="9.7109375" style="359" customWidth="1"/>
    <col min="7675" max="7675" width="12.5703125" style="359" customWidth="1"/>
    <col min="7676" max="7676" width="5.140625" style="359" customWidth="1"/>
    <col min="7677" max="7677" width="9.7109375" style="359" customWidth="1"/>
    <col min="7678" max="7678" width="12.7109375" style="359" customWidth="1"/>
    <col min="7679" max="7679" width="5.140625" style="359" customWidth="1"/>
    <col min="7680" max="7680" width="9.7109375" style="359" customWidth="1"/>
    <col min="7681" max="7681" width="12.7109375" style="359" customWidth="1"/>
    <col min="7682" max="7682" width="5.140625" style="359" customWidth="1"/>
    <col min="7683" max="7683" width="9.7109375" style="359" customWidth="1"/>
    <col min="7684" max="7684" width="12.7109375" style="359" customWidth="1"/>
    <col min="7685" max="7685" width="5.140625" style="359" customWidth="1"/>
    <col min="7686" max="7686" width="9.7109375" style="359" customWidth="1"/>
    <col min="7687" max="7687" width="12.7109375" style="359" customWidth="1"/>
    <col min="7688" max="7688" width="5.140625" style="359" customWidth="1"/>
    <col min="7689" max="7689" width="9.7109375" style="359" customWidth="1"/>
    <col min="7690" max="7690" width="12.7109375" style="359" customWidth="1"/>
    <col min="7691" max="7691" width="5.140625" style="359" customWidth="1"/>
    <col min="7692" max="7692" width="9.7109375" style="359" customWidth="1"/>
    <col min="7693" max="7693" width="12.7109375" style="359" customWidth="1"/>
    <col min="7694" max="7694" width="5.140625" style="359" customWidth="1"/>
    <col min="7695" max="7695" width="9.7109375" style="359" customWidth="1"/>
    <col min="7696" max="7696" width="12.7109375" style="359" customWidth="1"/>
    <col min="7697" max="7697" width="5.140625" style="359" customWidth="1"/>
    <col min="7698" max="7698" width="9.7109375" style="359" customWidth="1"/>
    <col min="7699" max="7699" width="12.7109375" style="359" customWidth="1"/>
    <col min="7700" max="7700" width="5.140625" style="359" customWidth="1"/>
    <col min="7701" max="7701" width="9.7109375" style="359" customWidth="1"/>
    <col min="7702" max="7702" width="12.7109375" style="359" customWidth="1"/>
    <col min="7703" max="7703" width="5.140625" style="359" customWidth="1"/>
    <col min="7704" max="7704" width="9.7109375" style="359" customWidth="1"/>
    <col min="7705" max="7705" width="12.7109375" style="359" customWidth="1"/>
    <col min="7706" max="7706" width="5.140625" style="359" customWidth="1"/>
    <col min="7707" max="7707" width="9.7109375" style="359" customWidth="1"/>
    <col min="7708" max="7708" width="12.7109375" style="359" customWidth="1"/>
    <col min="7709" max="7709" width="37.7109375" style="359" customWidth="1"/>
    <col min="7710" max="7912" width="9.140625" style="359"/>
    <col min="7913" max="7913" width="1.7109375" style="359" customWidth="1"/>
    <col min="7914" max="7914" width="3.5703125" style="359" customWidth="1"/>
    <col min="7915" max="7915" width="11" style="359" customWidth="1"/>
    <col min="7916" max="7916" width="20.7109375" style="359" customWidth="1"/>
    <col min="7917" max="7918" width="11.7109375" style="359" customWidth="1"/>
    <col min="7919" max="7919" width="9.7109375" style="359" customWidth="1"/>
    <col min="7920" max="7920" width="10.140625" style="359" bestFit="1" customWidth="1"/>
    <col min="7921" max="7922" width="7.7109375" style="359" customWidth="1"/>
    <col min="7923" max="7923" width="4" style="359" customWidth="1"/>
    <col min="7924" max="7924" width="9.7109375" style="359" customWidth="1"/>
    <col min="7925" max="7925" width="15.140625" style="359" customWidth="1"/>
    <col min="7926" max="7926" width="5.140625" style="359" customWidth="1"/>
    <col min="7927" max="7927" width="9.7109375" style="359" customWidth="1"/>
    <col min="7928" max="7928" width="13.7109375" style="359" customWidth="1"/>
    <col min="7929" max="7929" width="5.140625" style="359" customWidth="1"/>
    <col min="7930" max="7930" width="9.7109375" style="359" customWidth="1"/>
    <col min="7931" max="7931" width="12.5703125" style="359" customWidth="1"/>
    <col min="7932" max="7932" width="5.140625" style="359" customWidth="1"/>
    <col min="7933" max="7933" width="9.7109375" style="359" customWidth="1"/>
    <col min="7934" max="7934" width="12.7109375" style="359" customWidth="1"/>
    <col min="7935" max="7935" width="5.140625" style="359" customWidth="1"/>
    <col min="7936" max="7936" width="9.7109375" style="359" customWidth="1"/>
    <col min="7937" max="7937" width="12.7109375" style="359" customWidth="1"/>
    <col min="7938" max="7938" width="5.140625" style="359" customWidth="1"/>
    <col min="7939" max="7939" width="9.7109375" style="359" customWidth="1"/>
    <col min="7940" max="7940" width="12.7109375" style="359" customWidth="1"/>
    <col min="7941" max="7941" width="5.140625" style="359" customWidth="1"/>
    <col min="7942" max="7942" width="9.7109375" style="359" customWidth="1"/>
    <col min="7943" max="7943" width="12.7109375" style="359" customWidth="1"/>
    <col min="7944" max="7944" width="5.140625" style="359" customWidth="1"/>
    <col min="7945" max="7945" width="9.7109375" style="359" customWidth="1"/>
    <col min="7946" max="7946" width="12.7109375" style="359" customWidth="1"/>
    <col min="7947" max="7947" width="5.140625" style="359" customWidth="1"/>
    <col min="7948" max="7948" width="9.7109375" style="359" customWidth="1"/>
    <col min="7949" max="7949" width="12.7109375" style="359" customWidth="1"/>
    <col min="7950" max="7950" width="5.140625" style="359" customWidth="1"/>
    <col min="7951" max="7951" width="9.7109375" style="359" customWidth="1"/>
    <col min="7952" max="7952" width="12.7109375" style="359" customWidth="1"/>
    <col min="7953" max="7953" width="5.140625" style="359" customWidth="1"/>
    <col min="7954" max="7954" width="9.7109375" style="359" customWidth="1"/>
    <col min="7955" max="7955" width="12.7109375" style="359" customWidth="1"/>
    <col min="7956" max="7956" width="5.140625" style="359" customWidth="1"/>
    <col min="7957" max="7957" width="9.7109375" style="359" customWidth="1"/>
    <col min="7958" max="7958" width="12.7109375" style="359" customWidth="1"/>
    <col min="7959" max="7959" width="5.140625" style="359" customWidth="1"/>
    <col min="7960" max="7960" width="9.7109375" style="359" customWidth="1"/>
    <col min="7961" max="7961" width="12.7109375" style="359" customWidth="1"/>
    <col min="7962" max="7962" width="5.140625" style="359" customWidth="1"/>
    <col min="7963" max="7963" width="9.7109375" style="359" customWidth="1"/>
    <col min="7964" max="7964" width="12.7109375" style="359" customWidth="1"/>
    <col min="7965" max="7965" width="37.7109375" style="359" customWidth="1"/>
    <col min="7966" max="8168" width="9.140625" style="359"/>
    <col min="8169" max="8169" width="1.7109375" style="359" customWidth="1"/>
    <col min="8170" max="8170" width="3.5703125" style="359" customWidth="1"/>
    <col min="8171" max="8171" width="11" style="359" customWidth="1"/>
    <col min="8172" max="8172" width="20.7109375" style="359" customWidth="1"/>
    <col min="8173" max="8174" width="11.7109375" style="359" customWidth="1"/>
    <col min="8175" max="8175" width="9.7109375" style="359" customWidth="1"/>
    <col min="8176" max="8176" width="10.140625" style="359" bestFit="1" customWidth="1"/>
    <col min="8177" max="8178" width="7.7109375" style="359" customWidth="1"/>
    <col min="8179" max="8179" width="4" style="359" customWidth="1"/>
    <col min="8180" max="8180" width="9.7109375" style="359" customWidth="1"/>
    <col min="8181" max="8181" width="15.140625" style="359" customWidth="1"/>
    <col min="8182" max="8182" width="5.140625" style="359" customWidth="1"/>
    <col min="8183" max="8183" width="9.7109375" style="359" customWidth="1"/>
    <col min="8184" max="8184" width="13.7109375" style="359" customWidth="1"/>
    <col min="8185" max="8185" width="5.140625" style="359" customWidth="1"/>
    <col min="8186" max="8186" width="9.7109375" style="359" customWidth="1"/>
    <col min="8187" max="8187" width="12.5703125" style="359" customWidth="1"/>
    <col min="8188" max="8188" width="5.140625" style="359" customWidth="1"/>
    <col min="8189" max="8189" width="9.7109375" style="359" customWidth="1"/>
    <col min="8190" max="8190" width="12.7109375" style="359" customWidth="1"/>
    <col min="8191" max="8191" width="5.140625" style="359" customWidth="1"/>
    <col min="8192" max="8192" width="9.7109375" style="359" customWidth="1"/>
    <col min="8193" max="8193" width="12.7109375" style="359" customWidth="1"/>
    <col min="8194" max="8194" width="5.140625" style="359" customWidth="1"/>
    <col min="8195" max="8195" width="9.7109375" style="359" customWidth="1"/>
    <col min="8196" max="8196" width="12.7109375" style="359" customWidth="1"/>
    <col min="8197" max="8197" width="5.140625" style="359" customWidth="1"/>
    <col min="8198" max="8198" width="9.7109375" style="359" customWidth="1"/>
    <col min="8199" max="8199" width="12.7109375" style="359" customWidth="1"/>
    <col min="8200" max="8200" width="5.140625" style="359" customWidth="1"/>
    <col min="8201" max="8201" width="9.7109375" style="359" customWidth="1"/>
    <col min="8202" max="8202" width="12.7109375" style="359" customWidth="1"/>
    <col min="8203" max="8203" width="5.140625" style="359" customWidth="1"/>
    <col min="8204" max="8204" width="9.7109375" style="359" customWidth="1"/>
    <col min="8205" max="8205" width="12.7109375" style="359" customWidth="1"/>
    <col min="8206" max="8206" width="5.140625" style="359" customWidth="1"/>
    <col min="8207" max="8207" width="9.7109375" style="359" customWidth="1"/>
    <col min="8208" max="8208" width="12.7109375" style="359" customWidth="1"/>
    <col min="8209" max="8209" width="5.140625" style="359" customWidth="1"/>
    <col min="8210" max="8210" width="9.7109375" style="359" customWidth="1"/>
    <col min="8211" max="8211" width="12.7109375" style="359" customWidth="1"/>
    <col min="8212" max="8212" width="5.140625" style="359" customWidth="1"/>
    <col min="8213" max="8213" width="9.7109375" style="359" customWidth="1"/>
    <col min="8214" max="8214" width="12.7109375" style="359" customWidth="1"/>
    <col min="8215" max="8215" width="5.140625" style="359" customWidth="1"/>
    <col min="8216" max="8216" width="9.7109375" style="359" customWidth="1"/>
    <col min="8217" max="8217" width="12.7109375" style="359" customWidth="1"/>
    <col min="8218" max="8218" width="5.140625" style="359" customWidth="1"/>
    <col min="8219" max="8219" width="9.7109375" style="359" customWidth="1"/>
    <col min="8220" max="8220" width="12.7109375" style="359" customWidth="1"/>
    <col min="8221" max="8221" width="37.7109375" style="359" customWidth="1"/>
    <col min="8222" max="8424" width="9.140625" style="359"/>
    <col min="8425" max="8425" width="1.7109375" style="359" customWidth="1"/>
    <col min="8426" max="8426" width="3.5703125" style="359" customWidth="1"/>
    <col min="8427" max="8427" width="11" style="359" customWidth="1"/>
    <col min="8428" max="8428" width="20.7109375" style="359" customWidth="1"/>
    <col min="8429" max="8430" width="11.7109375" style="359" customWidth="1"/>
    <col min="8431" max="8431" width="9.7109375" style="359" customWidth="1"/>
    <col min="8432" max="8432" width="10.140625" style="359" bestFit="1" customWidth="1"/>
    <col min="8433" max="8434" width="7.7109375" style="359" customWidth="1"/>
    <col min="8435" max="8435" width="4" style="359" customWidth="1"/>
    <col min="8436" max="8436" width="9.7109375" style="359" customWidth="1"/>
    <col min="8437" max="8437" width="15.140625" style="359" customWidth="1"/>
    <col min="8438" max="8438" width="5.140625" style="359" customWidth="1"/>
    <col min="8439" max="8439" width="9.7109375" style="359" customWidth="1"/>
    <col min="8440" max="8440" width="13.7109375" style="359" customWidth="1"/>
    <col min="8441" max="8441" width="5.140625" style="359" customWidth="1"/>
    <col min="8442" max="8442" width="9.7109375" style="359" customWidth="1"/>
    <col min="8443" max="8443" width="12.5703125" style="359" customWidth="1"/>
    <col min="8444" max="8444" width="5.140625" style="359" customWidth="1"/>
    <col min="8445" max="8445" width="9.7109375" style="359" customWidth="1"/>
    <col min="8446" max="8446" width="12.7109375" style="359" customWidth="1"/>
    <col min="8447" max="8447" width="5.140625" style="359" customWidth="1"/>
    <col min="8448" max="8448" width="9.7109375" style="359" customWidth="1"/>
    <col min="8449" max="8449" width="12.7109375" style="359" customWidth="1"/>
    <col min="8450" max="8450" width="5.140625" style="359" customWidth="1"/>
    <col min="8451" max="8451" width="9.7109375" style="359" customWidth="1"/>
    <col min="8452" max="8452" width="12.7109375" style="359" customWidth="1"/>
    <col min="8453" max="8453" width="5.140625" style="359" customWidth="1"/>
    <col min="8454" max="8454" width="9.7109375" style="359" customWidth="1"/>
    <col min="8455" max="8455" width="12.7109375" style="359" customWidth="1"/>
    <col min="8456" max="8456" width="5.140625" style="359" customWidth="1"/>
    <col min="8457" max="8457" width="9.7109375" style="359" customWidth="1"/>
    <col min="8458" max="8458" width="12.7109375" style="359" customWidth="1"/>
    <col min="8459" max="8459" width="5.140625" style="359" customWidth="1"/>
    <col min="8460" max="8460" width="9.7109375" style="359" customWidth="1"/>
    <col min="8461" max="8461" width="12.7109375" style="359" customWidth="1"/>
    <col min="8462" max="8462" width="5.140625" style="359" customWidth="1"/>
    <col min="8463" max="8463" width="9.7109375" style="359" customWidth="1"/>
    <col min="8464" max="8464" width="12.7109375" style="359" customWidth="1"/>
    <col min="8465" max="8465" width="5.140625" style="359" customWidth="1"/>
    <col min="8466" max="8466" width="9.7109375" style="359" customWidth="1"/>
    <col min="8467" max="8467" width="12.7109375" style="359" customWidth="1"/>
    <col min="8468" max="8468" width="5.140625" style="359" customWidth="1"/>
    <col min="8469" max="8469" width="9.7109375" style="359" customWidth="1"/>
    <col min="8470" max="8470" width="12.7109375" style="359" customWidth="1"/>
    <col min="8471" max="8471" width="5.140625" style="359" customWidth="1"/>
    <col min="8472" max="8472" width="9.7109375" style="359" customWidth="1"/>
    <col min="8473" max="8473" width="12.7109375" style="359" customWidth="1"/>
    <col min="8474" max="8474" width="5.140625" style="359" customWidth="1"/>
    <col min="8475" max="8475" width="9.7109375" style="359" customWidth="1"/>
    <col min="8476" max="8476" width="12.7109375" style="359" customWidth="1"/>
    <col min="8477" max="8477" width="37.7109375" style="359" customWidth="1"/>
    <col min="8478" max="8680" width="9.140625" style="359"/>
    <col min="8681" max="8681" width="1.7109375" style="359" customWidth="1"/>
    <col min="8682" max="8682" width="3.5703125" style="359" customWidth="1"/>
    <col min="8683" max="8683" width="11" style="359" customWidth="1"/>
    <col min="8684" max="8684" width="20.7109375" style="359" customWidth="1"/>
    <col min="8685" max="8686" width="11.7109375" style="359" customWidth="1"/>
    <col min="8687" max="8687" width="9.7109375" style="359" customWidth="1"/>
    <col min="8688" max="8688" width="10.140625" style="359" bestFit="1" customWidth="1"/>
    <col min="8689" max="8690" width="7.7109375" style="359" customWidth="1"/>
    <col min="8691" max="8691" width="4" style="359" customWidth="1"/>
    <col min="8692" max="8692" width="9.7109375" style="359" customWidth="1"/>
    <col min="8693" max="8693" width="15.140625" style="359" customWidth="1"/>
    <col min="8694" max="8694" width="5.140625" style="359" customWidth="1"/>
    <col min="8695" max="8695" width="9.7109375" style="359" customWidth="1"/>
    <col min="8696" max="8696" width="13.7109375" style="359" customWidth="1"/>
    <col min="8697" max="8697" width="5.140625" style="359" customWidth="1"/>
    <col min="8698" max="8698" width="9.7109375" style="359" customWidth="1"/>
    <col min="8699" max="8699" width="12.5703125" style="359" customWidth="1"/>
    <col min="8700" max="8700" width="5.140625" style="359" customWidth="1"/>
    <col min="8701" max="8701" width="9.7109375" style="359" customWidth="1"/>
    <col min="8702" max="8702" width="12.7109375" style="359" customWidth="1"/>
    <col min="8703" max="8703" width="5.140625" style="359" customWidth="1"/>
    <col min="8704" max="8704" width="9.7109375" style="359" customWidth="1"/>
    <col min="8705" max="8705" width="12.7109375" style="359" customWidth="1"/>
    <col min="8706" max="8706" width="5.140625" style="359" customWidth="1"/>
    <col min="8707" max="8707" width="9.7109375" style="359" customWidth="1"/>
    <col min="8708" max="8708" width="12.7109375" style="359" customWidth="1"/>
    <col min="8709" max="8709" width="5.140625" style="359" customWidth="1"/>
    <col min="8710" max="8710" width="9.7109375" style="359" customWidth="1"/>
    <col min="8711" max="8711" width="12.7109375" style="359" customWidth="1"/>
    <col min="8712" max="8712" width="5.140625" style="359" customWidth="1"/>
    <col min="8713" max="8713" width="9.7109375" style="359" customWidth="1"/>
    <col min="8714" max="8714" width="12.7109375" style="359" customWidth="1"/>
    <col min="8715" max="8715" width="5.140625" style="359" customWidth="1"/>
    <col min="8716" max="8716" width="9.7109375" style="359" customWidth="1"/>
    <col min="8717" max="8717" width="12.7109375" style="359" customWidth="1"/>
    <col min="8718" max="8718" width="5.140625" style="359" customWidth="1"/>
    <col min="8719" max="8719" width="9.7109375" style="359" customWidth="1"/>
    <col min="8720" max="8720" width="12.7109375" style="359" customWidth="1"/>
    <col min="8721" max="8721" width="5.140625" style="359" customWidth="1"/>
    <col min="8722" max="8722" width="9.7109375" style="359" customWidth="1"/>
    <col min="8723" max="8723" width="12.7109375" style="359" customWidth="1"/>
    <col min="8724" max="8724" width="5.140625" style="359" customWidth="1"/>
    <col min="8725" max="8725" width="9.7109375" style="359" customWidth="1"/>
    <col min="8726" max="8726" width="12.7109375" style="359" customWidth="1"/>
    <col min="8727" max="8727" width="5.140625" style="359" customWidth="1"/>
    <col min="8728" max="8728" width="9.7109375" style="359" customWidth="1"/>
    <col min="8729" max="8729" width="12.7109375" style="359" customWidth="1"/>
    <col min="8730" max="8730" width="5.140625" style="359" customWidth="1"/>
    <col min="8731" max="8731" width="9.7109375" style="359" customWidth="1"/>
    <col min="8732" max="8732" width="12.7109375" style="359" customWidth="1"/>
    <col min="8733" max="8733" width="37.7109375" style="359" customWidth="1"/>
    <col min="8734" max="8936" width="9.140625" style="359"/>
    <col min="8937" max="8937" width="1.7109375" style="359" customWidth="1"/>
    <col min="8938" max="8938" width="3.5703125" style="359" customWidth="1"/>
    <col min="8939" max="8939" width="11" style="359" customWidth="1"/>
    <col min="8940" max="8940" width="20.7109375" style="359" customWidth="1"/>
    <col min="8941" max="8942" width="11.7109375" style="359" customWidth="1"/>
    <col min="8943" max="8943" width="9.7109375" style="359" customWidth="1"/>
    <col min="8944" max="8944" width="10.140625" style="359" bestFit="1" customWidth="1"/>
    <col min="8945" max="8946" width="7.7109375" style="359" customWidth="1"/>
    <col min="8947" max="8947" width="4" style="359" customWidth="1"/>
    <col min="8948" max="8948" width="9.7109375" style="359" customWidth="1"/>
    <col min="8949" max="8949" width="15.140625" style="359" customWidth="1"/>
    <col min="8950" max="8950" width="5.140625" style="359" customWidth="1"/>
    <col min="8951" max="8951" width="9.7109375" style="359" customWidth="1"/>
    <col min="8952" max="8952" width="13.7109375" style="359" customWidth="1"/>
    <col min="8953" max="8953" width="5.140625" style="359" customWidth="1"/>
    <col min="8954" max="8954" width="9.7109375" style="359" customWidth="1"/>
    <col min="8955" max="8955" width="12.5703125" style="359" customWidth="1"/>
    <col min="8956" max="8956" width="5.140625" style="359" customWidth="1"/>
    <col min="8957" max="8957" width="9.7109375" style="359" customWidth="1"/>
    <col min="8958" max="8958" width="12.7109375" style="359" customWidth="1"/>
    <col min="8959" max="8959" width="5.140625" style="359" customWidth="1"/>
    <col min="8960" max="8960" width="9.7109375" style="359" customWidth="1"/>
    <col min="8961" max="8961" width="12.7109375" style="359" customWidth="1"/>
    <col min="8962" max="8962" width="5.140625" style="359" customWidth="1"/>
    <col min="8963" max="8963" width="9.7109375" style="359" customWidth="1"/>
    <col min="8964" max="8964" width="12.7109375" style="359" customWidth="1"/>
    <col min="8965" max="8965" width="5.140625" style="359" customWidth="1"/>
    <col min="8966" max="8966" width="9.7109375" style="359" customWidth="1"/>
    <col min="8967" max="8967" width="12.7109375" style="359" customWidth="1"/>
    <col min="8968" max="8968" width="5.140625" style="359" customWidth="1"/>
    <col min="8969" max="8969" width="9.7109375" style="359" customWidth="1"/>
    <col min="8970" max="8970" width="12.7109375" style="359" customWidth="1"/>
    <col min="8971" max="8971" width="5.140625" style="359" customWidth="1"/>
    <col min="8972" max="8972" width="9.7109375" style="359" customWidth="1"/>
    <col min="8973" max="8973" width="12.7109375" style="359" customWidth="1"/>
    <col min="8974" max="8974" width="5.140625" style="359" customWidth="1"/>
    <col min="8975" max="8975" width="9.7109375" style="359" customWidth="1"/>
    <col min="8976" max="8976" width="12.7109375" style="359" customWidth="1"/>
    <col min="8977" max="8977" width="5.140625" style="359" customWidth="1"/>
    <col min="8978" max="8978" width="9.7109375" style="359" customWidth="1"/>
    <col min="8979" max="8979" width="12.7109375" style="359" customWidth="1"/>
    <col min="8980" max="8980" width="5.140625" style="359" customWidth="1"/>
    <col min="8981" max="8981" width="9.7109375" style="359" customWidth="1"/>
    <col min="8982" max="8982" width="12.7109375" style="359" customWidth="1"/>
    <col min="8983" max="8983" width="5.140625" style="359" customWidth="1"/>
    <col min="8984" max="8984" width="9.7109375" style="359" customWidth="1"/>
    <col min="8985" max="8985" width="12.7109375" style="359" customWidth="1"/>
    <col min="8986" max="8986" width="5.140625" style="359" customWidth="1"/>
    <col min="8987" max="8987" width="9.7109375" style="359" customWidth="1"/>
    <col min="8988" max="8988" width="12.7109375" style="359" customWidth="1"/>
    <col min="8989" max="8989" width="37.7109375" style="359" customWidth="1"/>
    <col min="8990" max="9192" width="9.140625" style="359"/>
    <col min="9193" max="9193" width="1.7109375" style="359" customWidth="1"/>
    <col min="9194" max="9194" width="3.5703125" style="359" customWidth="1"/>
    <col min="9195" max="9195" width="11" style="359" customWidth="1"/>
    <col min="9196" max="9196" width="20.7109375" style="359" customWidth="1"/>
    <col min="9197" max="9198" width="11.7109375" style="359" customWidth="1"/>
    <col min="9199" max="9199" width="9.7109375" style="359" customWidth="1"/>
    <col min="9200" max="9200" width="10.140625" style="359" bestFit="1" customWidth="1"/>
    <col min="9201" max="9202" width="7.7109375" style="359" customWidth="1"/>
    <col min="9203" max="9203" width="4" style="359" customWidth="1"/>
    <col min="9204" max="9204" width="9.7109375" style="359" customWidth="1"/>
    <col min="9205" max="9205" width="15.140625" style="359" customWidth="1"/>
    <col min="9206" max="9206" width="5.140625" style="359" customWidth="1"/>
    <col min="9207" max="9207" width="9.7109375" style="359" customWidth="1"/>
    <col min="9208" max="9208" width="13.7109375" style="359" customWidth="1"/>
    <col min="9209" max="9209" width="5.140625" style="359" customWidth="1"/>
    <col min="9210" max="9210" width="9.7109375" style="359" customWidth="1"/>
    <col min="9211" max="9211" width="12.5703125" style="359" customWidth="1"/>
    <col min="9212" max="9212" width="5.140625" style="359" customWidth="1"/>
    <col min="9213" max="9213" width="9.7109375" style="359" customWidth="1"/>
    <col min="9214" max="9214" width="12.7109375" style="359" customWidth="1"/>
    <col min="9215" max="9215" width="5.140625" style="359" customWidth="1"/>
    <col min="9216" max="9216" width="9.7109375" style="359" customWidth="1"/>
    <col min="9217" max="9217" width="12.7109375" style="359" customWidth="1"/>
    <col min="9218" max="9218" width="5.140625" style="359" customWidth="1"/>
    <col min="9219" max="9219" width="9.7109375" style="359" customWidth="1"/>
    <col min="9220" max="9220" width="12.7109375" style="359" customWidth="1"/>
    <col min="9221" max="9221" width="5.140625" style="359" customWidth="1"/>
    <col min="9222" max="9222" width="9.7109375" style="359" customWidth="1"/>
    <col min="9223" max="9223" width="12.7109375" style="359" customWidth="1"/>
    <col min="9224" max="9224" width="5.140625" style="359" customWidth="1"/>
    <col min="9225" max="9225" width="9.7109375" style="359" customWidth="1"/>
    <col min="9226" max="9226" width="12.7109375" style="359" customWidth="1"/>
    <col min="9227" max="9227" width="5.140625" style="359" customWidth="1"/>
    <col min="9228" max="9228" width="9.7109375" style="359" customWidth="1"/>
    <col min="9229" max="9229" width="12.7109375" style="359" customWidth="1"/>
    <col min="9230" max="9230" width="5.140625" style="359" customWidth="1"/>
    <col min="9231" max="9231" width="9.7109375" style="359" customWidth="1"/>
    <col min="9232" max="9232" width="12.7109375" style="359" customWidth="1"/>
    <col min="9233" max="9233" width="5.140625" style="359" customWidth="1"/>
    <col min="9234" max="9234" width="9.7109375" style="359" customWidth="1"/>
    <col min="9235" max="9235" width="12.7109375" style="359" customWidth="1"/>
    <col min="9236" max="9236" width="5.140625" style="359" customWidth="1"/>
    <col min="9237" max="9237" width="9.7109375" style="359" customWidth="1"/>
    <col min="9238" max="9238" width="12.7109375" style="359" customWidth="1"/>
    <col min="9239" max="9239" width="5.140625" style="359" customWidth="1"/>
    <col min="9240" max="9240" width="9.7109375" style="359" customWidth="1"/>
    <col min="9241" max="9241" width="12.7109375" style="359" customWidth="1"/>
    <col min="9242" max="9242" width="5.140625" style="359" customWidth="1"/>
    <col min="9243" max="9243" width="9.7109375" style="359" customWidth="1"/>
    <col min="9244" max="9244" width="12.7109375" style="359" customWidth="1"/>
    <col min="9245" max="9245" width="37.7109375" style="359" customWidth="1"/>
    <col min="9246" max="9448" width="9.140625" style="359"/>
    <col min="9449" max="9449" width="1.7109375" style="359" customWidth="1"/>
    <col min="9450" max="9450" width="3.5703125" style="359" customWidth="1"/>
    <col min="9451" max="9451" width="11" style="359" customWidth="1"/>
    <col min="9452" max="9452" width="20.7109375" style="359" customWidth="1"/>
    <col min="9453" max="9454" width="11.7109375" style="359" customWidth="1"/>
    <col min="9455" max="9455" width="9.7109375" style="359" customWidth="1"/>
    <col min="9456" max="9456" width="10.140625" style="359" bestFit="1" customWidth="1"/>
    <col min="9457" max="9458" width="7.7109375" style="359" customWidth="1"/>
    <col min="9459" max="9459" width="4" style="359" customWidth="1"/>
    <col min="9460" max="9460" width="9.7109375" style="359" customWidth="1"/>
    <col min="9461" max="9461" width="15.140625" style="359" customWidth="1"/>
    <col min="9462" max="9462" width="5.140625" style="359" customWidth="1"/>
    <col min="9463" max="9463" width="9.7109375" style="359" customWidth="1"/>
    <col min="9464" max="9464" width="13.7109375" style="359" customWidth="1"/>
    <col min="9465" max="9465" width="5.140625" style="359" customWidth="1"/>
    <col min="9466" max="9466" width="9.7109375" style="359" customWidth="1"/>
    <col min="9467" max="9467" width="12.5703125" style="359" customWidth="1"/>
    <col min="9468" max="9468" width="5.140625" style="359" customWidth="1"/>
    <col min="9469" max="9469" width="9.7109375" style="359" customWidth="1"/>
    <col min="9470" max="9470" width="12.7109375" style="359" customWidth="1"/>
    <col min="9471" max="9471" width="5.140625" style="359" customWidth="1"/>
    <col min="9472" max="9472" width="9.7109375" style="359" customWidth="1"/>
    <col min="9473" max="9473" width="12.7109375" style="359" customWidth="1"/>
    <col min="9474" max="9474" width="5.140625" style="359" customWidth="1"/>
    <col min="9475" max="9475" width="9.7109375" style="359" customWidth="1"/>
    <col min="9476" max="9476" width="12.7109375" style="359" customWidth="1"/>
    <col min="9477" max="9477" width="5.140625" style="359" customWidth="1"/>
    <col min="9478" max="9478" width="9.7109375" style="359" customWidth="1"/>
    <col min="9479" max="9479" width="12.7109375" style="359" customWidth="1"/>
    <col min="9480" max="9480" width="5.140625" style="359" customWidth="1"/>
    <col min="9481" max="9481" width="9.7109375" style="359" customWidth="1"/>
    <col min="9482" max="9482" width="12.7109375" style="359" customWidth="1"/>
    <col min="9483" max="9483" width="5.140625" style="359" customWidth="1"/>
    <col min="9484" max="9484" width="9.7109375" style="359" customWidth="1"/>
    <col min="9485" max="9485" width="12.7109375" style="359" customWidth="1"/>
    <col min="9486" max="9486" width="5.140625" style="359" customWidth="1"/>
    <col min="9487" max="9487" width="9.7109375" style="359" customWidth="1"/>
    <col min="9488" max="9488" width="12.7109375" style="359" customWidth="1"/>
    <col min="9489" max="9489" width="5.140625" style="359" customWidth="1"/>
    <col min="9490" max="9490" width="9.7109375" style="359" customWidth="1"/>
    <col min="9491" max="9491" width="12.7109375" style="359" customWidth="1"/>
    <col min="9492" max="9492" width="5.140625" style="359" customWidth="1"/>
    <col min="9493" max="9493" width="9.7109375" style="359" customWidth="1"/>
    <col min="9494" max="9494" width="12.7109375" style="359" customWidth="1"/>
    <col min="9495" max="9495" width="5.140625" style="359" customWidth="1"/>
    <col min="9496" max="9496" width="9.7109375" style="359" customWidth="1"/>
    <col min="9497" max="9497" width="12.7109375" style="359" customWidth="1"/>
    <col min="9498" max="9498" width="5.140625" style="359" customWidth="1"/>
    <col min="9499" max="9499" width="9.7109375" style="359" customWidth="1"/>
    <col min="9500" max="9500" width="12.7109375" style="359" customWidth="1"/>
    <col min="9501" max="9501" width="37.7109375" style="359" customWidth="1"/>
    <col min="9502" max="9704" width="9.140625" style="359"/>
    <col min="9705" max="9705" width="1.7109375" style="359" customWidth="1"/>
    <col min="9706" max="9706" width="3.5703125" style="359" customWidth="1"/>
    <col min="9707" max="9707" width="11" style="359" customWidth="1"/>
    <col min="9708" max="9708" width="20.7109375" style="359" customWidth="1"/>
    <col min="9709" max="9710" width="11.7109375" style="359" customWidth="1"/>
    <col min="9711" max="9711" width="9.7109375" style="359" customWidth="1"/>
    <col min="9712" max="9712" width="10.140625" style="359" bestFit="1" customWidth="1"/>
    <col min="9713" max="9714" width="7.7109375" style="359" customWidth="1"/>
    <col min="9715" max="9715" width="4" style="359" customWidth="1"/>
    <col min="9716" max="9716" width="9.7109375" style="359" customWidth="1"/>
    <col min="9717" max="9717" width="15.140625" style="359" customWidth="1"/>
    <col min="9718" max="9718" width="5.140625" style="359" customWidth="1"/>
    <col min="9719" max="9719" width="9.7109375" style="359" customWidth="1"/>
    <col min="9720" max="9720" width="13.7109375" style="359" customWidth="1"/>
    <col min="9721" max="9721" width="5.140625" style="359" customWidth="1"/>
    <col min="9722" max="9722" width="9.7109375" style="359" customWidth="1"/>
    <col min="9723" max="9723" width="12.5703125" style="359" customWidth="1"/>
    <col min="9724" max="9724" width="5.140625" style="359" customWidth="1"/>
    <col min="9725" max="9725" width="9.7109375" style="359" customWidth="1"/>
    <col min="9726" max="9726" width="12.7109375" style="359" customWidth="1"/>
    <col min="9727" max="9727" width="5.140625" style="359" customWidth="1"/>
    <col min="9728" max="9728" width="9.7109375" style="359" customWidth="1"/>
    <col min="9729" max="9729" width="12.7109375" style="359" customWidth="1"/>
    <col min="9730" max="9730" width="5.140625" style="359" customWidth="1"/>
    <col min="9731" max="9731" width="9.7109375" style="359" customWidth="1"/>
    <col min="9732" max="9732" width="12.7109375" style="359" customWidth="1"/>
    <col min="9733" max="9733" width="5.140625" style="359" customWidth="1"/>
    <col min="9734" max="9734" width="9.7109375" style="359" customWidth="1"/>
    <col min="9735" max="9735" width="12.7109375" style="359" customWidth="1"/>
    <col min="9736" max="9736" width="5.140625" style="359" customWidth="1"/>
    <col min="9737" max="9737" width="9.7109375" style="359" customWidth="1"/>
    <col min="9738" max="9738" width="12.7109375" style="359" customWidth="1"/>
    <col min="9739" max="9739" width="5.140625" style="359" customWidth="1"/>
    <col min="9740" max="9740" width="9.7109375" style="359" customWidth="1"/>
    <col min="9741" max="9741" width="12.7109375" style="359" customWidth="1"/>
    <col min="9742" max="9742" width="5.140625" style="359" customWidth="1"/>
    <col min="9743" max="9743" width="9.7109375" style="359" customWidth="1"/>
    <col min="9744" max="9744" width="12.7109375" style="359" customWidth="1"/>
    <col min="9745" max="9745" width="5.140625" style="359" customWidth="1"/>
    <col min="9746" max="9746" width="9.7109375" style="359" customWidth="1"/>
    <col min="9747" max="9747" width="12.7109375" style="359" customWidth="1"/>
    <col min="9748" max="9748" width="5.140625" style="359" customWidth="1"/>
    <col min="9749" max="9749" width="9.7109375" style="359" customWidth="1"/>
    <col min="9750" max="9750" width="12.7109375" style="359" customWidth="1"/>
    <col min="9751" max="9751" width="5.140625" style="359" customWidth="1"/>
    <col min="9752" max="9752" width="9.7109375" style="359" customWidth="1"/>
    <col min="9753" max="9753" width="12.7109375" style="359" customWidth="1"/>
    <col min="9754" max="9754" width="5.140625" style="359" customWidth="1"/>
    <col min="9755" max="9755" width="9.7109375" style="359" customWidth="1"/>
    <col min="9756" max="9756" width="12.7109375" style="359" customWidth="1"/>
    <col min="9757" max="9757" width="37.7109375" style="359" customWidth="1"/>
    <col min="9758" max="9960" width="9.140625" style="359"/>
    <col min="9961" max="9961" width="1.7109375" style="359" customWidth="1"/>
    <col min="9962" max="9962" width="3.5703125" style="359" customWidth="1"/>
    <col min="9963" max="9963" width="11" style="359" customWidth="1"/>
    <col min="9964" max="9964" width="20.7109375" style="359" customWidth="1"/>
    <col min="9965" max="9966" width="11.7109375" style="359" customWidth="1"/>
    <col min="9967" max="9967" width="9.7109375" style="359" customWidth="1"/>
    <col min="9968" max="9968" width="10.140625" style="359" bestFit="1" customWidth="1"/>
    <col min="9969" max="9970" width="7.7109375" style="359" customWidth="1"/>
    <col min="9971" max="9971" width="4" style="359" customWidth="1"/>
    <col min="9972" max="9972" width="9.7109375" style="359" customWidth="1"/>
    <col min="9973" max="9973" width="15.140625" style="359" customWidth="1"/>
    <col min="9974" max="9974" width="5.140625" style="359" customWidth="1"/>
    <col min="9975" max="9975" width="9.7109375" style="359" customWidth="1"/>
    <col min="9976" max="9976" width="13.7109375" style="359" customWidth="1"/>
    <col min="9977" max="9977" width="5.140625" style="359" customWidth="1"/>
    <col min="9978" max="9978" width="9.7109375" style="359" customWidth="1"/>
    <col min="9979" max="9979" width="12.5703125" style="359" customWidth="1"/>
    <col min="9980" max="9980" width="5.140625" style="359" customWidth="1"/>
    <col min="9981" max="9981" width="9.7109375" style="359" customWidth="1"/>
    <col min="9982" max="9982" width="12.7109375" style="359" customWidth="1"/>
    <col min="9983" max="9983" width="5.140625" style="359" customWidth="1"/>
    <col min="9984" max="9984" width="9.7109375" style="359" customWidth="1"/>
    <col min="9985" max="9985" width="12.7109375" style="359" customWidth="1"/>
    <col min="9986" max="9986" width="5.140625" style="359" customWidth="1"/>
    <col min="9987" max="9987" width="9.7109375" style="359" customWidth="1"/>
    <col min="9988" max="9988" width="12.7109375" style="359" customWidth="1"/>
    <col min="9989" max="9989" width="5.140625" style="359" customWidth="1"/>
    <col min="9990" max="9990" width="9.7109375" style="359" customWidth="1"/>
    <col min="9991" max="9991" width="12.7109375" style="359" customWidth="1"/>
    <col min="9992" max="9992" width="5.140625" style="359" customWidth="1"/>
    <col min="9993" max="9993" width="9.7109375" style="359" customWidth="1"/>
    <col min="9994" max="9994" width="12.7109375" style="359" customWidth="1"/>
    <col min="9995" max="9995" width="5.140625" style="359" customWidth="1"/>
    <col min="9996" max="9996" width="9.7109375" style="359" customWidth="1"/>
    <col min="9997" max="9997" width="12.7109375" style="359" customWidth="1"/>
    <col min="9998" max="9998" width="5.140625" style="359" customWidth="1"/>
    <col min="9999" max="9999" width="9.7109375" style="359" customWidth="1"/>
    <col min="10000" max="10000" width="12.7109375" style="359" customWidth="1"/>
    <col min="10001" max="10001" width="5.140625" style="359" customWidth="1"/>
    <col min="10002" max="10002" width="9.7109375" style="359" customWidth="1"/>
    <col min="10003" max="10003" width="12.7109375" style="359" customWidth="1"/>
    <col min="10004" max="10004" width="5.140625" style="359" customWidth="1"/>
    <col min="10005" max="10005" width="9.7109375" style="359" customWidth="1"/>
    <col min="10006" max="10006" width="12.7109375" style="359" customWidth="1"/>
    <col min="10007" max="10007" width="5.140625" style="359" customWidth="1"/>
    <col min="10008" max="10008" width="9.7109375" style="359" customWidth="1"/>
    <col min="10009" max="10009" width="12.7109375" style="359" customWidth="1"/>
    <col min="10010" max="10010" width="5.140625" style="359" customWidth="1"/>
    <col min="10011" max="10011" width="9.7109375" style="359" customWidth="1"/>
    <col min="10012" max="10012" width="12.7109375" style="359" customWidth="1"/>
    <col min="10013" max="10013" width="37.7109375" style="359" customWidth="1"/>
    <col min="10014" max="10216" width="9.140625" style="359"/>
    <col min="10217" max="10217" width="1.7109375" style="359" customWidth="1"/>
    <col min="10218" max="10218" width="3.5703125" style="359" customWidth="1"/>
    <col min="10219" max="10219" width="11" style="359" customWidth="1"/>
    <col min="10220" max="10220" width="20.7109375" style="359" customWidth="1"/>
    <col min="10221" max="10222" width="11.7109375" style="359" customWidth="1"/>
    <col min="10223" max="10223" width="9.7109375" style="359" customWidth="1"/>
    <col min="10224" max="10224" width="10.140625" style="359" bestFit="1" customWidth="1"/>
    <col min="10225" max="10226" width="7.7109375" style="359" customWidth="1"/>
    <col min="10227" max="10227" width="4" style="359" customWidth="1"/>
    <col min="10228" max="10228" width="9.7109375" style="359" customWidth="1"/>
    <col min="10229" max="10229" width="15.140625" style="359" customWidth="1"/>
    <col min="10230" max="10230" width="5.140625" style="359" customWidth="1"/>
    <col min="10231" max="10231" width="9.7109375" style="359" customWidth="1"/>
    <col min="10232" max="10232" width="13.7109375" style="359" customWidth="1"/>
    <col min="10233" max="10233" width="5.140625" style="359" customWidth="1"/>
    <col min="10234" max="10234" width="9.7109375" style="359" customWidth="1"/>
    <col min="10235" max="10235" width="12.5703125" style="359" customWidth="1"/>
    <col min="10236" max="10236" width="5.140625" style="359" customWidth="1"/>
    <col min="10237" max="10237" width="9.7109375" style="359" customWidth="1"/>
    <col min="10238" max="10238" width="12.7109375" style="359" customWidth="1"/>
    <col min="10239" max="10239" width="5.140625" style="359" customWidth="1"/>
    <col min="10240" max="10240" width="9.7109375" style="359" customWidth="1"/>
    <col min="10241" max="10241" width="12.7109375" style="359" customWidth="1"/>
    <col min="10242" max="10242" width="5.140625" style="359" customWidth="1"/>
    <col min="10243" max="10243" width="9.7109375" style="359" customWidth="1"/>
    <col min="10244" max="10244" width="12.7109375" style="359" customWidth="1"/>
    <col min="10245" max="10245" width="5.140625" style="359" customWidth="1"/>
    <col min="10246" max="10246" width="9.7109375" style="359" customWidth="1"/>
    <col min="10247" max="10247" width="12.7109375" style="359" customWidth="1"/>
    <col min="10248" max="10248" width="5.140625" style="359" customWidth="1"/>
    <col min="10249" max="10249" width="9.7109375" style="359" customWidth="1"/>
    <col min="10250" max="10250" width="12.7109375" style="359" customWidth="1"/>
    <col min="10251" max="10251" width="5.140625" style="359" customWidth="1"/>
    <col min="10252" max="10252" width="9.7109375" style="359" customWidth="1"/>
    <col min="10253" max="10253" width="12.7109375" style="359" customWidth="1"/>
    <col min="10254" max="10254" width="5.140625" style="359" customWidth="1"/>
    <col min="10255" max="10255" width="9.7109375" style="359" customWidth="1"/>
    <col min="10256" max="10256" width="12.7109375" style="359" customWidth="1"/>
    <col min="10257" max="10257" width="5.140625" style="359" customWidth="1"/>
    <col min="10258" max="10258" width="9.7109375" style="359" customWidth="1"/>
    <col min="10259" max="10259" width="12.7109375" style="359" customWidth="1"/>
    <col min="10260" max="10260" width="5.140625" style="359" customWidth="1"/>
    <col min="10261" max="10261" width="9.7109375" style="359" customWidth="1"/>
    <col min="10262" max="10262" width="12.7109375" style="359" customWidth="1"/>
    <col min="10263" max="10263" width="5.140625" style="359" customWidth="1"/>
    <col min="10264" max="10264" width="9.7109375" style="359" customWidth="1"/>
    <col min="10265" max="10265" width="12.7109375" style="359" customWidth="1"/>
    <col min="10266" max="10266" width="5.140625" style="359" customWidth="1"/>
    <col min="10267" max="10267" width="9.7109375" style="359" customWidth="1"/>
    <col min="10268" max="10268" width="12.7109375" style="359" customWidth="1"/>
    <col min="10269" max="10269" width="37.7109375" style="359" customWidth="1"/>
    <col min="10270" max="10472" width="9.140625" style="359"/>
    <col min="10473" max="10473" width="1.7109375" style="359" customWidth="1"/>
    <col min="10474" max="10474" width="3.5703125" style="359" customWidth="1"/>
    <col min="10475" max="10475" width="11" style="359" customWidth="1"/>
    <col min="10476" max="10476" width="20.7109375" style="359" customWidth="1"/>
    <col min="10477" max="10478" width="11.7109375" style="359" customWidth="1"/>
    <col min="10479" max="10479" width="9.7109375" style="359" customWidth="1"/>
    <col min="10480" max="10480" width="10.140625" style="359" bestFit="1" customWidth="1"/>
    <col min="10481" max="10482" width="7.7109375" style="359" customWidth="1"/>
    <col min="10483" max="10483" width="4" style="359" customWidth="1"/>
    <col min="10484" max="10484" width="9.7109375" style="359" customWidth="1"/>
    <col min="10485" max="10485" width="15.140625" style="359" customWidth="1"/>
    <col min="10486" max="10486" width="5.140625" style="359" customWidth="1"/>
    <col min="10487" max="10487" width="9.7109375" style="359" customWidth="1"/>
    <col min="10488" max="10488" width="13.7109375" style="359" customWidth="1"/>
    <col min="10489" max="10489" width="5.140625" style="359" customWidth="1"/>
    <col min="10490" max="10490" width="9.7109375" style="359" customWidth="1"/>
    <col min="10491" max="10491" width="12.5703125" style="359" customWidth="1"/>
    <col min="10492" max="10492" width="5.140625" style="359" customWidth="1"/>
    <col min="10493" max="10493" width="9.7109375" style="359" customWidth="1"/>
    <col min="10494" max="10494" width="12.7109375" style="359" customWidth="1"/>
    <col min="10495" max="10495" width="5.140625" style="359" customWidth="1"/>
    <col min="10496" max="10496" width="9.7109375" style="359" customWidth="1"/>
    <col min="10497" max="10497" width="12.7109375" style="359" customWidth="1"/>
    <col min="10498" max="10498" width="5.140625" style="359" customWidth="1"/>
    <col min="10499" max="10499" width="9.7109375" style="359" customWidth="1"/>
    <col min="10500" max="10500" width="12.7109375" style="359" customWidth="1"/>
    <col min="10501" max="10501" width="5.140625" style="359" customWidth="1"/>
    <col min="10502" max="10502" width="9.7109375" style="359" customWidth="1"/>
    <col min="10503" max="10503" width="12.7109375" style="359" customWidth="1"/>
    <col min="10504" max="10504" width="5.140625" style="359" customWidth="1"/>
    <col min="10505" max="10505" width="9.7109375" style="359" customWidth="1"/>
    <col min="10506" max="10506" width="12.7109375" style="359" customWidth="1"/>
    <col min="10507" max="10507" width="5.140625" style="359" customWidth="1"/>
    <col min="10508" max="10508" width="9.7109375" style="359" customWidth="1"/>
    <col min="10509" max="10509" width="12.7109375" style="359" customWidth="1"/>
    <col min="10510" max="10510" width="5.140625" style="359" customWidth="1"/>
    <col min="10511" max="10511" width="9.7109375" style="359" customWidth="1"/>
    <col min="10512" max="10512" width="12.7109375" style="359" customWidth="1"/>
    <col min="10513" max="10513" width="5.140625" style="359" customWidth="1"/>
    <col min="10514" max="10514" width="9.7109375" style="359" customWidth="1"/>
    <col min="10515" max="10515" width="12.7109375" style="359" customWidth="1"/>
    <col min="10516" max="10516" width="5.140625" style="359" customWidth="1"/>
    <col min="10517" max="10517" width="9.7109375" style="359" customWidth="1"/>
    <col min="10518" max="10518" width="12.7109375" style="359" customWidth="1"/>
    <col min="10519" max="10519" width="5.140625" style="359" customWidth="1"/>
    <col min="10520" max="10520" width="9.7109375" style="359" customWidth="1"/>
    <col min="10521" max="10521" width="12.7109375" style="359" customWidth="1"/>
    <col min="10522" max="10522" width="5.140625" style="359" customWidth="1"/>
    <col min="10523" max="10523" width="9.7109375" style="359" customWidth="1"/>
    <col min="10524" max="10524" width="12.7109375" style="359" customWidth="1"/>
    <col min="10525" max="10525" width="37.7109375" style="359" customWidth="1"/>
    <col min="10526" max="10728" width="9.140625" style="359"/>
    <col min="10729" max="10729" width="1.7109375" style="359" customWidth="1"/>
    <col min="10730" max="10730" width="3.5703125" style="359" customWidth="1"/>
    <col min="10731" max="10731" width="11" style="359" customWidth="1"/>
    <col min="10732" max="10732" width="20.7109375" style="359" customWidth="1"/>
    <col min="10733" max="10734" width="11.7109375" style="359" customWidth="1"/>
    <col min="10735" max="10735" width="9.7109375" style="359" customWidth="1"/>
    <col min="10736" max="10736" width="10.140625" style="359" bestFit="1" customWidth="1"/>
    <col min="10737" max="10738" width="7.7109375" style="359" customWidth="1"/>
    <col min="10739" max="10739" width="4" style="359" customWidth="1"/>
    <col min="10740" max="10740" width="9.7109375" style="359" customWidth="1"/>
    <col min="10741" max="10741" width="15.140625" style="359" customWidth="1"/>
    <col min="10742" max="10742" width="5.140625" style="359" customWidth="1"/>
    <col min="10743" max="10743" width="9.7109375" style="359" customWidth="1"/>
    <col min="10744" max="10744" width="13.7109375" style="359" customWidth="1"/>
    <col min="10745" max="10745" width="5.140625" style="359" customWidth="1"/>
    <col min="10746" max="10746" width="9.7109375" style="359" customWidth="1"/>
    <col min="10747" max="10747" width="12.5703125" style="359" customWidth="1"/>
    <col min="10748" max="10748" width="5.140625" style="359" customWidth="1"/>
    <col min="10749" max="10749" width="9.7109375" style="359" customWidth="1"/>
    <col min="10750" max="10750" width="12.7109375" style="359" customWidth="1"/>
    <col min="10751" max="10751" width="5.140625" style="359" customWidth="1"/>
    <col min="10752" max="10752" width="9.7109375" style="359" customWidth="1"/>
    <col min="10753" max="10753" width="12.7109375" style="359" customWidth="1"/>
    <col min="10754" max="10754" width="5.140625" style="359" customWidth="1"/>
    <col min="10755" max="10755" width="9.7109375" style="359" customWidth="1"/>
    <col min="10756" max="10756" width="12.7109375" style="359" customWidth="1"/>
    <col min="10757" max="10757" width="5.140625" style="359" customWidth="1"/>
    <col min="10758" max="10758" width="9.7109375" style="359" customWidth="1"/>
    <col min="10759" max="10759" width="12.7109375" style="359" customWidth="1"/>
    <col min="10760" max="10760" width="5.140625" style="359" customWidth="1"/>
    <col min="10761" max="10761" width="9.7109375" style="359" customWidth="1"/>
    <col min="10762" max="10762" width="12.7109375" style="359" customWidth="1"/>
    <col min="10763" max="10763" width="5.140625" style="359" customWidth="1"/>
    <col min="10764" max="10764" width="9.7109375" style="359" customWidth="1"/>
    <col min="10765" max="10765" width="12.7109375" style="359" customWidth="1"/>
    <col min="10766" max="10766" width="5.140625" style="359" customWidth="1"/>
    <col min="10767" max="10767" width="9.7109375" style="359" customWidth="1"/>
    <col min="10768" max="10768" width="12.7109375" style="359" customWidth="1"/>
    <col min="10769" max="10769" width="5.140625" style="359" customWidth="1"/>
    <col min="10770" max="10770" width="9.7109375" style="359" customWidth="1"/>
    <col min="10771" max="10771" width="12.7109375" style="359" customWidth="1"/>
    <col min="10772" max="10772" width="5.140625" style="359" customWidth="1"/>
    <col min="10773" max="10773" width="9.7109375" style="359" customWidth="1"/>
    <col min="10774" max="10774" width="12.7109375" style="359" customWidth="1"/>
    <col min="10775" max="10775" width="5.140625" style="359" customWidth="1"/>
    <col min="10776" max="10776" width="9.7109375" style="359" customWidth="1"/>
    <col min="10777" max="10777" width="12.7109375" style="359" customWidth="1"/>
    <col min="10778" max="10778" width="5.140625" style="359" customWidth="1"/>
    <col min="10779" max="10779" width="9.7109375" style="359" customWidth="1"/>
    <col min="10780" max="10780" width="12.7109375" style="359" customWidth="1"/>
    <col min="10781" max="10781" width="37.7109375" style="359" customWidth="1"/>
    <col min="10782" max="10984" width="9.140625" style="359"/>
    <col min="10985" max="10985" width="1.7109375" style="359" customWidth="1"/>
    <col min="10986" max="10986" width="3.5703125" style="359" customWidth="1"/>
    <col min="10987" max="10987" width="11" style="359" customWidth="1"/>
    <col min="10988" max="10988" width="20.7109375" style="359" customWidth="1"/>
    <col min="10989" max="10990" width="11.7109375" style="359" customWidth="1"/>
    <col min="10991" max="10991" width="9.7109375" style="359" customWidth="1"/>
    <col min="10992" max="10992" width="10.140625" style="359" bestFit="1" customWidth="1"/>
    <col min="10993" max="10994" width="7.7109375" style="359" customWidth="1"/>
    <col min="10995" max="10995" width="4" style="359" customWidth="1"/>
    <col min="10996" max="10996" width="9.7109375" style="359" customWidth="1"/>
    <col min="10997" max="10997" width="15.140625" style="359" customWidth="1"/>
    <col min="10998" max="10998" width="5.140625" style="359" customWidth="1"/>
    <col min="10999" max="10999" width="9.7109375" style="359" customWidth="1"/>
    <col min="11000" max="11000" width="13.7109375" style="359" customWidth="1"/>
    <col min="11001" max="11001" width="5.140625" style="359" customWidth="1"/>
    <col min="11002" max="11002" width="9.7109375" style="359" customWidth="1"/>
    <col min="11003" max="11003" width="12.5703125" style="359" customWidth="1"/>
    <col min="11004" max="11004" width="5.140625" style="359" customWidth="1"/>
    <col min="11005" max="11005" width="9.7109375" style="359" customWidth="1"/>
    <col min="11006" max="11006" width="12.7109375" style="359" customWidth="1"/>
    <col min="11007" max="11007" width="5.140625" style="359" customWidth="1"/>
    <col min="11008" max="11008" width="9.7109375" style="359" customWidth="1"/>
    <col min="11009" max="11009" width="12.7109375" style="359" customWidth="1"/>
    <col min="11010" max="11010" width="5.140625" style="359" customWidth="1"/>
    <col min="11011" max="11011" width="9.7109375" style="359" customWidth="1"/>
    <col min="11012" max="11012" width="12.7109375" style="359" customWidth="1"/>
    <col min="11013" max="11013" width="5.140625" style="359" customWidth="1"/>
    <col min="11014" max="11014" width="9.7109375" style="359" customWidth="1"/>
    <col min="11015" max="11015" width="12.7109375" style="359" customWidth="1"/>
    <col min="11016" max="11016" width="5.140625" style="359" customWidth="1"/>
    <col min="11017" max="11017" width="9.7109375" style="359" customWidth="1"/>
    <col min="11018" max="11018" width="12.7109375" style="359" customWidth="1"/>
    <col min="11019" max="11019" width="5.140625" style="359" customWidth="1"/>
    <col min="11020" max="11020" width="9.7109375" style="359" customWidth="1"/>
    <col min="11021" max="11021" width="12.7109375" style="359" customWidth="1"/>
    <col min="11022" max="11022" width="5.140625" style="359" customWidth="1"/>
    <col min="11023" max="11023" width="9.7109375" style="359" customWidth="1"/>
    <col min="11024" max="11024" width="12.7109375" style="359" customWidth="1"/>
    <col min="11025" max="11025" width="5.140625" style="359" customWidth="1"/>
    <col min="11026" max="11026" width="9.7109375" style="359" customWidth="1"/>
    <col min="11027" max="11027" width="12.7109375" style="359" customWidth="1"/>
    <col min="11028" max="11028" width="5.140625" style="359" customWidth="1"/>
    <col min="11029" max="11029" width="9.7109375" style="359" customWidth="1"/>
    <col min="11030" max="11030" width="12.7109375" style="359" customWidth="1"/>
    <col min="11031" max="11031" width="5.140625" style="359" customWidth="1"/>
    <col min="11032" max="11032" width="9.7109375" style="359" customWidth="1"/>
    <col min="11033" max="11033" width="12.7109375" style="359" customWidth="1"/>
    <col min="11034" max="11034" width="5.140625" style="359" customWidth="1"/>
    <col min="11035" max="11035" width="9.7109375" style="359" customWidth="1"/>
    <col min="11036" max="11036" width="12.7109375" style="359" customWidth="1"/>
    <col min="11037" max="11037" width="37.7109375" style="359" customWidth="1"/>
    <col min="11038" max="11240" width="9.140625" style="359"/>
    <col min="11241" max="11241" width="1.7109375" style="359" customWidth="1"/>
    <col min="11242" max="11242" width="3.5703125" style="359" customWidth="1"/>
    <col min="11243" max="11243" width="11" style="359" customWidth="1"/>
    <col min="11244" max="11244" width="20.7109375" style="359" customWidth="1"/>
    <col min="11245" max="11246" width="11.7109375" style="359" customWidth="1"/>
    <col min="11247" max="11247" width="9.7109375" style="359" customWidth="1"/>
    <col min="11248" max="11248" width="10.140625" style="359" bestFit="1" customWidth="1"/>
    <col min="11249" max="11250" width="7.7109375" style="359" customWidth="1"/>
    <col min="11251" max="11251" width="4" style="359" customWidth="1"/>
    <col min="11252" max="11252" width="9.7109375" style="359" customWidth="1"/>
    <col min="11253" max="11253" width="15.140625" style="359" customWidth="1"/>
    <col min="11254" max="11254" width="5.140625" style="359" customWidth="1"/>
    <col min="11255" max="11255" width="9.7109375" style="359" customWidth="1"/>
    <col min="11256" max="11256" width="13.7109375" style="359" customWidth="1"/>
    <col min="11257" max="11257" width="5.140625" style="359" customWidth="1"/>
    <col min="11258" max="11258" width="9.7109375" style="359" customWidth="1"/>
    <col min="11259" max="11259" width="12.5703125" style="359" customWidth="1"/>
    <col min="11260" max="11260" width="5.140625" style="359" customWidth="1"/>
    <col min="11261" max="11261" width="9.7109375" style="359" customWidth="1"/>
    <col min="11262" max="11262" width="12.7109375" style="359" customWidth="1"/>
    <col min="11263" max="11263" width="5.140625" style="359" customWidth="1"/>
    <col min="11264" max="11264" width="9.7109375" style="359" customWidth="1"/>
    <col min="11265" max="11265" width="12.7109375" style="359" customWidth="1"/>
    <col min="11266" max="11266" width="5.140625" style="359" customWidth="1"/>
    <col min="11267" max="11267" width="9.7109375" style="359" customWidth="1"/>
    <col min="11268" max="11268" width="12.7109375" style="359" customWidth="1"/>
    <col min="11269" max="11269" width="5.140625" style="359" customWidth="1"/>
    <col min="11270" max="11270" width="9.7109375" style="359" customWidth="1"/>
    <col min="11271" max="11271" width="12.7109375" style="359" customWidth="1"/>
    <col min="11272" max="11272" width="5.140625" style="359" customWidth="1"/>
    <col min="11273" max="11273" width="9.7109375" style="359" customWidth="1"/>
    <col min="11274" max="11274" width="12.7109375" style="359" customWidth="1"/>
    <col min="11275" max="11275" width="5.140625" style="359" customWidth="1"/>
    <col min="11276" max="11276" width="9.7109375" style="359" customWidth="1"/>
    <col min="11277" max="11277" width="12.7109375" style="359" customWidth="1"/>
    <col min="11278" max="11278" width="5.140625" style="359" customWidth="1"/>
    <col min="11279" max="11279" width="9.7109375" style="359" customWidth="1"/>
    <col min="11280" max="11280" width="12.7109375" style="359" customWidth="1"/>
    <col min="11281" max="11281" width="5.140625" style="359" customWidth="1"/>
    <col min="11282" max="11282" width="9.7109375" style="359" customWidth="1"/>
    <col min="11283" max="11283" width="12.7109375" style="359" customWidth="1"/>
    <col min="11284" max="11284" width="5.140625" style="359" customWidth="1"/>
    <col min="11285" max="11285" width="9.7109375" style="359" customWidth="1"/>
    <col min="11286" max="11286" width="12.7109375" style="359" customWidth="1"/>
    <col min="11287" max="11287" width="5.140625" style="359" customWidth="1"/>
    <col min="11288" max="11288" width="9.7109375" style="359" customWidth="1"/>
    <col min="11289" max="11289" width="12.7109375" style="359" customWidth="1"/>
    <col min="11290" max="11290" width="5.140625" style="359" customWidth="1"/>
    <col min="11291" max="11291" width="9.7109375" style="359" customWidth="1"/>
    <col min="11292" max="11292" width="12.7109375" style="359" customWidth="1"/>
    <col min="11293" max="11293" width="37.7109375" style="359" customWidth="1"/>
    <col min="11294" max="11496" width="9.140625" style="359"/>
    <col min="11497" max="11497" width="1.7109375" style="359" customWidth="1"/>
    <col min="11498" max="11498" width="3.5703125" style="359" customWidth="1"/>
    <col min="11499" max="11499" width="11" style="359" customWidth="1"/>
    <col min="11500" max="11500" width="20.7109375" style="359" customWidth="1"/>
    <col min="11501" max="11502" width="11.7109375" style="359" customWidth="1"/>
    <col min="11503" max="11503" width="9.7109375" style="359" customWidth="1"/>
    <col min="11504" max="11504" width="10.140625" style="359" bestFit="1" customWidth="1"/>
    <col min="11505" max="11506" width="7.7109375" style="359" customWidth="1"/>
    <col min="11507" max="11507" width="4" style="359" customWidth="1"/>
    <col min="11508" max="11508" width="9.7109375" style="359" customWidth="1"/>
    <col min="11509" max="11509" width="15.140625" style="359" customWidth="1"/>
    <col min="11510" max="11510" width="5.140625" style="359" customWidth="1"/>
    <col min="11511" max="11511" width="9.7109375" style="359" customWidth="1"/>
    <col min="11512" max="11512" width="13.7109375" style="359" customWidth="1"/>
    <col min="11513" max="11513" width="5.140625" style="359" customWidth="1"/>
    <col min="11514" max="11514" width="9.7109375" style="359" customWidth="1"/>
    <col min="11515" max="11515" width="12.5703125" style="359" customWidth="1"/>
    <col min="11516" max="11516" width="5.140625" style="359" customWidth="1"/>
    <col min="11517" max="11517" width="9.7109375" style="359" customWidth="1"/>
    <col min="11518" max="11518" width="12.7109375" style="359" customWidth="1"/>
    <col min="11519" max="11519" width="5.140625" style="359" customWidth="1"/>
    <col min="11520" max="11520" width="9.7109375" style="359" customWidth="1"/>
    <col min="11521" max="11521" width="12.7109375" style="359" customWidth="1"/>
    <col min="11522" max="11522" width="5.140625" style="359" customWidth="1"/>
    <col min="11523" max="11523" width="9.7109375" style="359" customWidth="1"/>
    <col min="11524" max="11524" width="12.7109375" style="359" customWidth="1"/>
    <col min="11525" max="11525" width="5.140625" style="359" customWidth="1"/>
    <col min="11526" max="11526" width="9.7109375" style="359" customWidth="1"/>
    <col min="11527" max="11527" width="12.7109375" style="359" customWidth="1"/>
    <col min="11528" max="11528" width="5.140625" style="359" customWidth="1"/>
    <col min="11529" max="11529" width="9.7109375" style="359" customWidth="1"/>
    <col min="11530" max="11530" width="12.7109375" style="359" customWidth="1"/>
    <col min="11531" max="11531" width="5.140625" style="359" customWidth="1"/>
    <col min="11532" max="11532" width="9.7109375" style="359" customWidth="1"/>
    <col min="11533" max="11533" width="12.7109375" style="359" customWidth="1"/>
    <col min="11534" max="11534" width="5.140625" style="359" customWidth="1"/>
    <col min="11535" max="11535" width="9.7109375" style="359" customWidth="1"/>
    <col min="11536" max="11536" width="12.7109375" style="359" customWidth="1"/>
    <col min="11537" max="11537" width="5.140625" style="359" customWidth="1"/>
    <col min="11538" max="11538" width="9.7109375" style="359" customWidth="1"/>
    <col min="11539" max="11539" width="12.7109375" style="359" customWidth="1"/>
    <col min="11540" max="11540" width="5.140625" style="359" customWidth="1"/>
    <col min="11541" max="11541" width="9.7109375" style="359" customWidth="1"/>
    <col min="11542" max="11542" width="12.7109375" style="359" customWidth="1"/>
    <col min="11543" max="11543" width="5.140625" style="359" customWidth="1"/>
    <col min="11544" max="11544" width="9.7109375" style="359" customWidth="1"/>
    <col min="11545" max="11545" width="12.7109375" style="359" customWidth="1"/>
    <col min="11546" max="11546" width="5.140625" style="359" customWidth="1"/>
    <col min="11547" max="11547" width="9.7109375" style="359" customWidth="1"/>
    <col min="11548" max="11548" width="12.7109375" style="359" customWidth="1"/>
    <col min="11549" max="11549" width="37.7109375" style="359" customWidth="1"/>
    <col min="11550" max="11752" width="9.140625" style="359"/>
    <col min="11753" max="11753" width="1.7109375" style="359" customWidth="1"/>
    <col min="11754" max="11754" width="3.5703125" style="359" customWidth="1"/>
    <col min="11755" max="11755" width="11" style="359" customWidth="1"/>
    <col min="11756" max="11756" width="20.7109375" style="359" customWidth="1"/>
    <col min="11757" max="11758" width="11.7109375" style="359" customWidth="1"/>
    <col min="11759" max="11759" width="9.7109375" style="359" customWidth="1"/>
    <col min="11760" max="11760" width="10.140625" style="359" bestFit="1" customWidth="1"/>
    <col min="11761" max="11762" width="7.7109375" style="359" customWidth="1"/>
    <col min="11763" max="11763" width="4" style="359" customWidth="1"/>
    <col min="11764" max="11764" width="9.7109375" style="359" customWidth="1"/>
    <col min="11765" max="11765" width="15.140625" style="359" customWidth="1"/>
    <col min="11766" max="11766" width="5.140625" style="359" customWidth="1"/>
    <col min="11767" max="11767" width="9.7109375" style="359" customWidth="1"/>
    <col min="11768" max="11768" width="13.7109375" style="359" customWidth="1"/>
    <col min="11769" max="11769" width="5.140625" style="359" customWidth="1"/>
    <col min="11770" max="11770" width="9.7109375" style="359" customWidth="1"/>
    <col min="11771" max="11771" width="12.5703125" style="359" customWidth="1"/>
    <col min="11772" max="11772" width="5.140625" style="359" customWidth="1"/>
    <col min="11773" max="11773" width="9.7109375" style="359" customWidth="1"/>
    <col min="11774" max="11774" width="12.7109375" style="359" customWidth="1"/>
    <col min="11775" max="11775" width="5.140625" style="359" customWidth="1"/>
    <col min="11776" max="11776" width="9.7109375" style="359" customWidth="1"/>
    <col min="11777" max="11777" width="12.7109375" style="359" customWidth="1"/>
    <col min="11778" max="11778" width="5.140625" style="359" customWidth="1"/>
    <col min="11779" max="11779" width="9.7109375" style="359" customWidth="1"/>
    <col min="11780" max="11780" width="12.7109375" style="359" customWidth="1"/>
    <col min="11781" max="11781" width="5.140625" style="359" customWidth="1"/>
    <col min="11782" max="11782" width="9.7109375" style="359" customWidth="1"/>
    <col min="11783" max="11783" width="12.7109375" style="359" customWidth="1"/>
    <col min="11784" max="11784" width="5.140625" style="359" customWidth="1"/>
    <col min="11785" max="11785" width="9.7109375" style="359" customWidth="1"/>
    <col min="11786" max="11786" width="12.7109375" style="359" customWidth="1"/>
    <col min="11787" max="11787" width="5.140625" style="359" customWidth="1"/>
    <col min="11788" max="11788" width="9.7109375" style="359" customWidth="1"/>
    <col min="11789" max="11789" width="12.7109375" style="359" customWidth="1"/>
    <col min="11790" max="11790" width="5.140625" style="359" customWidth="1"/>
    <col min="11791" max="11791" width="9.7109375" style="359" customWidth="1"/>
    <col min="11792" max="11792" width="12.7109375" style="359" customWidth="1"/>
    <col min="11793" max="11793" width="5.140625" style="359" customWidth="1"/>
    <col min="11794" max="11794" width="9.7109375" style="359" customWidth="1"/>
    <col min="11795" max="11795" width="12.7109375" style="359" customWidth="1"/>
    <col min="11796" max="11796" width="5.140625" style="359" customWidth="1"/>
    <col min="11797" max="11797" width="9.7109375" style="359" customWidth="1"/>
    <col min="11798" max="11798" width="12.7109375" style="359" customWidth="1"/>
    <col min="11799" max="11799" width="5.140625" style="359" customWidth="1"/>
    <col min="11800" max="11800" width="9.7109375" style="359" customWidth="1"/>
    <col min="11801" max="11801" width="12.7109375" style="359" customWidth="1"/>
    <col min="11802" max="11802" width="5.140625" style="359" customWidth="1"/>
    <col min="11803" max="11803" width="9.7109375" style="359" customWidth="1"/>
    <col min="11804" max="11804" width="12.7109375" style="359" customWidth="1"/>
    <col min="11805" max="11805" width="37.7109375" style="359" customWidth="1"/>
    <col min="11806" max="12008" width="9.140625" style="359"/>
    <col min="12009" max="12009" width="1.7109375" style="359" customWidth="1"/>
    <col min="12010" max="12010" width="3.5703125" style="359" customWidth="1"/>
    <col min="12011" max="12011" width="11" style="359" customWidth="1"/>
    <col min="12012" max="12012" width="20.7109375" style="359" customWidth="1"/>
    <col min="12013" max="12014" width="11.7109375" style="359" customWidth="1"/>
    <col min="12015" max="12015" width="9.7109375" style="359" customWidth="1"/>
    <col min="12016" max="12016" width="10.140625" style="359" bestFit="1" customWidth="1"/>
    <col min="12017" max="12018" width="7.7109375" style="359" customWidth="1"/>
    <col min="12019" max="12019" width="4" style="359" customWidth="1"/>
    <col min="12020" max="12020" width="9.7109375" style="359" customWidth="1"/>
    <col min="12021" max="12021" width="15.140625" style="359" customWidth="1"/>
    <col min="12022" max="12022" width="5.140625" style="359" customWidth="1"/>
    <col min="12023" max="12023" width="9.7109375" style="359" customWidth="1"/>
    <col min="12024" max="12024" width="13.7109375" style="359" customWidth="1"/>
    <col min="12025" max="12025" width="5.140625" style="359" customWidth="1"/>
    <col min="12026" max="12026" width="9.7109375" style="359" customWidth="1"/>
    <col min="12027" max="12027" width="12.5703125" style="359" customWidth="1"/>
    <col min="12028" max="12028" width="5.140625" style="359" customWidth="1"/>
    <col min="12029" max="12029" width="9.7109375" style="359" customWidth="1"/>
    <col min="12030" max="12030" width="12.7109375" style="359" customWidth="1"/>
    <col min="12031" max="12031" width="5.140625" style="359" customWidth="1"/>
    <col min="12032" max="12032" width="9.7109375" style="359" customWidth="1"/>
    <col min="12033" max="12033" width="12.7109375" style="359" customWidth="1"/>
    <col min="12034" max="12034" width="5.140625" style="359" customWidth="1"/>
    <col min="12035" max="12035" width="9.7109375" style="359" customWidth="1"/>
    <col min="12036" max="12036" width="12.7109375" style="359" customWidth="1"/>
    <col min="12037" max="12037" width="5.140625" style="359" customWidth="1"/>
    <col min="12038" max="12038" width="9.7109375" style="359" customWidth="1"/>
    <col min="12039" max="12039" width="12.7109375" style="359" customWidth="1"/>
    <col min="12040" max="12040" width="5.140625" style="359" customWidth="1"/>
    <col min="12041" max="12041" width="9.7109375" style="359" customWidth="1"/>
    <col min="12042" max="12042" width="12.7109375" style="359" customWidth="1"/>
    <col min="12043" max="12043" width="5.140625" style="359" customWidth="1"/>
    <col min="12044" max="12044" width="9.7109375" style="359" customWidth="1"/>
    <col min="12045" max="12045" width="12.7109375" style="359" customWidth="1"/>
    <col min="12046" max="12046" width="5.140625" style="359" customWidth="1"/>
    <col min="12047" max="12047" width="9.7109375" style="359" customWidth="1"/>
    <col min="12048" max="12048" width="12.7109375" style="359" customWidth="1"/>
    <col min="12049" max="12049" width="5.140625" style="359" customWidth="1"/>
    <col min="12050" max="12050" width="9.7109375" style="359" customWidth="1"/>
    <col min="12051" max="12051" width="12.7109375" style="359" customWidth="1"/>
    <col min="12052" max="12052" width="5.140625" style="359" customWidth="1"/>
    <col min="12053" max="12053" width="9.7109375" style="359" customWidth="1"/>
    <col min="12054" max="12054" width="12.7109375" style="359" customWidth="1"/>
    <col min="12055" max="12055" width="5.140625" style="359" customWidth="1"/>
    <col min="12056" max="12056" width="9.7109375" style="359" customWidth="1"/>
    <col min="12057" max="12057" width="12.7109375" style="359" customWidth="1"/>
    <col min="12058" max="12058" width="5.140625" style="359" customWidth="1"/>
    <col min="12059" max="12059" width="9.7109375" style="359" customWidth="1"/>
    <col min="12060" max="12060" width="12.7109375" style="359" customWidth="1"/>
    <col min="12061" max="12061" width="37.7109375" style="359" customWidth="1"/>
    <col min="12062" max="12264" width="9.140625" style="359"/>
    <col min="12265" max="12265" width="1.7109375" style="359" customWidth="1"/>
    <col min="12266" max="12266" width="3.5703125" style="359" customWidth="1"/>
    <col min="12267" max="12267" width="11" style="359" customWidth="1"/>
    <col min="12268" max="12268" width="20.7109375" style="359" customWidth="1"/>
    <col min="12269" max="12270" width="11.7109375" style="359" customWidth="1"/>
    <col min="12271" max="12271" width="9.7109375" style="359" customWidth="1"/>
    <col min="12272" max="12272" width="10.140625" style="359" bestFit="1" customWidth="1"/>
    <col min="12273" max="12274" width="7.7109375" style="359" customWidth="1"/>
    <col min="12275" max="12275" width="4" style="359" customWidth="1"/>
    <col min="12276" max="12276" width="9.7109375" style="359" customWidth="1"/>
    <col min="12277" max="12277" width="15.140625" style="359" customWidth="1"/>
    <col min="12278" max="12278" width="5.140625" style="359" customWidth="1"/>
    <col min="12279" max="12279" width="9.7109375" style="359" customWidth="1"/>
    <col min="12280" max="12280" width="13.7109375" style="359" customWidth="1"/>
    <col min="12281" max="12281" width="5.140625" style="359" customWidth="1"/>
    <col min="12282" max="12282" width="9.7109375" style="359" customWidth="1"/>
    <col min="12283" max="12283" width="12.5703125" style="359" customWidth="1"/>
    <col min="12284" max="12284" width="5.140625" style="359" customWidth="1"/>
    <col min="12285" max="12285" width="9.7109375" style="359" customWidth="1"/>
    <col min="12286" max="12286" width="12.7109375" style="359" customWidth="1"/>
    <col min="12287" max="12287" width="5.140625" style="359" customWidth="1"/>
    <col min="12288" max="12288" width="9.7109375" style="359" customWidth="1"/>
    <col min="12289" max="12289" width="12.7109375" style="359" customWidth="1"/>
    <col min="12290" max="12290" width="5.140625" style="359" customWidth="1"/>
    <col min="12291" max="12291" width="9.7109375" style="359" customWidth="1"/>
    <col min="12292" max="12292" width="12.7109375" style="359" customWidth="1"/>
    <col min="12293" max="12293" width="5.140625" style="359" customWidth="1"/>
    <col min="12294" max="12294" width="9.7109375" style="359" customWidth="1"/>
    <col min="12295" max="12295" width="12.7109375" style="359" customWidth="1"/>
    <col min="12296" max="12296" width="5.140625" style="359" customWidth="1"/>
    <col min="12297" max="12297" width="9.7109375" style="359" customWidth="1"/>
    <col min="12298" max="12298" width="12.7109375" style="359" customWidth="1"/>
    <col min="12299" max="12299" width="5.140625" style="359" customWidth="1"/>
    <col min="12300" max="12300" width="9.7109375" style="359" customWidth="1"/>
    <col min="12301" max="12301" width="12.7109375" style="359" customWidth="1"/>
    <col min="12302" max="12302" width="5.140625" style="359" customWidth="1"/>
    <col min="12303" max="12303" width="9.7109375" style="359" customWidth="1"/>
    <col min="12304" max="12304" width="12.7109375" style="359" customWidth="1"/>
    <col min="12305" max="12305" width="5.140625" style="359" customWidth="1"/>
    <col min="12306" max="12306" width="9.7109375" style="359" customWidth="1"/>
    <col min="12307" max="12307" width="12.7109375" style="359" customWidth="1"/>
    <col min="12308" max="12308" width="5.140625" style="359" customWidth="1"/>
    <col min="12309" max="12309" width="9.7109375" style="359" customWidth="1"/>
    <col min="12310" max="12310" width="12.7109375" style="359" customWidth="1"/>
    <col min="12311" max="12311" width="5.140625" style="359" customWidth="1"/>
    <col min="12312" max="12312" width="9.7109375" style="359" customWidth="1"/>
    <col min="12313" max="12313" width="12.7109375" style="359" customWidth="1"/>
    <col min="12314" max="12314" width="5.140625" style="359" customWidth="1"/>
    <col min="12315" max="12315" width="9.7109375" style="359" customWidth="1"/>
    <col min="12316" max="12316" width="12.7109375" style="359" customWidth="1"/>
    <col min="12317" max="12317" width="37.7109375" style="359" customWidth="1"/>
    <col min="12318" max="12520" width="9.140625" style="359"/>
    <col min="12521" max="12521" width="1.7109375" style="359" customWidth="1"/>
    <col min="12522" max="12522" width="3.5703125" style="359" customWidth="1"/>
    <col min="12523" max="12523" width="11" style="359" customWidth="1"/>
    <col min="12524" max="12524" width="20.7109375" style="359" customWidth="1"/>
    <col min="12525" max="12526" width="11.7109375" style="359" customWidth="1"/>
    <col min="12527" max="12527" width="9.7109375" style="359" customWidth="1"/>
    <col min="12528" max="12528" width="10.140625" style="359" bestFit="1" customWidth="1"/>
    <col min="12529" max="12530" width="7.7109375" style="359" customWidth="1"/>
    <col min="12531" max="12531" width="4" style="359" customWidth="1"/>
    <col min="12532" max="12532" width="9.7109375" style="359" customWidth="1"/>
    <col min="12533" max="12533" width="15.140625" style="359" customWidth="1"/>
    <col min="12534" max="12534" width="5.140625" style="359" customWidth="1"/>
    <col min="12535" max="12535" width="9.7109375" style="359" customWidth="1"/>
    <col min="12536" max="12536" width="13.7109375" style="359" customWidth="1"/>
    <col min="12537" max="12537" width="5.140625" style="359" customWidth="1"/>
    <col min="12538" max="12538" width="9.7109375" style="359" customWidth="1"/>
    <col min="12539" max="12539" width="12.5703125" style="359" customWidth="1"/>
    <col min="12540" max="12540" width="5.140625" style="359" customWidth="1"/>
    <col min="12541" max="12541" width="9.7109375" style="359" customWidth="1"/>
    <col min="12542" max="12542" width="12.7109375" style="359" customWidth="1"/>
    <col min="12543" max="12543" width="5.140625" style="359" customWidth="1"/>
    <col min="12544" max="12544" width="9.7109375" style="359" customWidth="1"/>
    <col min="12545" max="12545" width="12.7109375" style="359" customWidth="1"/>
    <col min="12546" max="12546" width="5.140625" style="359" customWidth="1"/>
    <col min="12547" max="12547" width="9.7109375" style="359" customWidth="1"/>
    <col min="12548" max="12548" width="12.7109375" style="359" customWidth="1"/>
    <col min="12549" max="12549" width="5.140625" style="359" customWidth="1"/>
    <col min="12550" max="12550" width="9.7109375" style="359" customWidth="1"/>
    <col min="12551" max="12551" width="12.7109375" style="359" customWidth="1"/>
    <col min="12552" max="12552" width="5.140625" style="359" customWidth="1"/>
    <col min="12553" max="12553" width="9.7109375" style="359" customWidth="1"/>
    <col min="12554" max="12554" width="12.7109375" style="359" customWidth="1"/>
    <col min="12555" max="12555" width="5.140625" style="359" customWidth="1"/>
    <col min="12556" max="12556" width="9.7109375" style="359" customWidth="1"/>
    <col min="12557" max="12557" width="12.7109375" style="359" customWidth="1"/>
    <col min="12558" max="12558" width="5.140625" style="359" customWidth="1"/>
    <col min="12559" max="12559" width="9.7109375" style="359" customWidth="1"/>
    <col min="12560" max="12560" width="12.7109375" style="359" customWidth="1"/>
    <col min="12561" max="12561" width="5.140625" style="359" customWidth="1"/>
    <col min="12562" max="12562" width="9.7109375" style="359" customWidth="1"/>
    <col min="12563" max="12563" width="12.7109375" style="359" customWidth="1"/>
    <col min="12564" max="12564" width="5.140625" style="359" customWidth="1"/>
    <col min="12565" max="12565" width="9.7109375" style="359" customWidth="1"/>
    <col min="12566" max="12566" width="12.7109375" style="359" customWidth="1"/>
    <col min="12567" max="12567" width="5.140625" style="359" customWidth="1"/>
    <col min="12568" max="12568" width="9.7109375" style="359" customWidth="1"/>
    <col min="12569" max="12569" width="12.7109375" style="359" customWidth="1"/>
    <col min="12570" max="12570" width="5.140625" style="359" customWidth="1"/>
    <col min="12571" max="12571" width="9.7109375" style="359" customWidth="1"/>
    <col min="12572" max="12572" width="12.7109375" style="359" customWidth="1"/>
    <col min="12573" max="12573" width="37.7109375" style="359" customWidth="1"/>
    <col min="12574" max="12776" width="9.140625" style="359"/>
    <col min="12777" max="12777" width="1.7109375" style="359" customWidth="1"/>
    <col min="12778" max="12778" width="3.5703125" style="359" customWidth="1"/>
    <col min="12779" max="12779" width="11" style="359" customWidth="1"/>
    <col min="12780" max="12780" width="20.7109375" style="359" customWidth="1"/>
    <col min="12781" max="12782" width="11.7109375" style="359" customWidth="1"/>
    <col min="12783" max="12783" width="9.7109375" style="359" customWidth="1"/>
    <col min="12784" max="12784" width="10.140625" style="359" bestFit="1" customWidth="1"/>
    <col min="12785" max="12786" width="7.7109375" style="359" customWidth="1"/>
    <col min="12787" max="12787" width="4" style="359" customWidth="1"/>
    <col min="12788" max="12788" width="9.7109375" style="359" customWidth="1"/>
    <col min="12789" max="12789" width="15.140625" style="359" customWidth="1"/>
    <col min="12790" max="12790" width="5.140625" style="359" customWidth="1"/>
    <col min="12791" max="12791" width="9.7109375" style="359" customWidth="1"/>
    <col min="12792" max="12792" width="13.7109375" style="359" customWidth="1"/>
    <col min="12793" max="12793" width="5.140625" style="359" customWidth="1"/>
    <col min="12794" max="12794" width="9.7109375" style="359" customWidth="1"/>
    <col min="12795" max="12795" width="12.5703125" style="359" customWidth="1"/>
    <col min="12796" max="12796" width="5.140625" style="359" customWidth="1"/>
    <col min="12797" max="12797" width="9.7109375" style="359" customWidth="1"/>
    <col min="12798" max="12798" width="12.7109375" style="359" customWidth="1"/>
    <col min="12799" max="12799" width="5.140625" style="359" customWidth="1"/>
    <col min="12800" max="12800" width="9.7109375" style="359" customWidth="1"/>
    <col min="12801" max="12801" width="12.7109375" style="359" customWidth="1"/>
    <col min="12802" max="12802" width="5.140625" style="359" customWidth="1"/>
    <col min="12803" max="12803" width="9.7109375" style="359" customWidth="1"/>
    <col min="12804" max="12804" width="12.7109375" style="359" customWidth="1"/>
    <col min="12805" max="12805" width="5.140625" style="359" customWidth="1"/>
    <col min="12806" max="12806" width="9.7109375" style="359" customWidth="1"/>
    <col min="12807" max="12807" width="12.7109375" style="359" customWidth="1"/>
    <col min="12808" max="12808" width="5.140625" style="359" customWidth="1"/>
    <col min="12809" max="12809" width="9.7109375" style="359" customWidth="1"/>
    <col min="12810" max="12810" width="12.7109375" style="359" customWidth="1"/>
    <col min="12811" max="12811" width="5.140625" style="359" customWidth="1"/>
    <col min="12812" max="12812" width="9.7109375" style="359" customWidth="1"/>
    <col min="12813" max="12813" width="12.7109375" style="359" customWidth="1"/>
    <col min="12814" max="12814" width="5.140625" style="359" customWidth="1"/>
    <col min="12815" max="12815" width="9.7109375" style="359" customWidth="1"/>
    <col min="12816" max="12816" width="12.7109375" style="359" customWidth="1"/>
    <col min="12817" max="12817" width="5.140625" style="359" customWidth="1"/>
    <col min="12818" max="12818" width="9.7109375" style="359" customWidth="1"/>
    <col min="12819" max="12819" width="12.7109375" style="359" customWidth="1"/>
    <col min="12820" max="12820" width="5.140625" style="359" customWidth="1"/>
    <col min="12821" max="12821" width="9.7109375" style="359" customWidth="1"/>
    <col min="12822" max="12822" width="12.7109375" style="359" customWidth="1"/>
    <col min="12823" max="12823" width="5.140625" style="359" customWidth="1"/>
    <col min="12824" max="12824" width="9.7109375" style="359" customWidth="1"/>
    <col min="12825" max="12825" width="12.7109375" style="359" customWidth="1"/>
    <col min="12826" max="12826" width="5.140625" style="359" customWidth="1"/>
    <col min="12827" max="12827" width="9.7109375" style="359" customWidth="1"/>
    <col min="12828" max="12828" width="12.7109375" style="359" customWidth="1"/>
    <col min="12829" max="12829" width="37.7109375" style="359" customWidth="1"/>
    <col min="12830" max="13032" width="9.140625" style="359"/>
    <col min="13033" max="13033" width="1.7109375" style="359" customWidth="1"/>
    <col min="13034" max="13034" width="3.5703125" style="359" customWidth="1"/>
    <col min="13035" max="13035" width="11" style="359" customWidth="1"/>
    <col min="13036" max="13036" width="20.7109375" style="359" customWidth="1"/>
    <col min="13037" max="13038" width="11.7109375" style="359" customWidth="1"/>
    <col min="13039" max="13039" width="9.7109375" style="359" customWidth="1"/>
    <col min="13040" max="13040" width="10.140625" style="359" bestFit="1" customWidth="1"/>
    <col min="13041" max="13042" width="7.7109375" style="359" customWidth="1"/>
    <col min="13043" max="13043" width="4" style="359" customWidth="1"/>
    <col min="13044" max="13044" width="9.7109375" style="359" customWidth="1"/>
    <col min="13045" max="13045" width="15.140625" style="359" customWidth="1"/>
    <col min="13046" max="13046" width="5.140625" style="359" customWidth="1"/>
    <col min="13047" max="13047" width="9.7109375" style="359" customWidth="1"/>
    <col min="13048" max="13048" width="13.7109375" style="359" customWidth="1"/>
    <col min="13049" max="13049" width="5.140625" style="359" customWidth="1"/>
    <col min="13050" max="13050" width="9.7109375" style="359" customWidth="1"/>
    <col min="13051" max="13051" width="12.5703125" style="359" customWidth="1"/>
    <col min="13052" max="13052" width="5.140625" style="359" customWidth="1"/>
    <col min="13053" max="13053" width="9.7109375" style="359" customWidth="1"/>
    <col min="13054" max="13054" width="12.7109375" style="359" customWidth="1"/>
    <col min="13055" max="13055" width="5.140625" style="359" customWidth="1"/>
    <col min="13056" max="13056" width="9.7109375" style="359" customWidth="1"/>
    <col min="13057" max="13057" width="12.7109375" style="359" customWidth="1"/>
    <col min="13058" max="13058" width="5.140625" style="359" customWidth="1"/>
    <col min="13059" max="13059" width="9.7109375" style="359" customWidth="1"/>
    <col min="13060" max="13060" width="12.7109375" style="359" customWidth="1"/>
    <col min="13061" max="13061" width="5.140625" style="359" customWidth="1"/>
    <col min="13062" max="13062" width="9.7109375" style="359" customWidth="1"/>
    <col min="13063" max="13063" width="12.7109375" style="359" customWidth="1"/>
    <col min="13064" max="13064" width="5.140625" style="359" customWidth="1"/>
    <col min="13065" max="13065" width="9.7109375" style="359" customWidth="1"/>
    <col min="13066" max="13066" width="12.7109375" style="359" customWidth="1"/>
    <col min="13067" max="13067" width="5.140625" style="359" customWidth="1"/>
    <col min="13068" max="13068" width="9.7109375" style="359" customWidth="1"/>
    <col min="13069" max="13069" width="12.7109375" style="359" customWidth="1"/>
    <col min="13070" max="13070" width="5.140625" style="359" customWidth="1"/>
    <col min="13071" max="13071" width="9.7109375" style="359" customWidth="1"/>
    <col min="13072" max="13072" width="12.7109375" style="359" customWidth="1"/>
    <col min="13073" max="13073" width="5.140625" style="359" customWidth="1"/>
    <col min="13074" max="13074" width="9.7109375" style="359" customWidth="1"/>
    <col min="13075" max="13075" width="12.7109375" style="359" customWidth="1"/>
    <col min="13076" max="13076" width="5.140625" style="359" customWidth="1"/>
    <col min="13077" max="13077" width="9.7109375" style="359" customWidth="1"/>
    <col min="13078" max="13078" width="12.7109375" style="359" customWidth="1"/>
    <col min="13079" max="13079" width="5.140625" style="359" customWidth="1"/>
    <col min="13080" max="13080" width="9.7109375" style="359" customWidth="1"/>
    <col min="13081" max="13081" width="12.7109375" style="359" customWidth="1"/>
    <col min="13082" max="13082" width="5.140625" style="359" customWidth="1"/>
    <col min="13083" max="13083" width="9.7109375" style="359" customWidth="1"/>
    <col min="13084" max="13084" width="12.7109375" style="359" customWidth="1"/>
    <col min="13085" max="13085" width="37.7109375" style="359" customWidth="1"/>
    <col min="13086" max="13288" width="9.140625" style="359"/>
    <col min="13289" max="13289" width="1.7109375" style="359" customWidth="1"/>
    <col min="13290" max="13290" width="3.5703125" style="359" customWidth="1"/>
    <col min="13291" max="13291" width="11" style="359" customWidth="1"/>
    <col min="13292" max="13292" width="20.7109375" style="359" customWidth="1"/>
    <col min="13293" max="13294" width="11.7109375" style="359" customWidth="1"/>
    <col min="13295" max="13295" width="9.7109375" style="359" customWidth="1"/>
    <col min="13296" max="13296" width="10.140625" style="359" bestFit="1" customWidth="1"/>
    <col min="13297" max="13298" width="7.7109375" style="359" customWidth="1"/>
    <col min="13299" max="13299" width="4" style="359" customWidth="1"/>
    <col min="13300" max="13300" width="9.7109375" style="359" customWidth="1"/>
    <col min="13301" max="13301" width="15.140625" style="359" customWidth="1"/>
    <col min="13302" max="13302" width="5.140625" style="359" customWidth="1"/>
    <col min="13303" max="13303" width="9.7109375" style="359" customWidth="1"/>
    <col min="13304" max="13304" width="13.7109375" style="359" customWidth="1"/>
    <col min="13305" max="13305" width="5.140625" style="359" customWidth="1"/>
    <col min="13306" max="13306" width="9.7109375" style="359" customWidth="1"/>
    <col min="13307" max="13307" width="12.5703125" style="359" customWidth="1"/>
    <col min="13308" max="13308" width="5.140625" style="359" customWidth="1"/>
    <col min="13309" max="13309" width="9.7109375" style="359" customWidth="1"/>
    <col min="13310" max="13310" width="12.7109375" style="359" customWidth="1"/>
    <col min="13311" max="13311" width="5.140625" style="359" customWidth="1"/>
    <col min="13312" max="13312" width="9.7109375" style="359" customWidth="1"/>
    <col min="13313" max="13313" width="12.7109375" style="359" customWidth="1"/>
    <col min="13314" max="13314" width="5.140625" style="359" customWidth="1"/>
    <col min="13315" max="13315" width="9.7109375" style="359" customWidth="1"/>
    <col min="13316" max="13316" width="12.7109375" style="359" customWidth="1"/>
    <col min="13317" max="13317" width="5.140625" style="359" customWidth="1"/>
    <col min="13318" max="13318" width="9.7109375" style="359" customWidth="1"/>
    <col min="13319" max="13319" width="12.7109375" style="359" customWidth="1"/>
    <col min="13320" max="13320" width="5.140625" style="359" customWidth="1"/>
    <col min="13321" max="13321" width="9.7109375" style="359" customWidth="1"/>
    <col min="13322" max="13322" width="12.7109375" style="359" customWidth="1"/>
    <col min="13323" max="13323" width="5.140625" style="359" customWidth="1"/>
    <col min="13324" max="13324" width="9.7109375" style="359" customWidth="1"/>
    <col min="13325" max="13325" width="12.7109375" style="359" customWidth="1"/>
    <col min="13326" max="13326" width="5.140625" style="359" customWidth="1"/>
    <col min="13327" max="13327" width="9.7109375" style="359" customWidth="1"/>
    <col min="13328" max="13328" width="12.7109375" style="359" customWidth="1"/>
    <col min="13329" max="13329" width="5.140625" style="359" customWidth="1"/>
    <col min="13330" max="13330" width="9.7109375" style="359" customWidth="1"/>
    <col min="13331" max="13331" width="12.7109375" style="359" customWidth="1"/>
    <col min="13332" max="13332" width="5.140625" style="359" customWidth="1"/>
    <col min="13333" max="13333" width="9.7109375" style="359" customWidth="1"/>
    <col min="13334" max="13334" width="12.7109375" style="359" customWidth="1"/>
    <col min="13335" max="13335" width="5.140625" style="359" customWidth="1"/>
    <col min="13336" max="13336" width="9.7109375" style="359" customWidth="1"/>
    <col min="13337" max="13337" width="12.7109375" style="359" customWidth="1"/>
    <col min="13338" max="13338" width="5.140625" style="359" customWidth="1"/>
    <col min="13339" max="13339" width="9.7109375" style="359" customWidth="1"/>
    <col min="13340" max="13340" width="12.7109375" style="359" customWidth="1"/>
    <col min="13341" max="13341" width="37.7109375" style="359" customWidth="1"/>
    <col min="13342" max="13544" width="9.140625" style="359"/>
    <col min="13545" max="13545" width="1.7109375" style="359" customWidth="1"/>
    <col min="13546" max="13546" width="3.5703125" style="359" customWidth="1"/>
    <col min="13547" max="13547" width="11" style="359" customWidth="1"/>
    <col min="13548" max="13548" width="20.7109375" style="359" customWidth="1"/>
    <col min="13549" max="13550" width="11.7109375" style="359" customWidth="1"/>
    <col min="13551" max="13551" width="9.7109375" style="359" customWidth="1"/>
    <col min="13552" max="13552" width="10.140625" style="359" bestFit="1" customWidth="1"/>
    <col min="13553" max="13554" width="7.7109375" style="359" customWidth="1"/>
    <col min="13555" max="13555" width="4" style="359" customWidth="1"/>
    <col min="13556" max="13556" width="9.7109375" style="359" customWidth="1"/>
    <col min="13557" max="13557" width="15.140625" style="359" customWidth="1"/>
    <col min="13558" max="13558" width="5.140625" style="359" customWidth="1"/>
    <col min="13559" max="13559" width="9.7109375" style="359" customWidth="1"/>
    <col min="13560" max="13560" width="13.7109375" style="359" customWidth="1"/>
    <col min="13561" max="13561" width="5.140625" style="359" customWidth="1"/>
    <col min="13562" max="13562" width="9.7109375" style="359" customWidth="1"/>
    <col min="13563" max="13563" width="12.5703125" style="359" customWidth="1"/>
    <col min="13564" max="13564" width="5.140625" style="359" customWidth="1"/>
    <col min="13565" max="13565" width="9.7109375" style="359" customWidth="1"/>
    <col min="13566" max="13566" width="12.7109375" style="359" customWidth="1"/>
    <col min="13567" max="13567" width="5.140625" style="359" customWidth="1"/>
    <col min="13568" max="13568" width="9.7109375" style="359" customWidth="1"/>
    <col min="13569" max="13569" width="12.7109375" style="359" customWidth="1"/>
    <col min="13570" max="13570" width="5.140625" style="359" customWidth="1"/>
    <col min="13571" max="13571" width="9.7109375" style="359" customWidth="1"/>
    <col min="13572" max="13572" width="12.7109375" style="359" customWidth="1"/>
    <col min="13573" max="13573" width="5.140625" style="359" customWidth="1"/>
    <col min="13574" max="13574" width="9.7109375" style="359" customWidth="1"/>
    <col min="13575" max="13575" width="12.7109375" style="359" customWidth="1"/>
    <col min="13576" max="13576" width="5.140625" style="359" customWidth="1"/>
    <col min="13577" max="13577" width="9.7109375" style="359" customWidth="1"/>
    <col min="13578" max="13578" width="12.7109375" style="359" customWidth="1"/>
    <col min="13579" max="13579" width="5.140625" style="359" customWidth="1"/>
    <col min="13580" max="13580" width="9.7109375" style="359" customWidth="1"/>
    <col min="13581" max="13581" width="12.7109375" style="359" customWidth="1"/>
    <col min="13582" max="13582" width="5.140625" style="359" customWidth="1"/>
    <col min="13583" max="13583" width="9.7109375" style="359" customWidth="1"/>
    <col min="13584" max="13584" width="12.7109375" style="359" customWidth="1"/>
    <col min="13585" max="13585" width="5.140625" style="359" customWidth="1"/>
    <col min="13586" max="13586" width="9.7109375" style="359" customWidth="1"/>
    <col min="13587" max="13587" width="12.7109375" style="359" customWidth="1"/>
    <col min="13588" max="13588" width="5.140625" style="359" customWidth="1"/>
    <col min="13589" max="13589" width="9.7109375" style="359" customWidth="1"/>
    <col min="13590" max="13590" width="12.7109375" style="359" customWidth="1"/>
    <col min="13591" max="13591" width="5.140625" style="359" customWidth="1"/>
    <col min="13592" max="13592" width="9.7109375" style="359" customWidth="1"/>
    <col min="13593" max="13593" width="12.7109375" style="359" customWidth="1"/>
    <col min="13594" max="13594" width="5.140625" style="359" customWidth="1"/>
    <col min="13595" max="13595" width="9.7109375" style="359" customWidth="1"/>
    <col min="13596" max="13596" width="12.7109375" style="359" customWidth="1"/>
    <col min="13597" max="13597" width="37.7109375" style="359" customWidth="1"/>
    <col min="13598" max="13800" width="9.140625" style="359"/>
    <col min="13801" max="13801" width="1.7109375" style="359" customWidth="1"/>
    <col min="13802" max="13802" width="3.5703125" style="359" customWidth="1"/>
    <col min="13803" max="13803" width="11" style="359" customWidth="1"/>
    <col min="13804" max="13804" width="20.7109375" style="359" customWidth="1"/>
    <col min="13805" max="13806" width="11.7109375" style="359" customWidth="1"/>
    <col min="13807" max="13807" width="9.7109375" style="359" customWidth="1"/>
    <col min="13808" max="13808" width="10.140625" style="359" bestFit="1" customWidth="1"/>
    <col min="13809" max="13810" width="7.7109375" style="359" customWidth="1"/>
    <col min="13811" max="13811" width="4" style="359" customWidth="1"/>
    <col min="13812" max="13812" width="9.7109375" style="359" customWidth="1"/>
    <col min="13813" max="13813" width="15.140625" style="359" customWidth="1"/>
    <col min="13814" max="13814" width="5.140625" style="359" customWidth="1"/>
    <col min="13815" max="13815" width="9.7109375" style="359" customWidth="1"/>
    <col min="13816" max="13816" width="13.7109375" style="359" customWidth="1"/>
    <col min="13817" max="13817" width="5.140625" style="359" customWidth="1"/>
    <col min="13818" max="13818" width="9.7109375" style="359" customWidth="1"/>
    <col min="13819" max="13819" width="12.5703125" style="359" customWidth="1"/>
    <col min="13820" max="13820" width="5.140625" style="359" customWidth="1"/>
    <col min="13821" max="13821" width="9.7109375" style="359" customWidth="1"/>
    <col min="13822" max="13822" width="12.7109375" style="359" customWidth="1"/>
    <col min="13823" max="13823" width="5.140625" style="359" customWidth="1"/>
    <col min="13824" max="13824" width="9.7109375" style="359" customWidth="1"/>
    <col min="13825" max="13825" width="12.7109375" style="359" customWidth="1"/>
    <col min="13826" max="13826" width="5.140625" style="359" customWidth="1"/>
    <col min="13827" max="13827" width="9.7109375" style="359" customWidth="1"/>
    <col min="13828" max="13828" width="12.7109375" style="359" customWidth="1"/>
    <col min="13829" max="13829" width="5.140625" style="359" customWidth="1"/>
    <col min="13830" max="13830" width="9.7109375" style="359" customWidth="1"/>
    <col min="13831" max="13831" width="12.7109375" style="359" customWidth="1"/>
    <col min="13832" max="13832" width="5.140625" style="359" customWidth="1"/>
    <col min="13833" max="13833" width="9.7109375" style="359" customWidth="1"/>
    <col min="13834" max="13834" width="12.7109375" style="359" customWidth="1"/>
    <col min="13835" max="13835" width="5.140625" style="359" customWidth="1"/>
    <col min="13836" max="13836" width="9.7109375" style="359" customWidth="1"/>
    <col min="13837" max="13837" width="12.7109375" style="359" customWidth="1"/>
    <col min="13838" max="13838" width="5.140625" style="359" customWidth="1"/>
    <col min="13839" max="13839" width="9.7109375" style="359" customWidth="1"/>
    <col min="13840" max="13840" width="12.7109375" style="359" customWidth="1"/>
    <col min="13841" max="13841" width="5.140625" style="359" customWidth="1"/>
    <col min="13842" max="13842" width="9.7109375" style="359" customWidth="1"/>
    <col min="13843" max="13843" width="12.7109375" style="359" customWidth="1"/>
    <col min="13844" max="13844" width="5.140625" style="359" customWidth="1"/>
    <col min="13845" max="13845" width="9.7109375" style="359" customWidth="1"/>
    <col min="13846" max="13846" width="12.7109375" style="359" customWidth="1"/>
    <col min="13847" max="13847" width="5.140625" style="359" customWidth="1"/>
    <col min="13848" max="13848" width="9.7109375" style="359" customWidth="1"/>
    <col min="13849" max="13849" width="12.7109375" style="359" customWidth="1"/>
    <col min="13850" max="13850" width="5.140625" style="359" customWidth="1"/>
    <col min="13851" max="13851" width="9.7109375" style="359" customWidth="1"/>
    <col min="13852" max="13852" width="12.7109375" style="359" customWidth="1"/>
    <col min="13853" max="13853" width="37.7109375" style="359" customWidth="1"/>
    <col min="13854" max="14056" width="9.140625" style="359"/>
    <col min="14057" max="14057" width="1.7109375" style="359" customWidth="1"/>
    <col min="14058" max="14058" width="3.5703125" style="359" customWidth="1"/>
    <col min="14059" max="14059" width="11" style="359" customWidth="1"/>
    <col min="14060" max="14060" width="20.7109375" style="359" customWidth="1"/>
    <col min="14061" max="14062" width="11.7109375" style="359" customWidth="1"/>
    <col min="14063" max="14063" width="9.7109375" style="359" customWidth="1"/>
    <col min="14064" max="14064" width="10.140625" style="359" bestFit="1" customWidth="1"/>
    <col min="14065" max="14066" width="7.7109375" style="359" customWidth="1"/>
    <col min="14067" max="14067" width="4" style="359" customWidth="1"/>
    <col min="14068" max="14068" width="9.7109375" style="359" customWidth="1"/>
    <col min="14069" max="14069" width="15.140625" style="359" customWidth="1"/>
    <col min="14070" max="14070" width="5.140625" style="359" customWidth="1"/>
    <col min="14071" max="14071" width="9.7109375" style="359" customWidth="1"/>
    <col min="14072" max="14072" width="13.7109375" style="359" customWidth="1"/>
    <col min="14073" max="14073" width="5.140625" style="359" customWidth="1"/>
    <col min="14074" max="14074" width="9.7109375" style="359" customWidth="1"/>
    <col min="14075" max="14075" width="12.5703125" style="359" customWidth="1"/>
    <col min="14076" max="14076" width="5.140625" style="359" customWidth="1"/>
    <col min="14077" max="14077" width="9.7109375" style="359" customWidth="1"/>
    <col min="14078" max="14078" width="12.7109375" style="359" customWidth="1"/>
    <col min="14079" max="14079" width="5.140625" style="359" customWidth="1"/>
    <col min="14080" max="14080" width="9.7109375" style="359" customWidth="1"/>
    <col min="14081" max="14081" width="12.7109375" style="359" customWidth="1"/>
    <col min="14082" max="14082" width="5.140625" style="359" customWidth="1"/>
    <col min="14083" max="14083" width="9.7109375" style="359" customWidth="1"/>
    <col min="14084" max="14084" width="12.7109375" style="359" customWidth="1"/>
    <col min="14085" max="14085" width="5.140625" style="359" customWidth="1"/>
    <col min="14086" max="14086" width="9.7109375" style="359" customWidth="1"/>
    <col min="14087" max="14087" width="12.7109375" style="359" customWidth="1"/>
    <col min="14088" max="14088" width="5.140625" style="359" customWidth="1"/>
    <col min="14089" max="14089" width="9.7109375" style="359" customWidth="1"/>
    <col min="14090" max="14090" width="12.7109375" style="359" customWidth="1"/>
    <col min="14091" max="14091" width="5.140625" style="359" customWidth="1"/>
    <col min="14092" max="14092" width="9.7109375" style="359" customWidth="1"/>
    <col min="14093" max="14093" width="12.7109375" style="359" customWidth="1"/>
    <col min="14094" max="14094" width="5.140625" style="359" customWidth="1"/>
    <col min="14095" max="14095" width="9.7109375" style="359" customWidth="1"/>
    <col min="14096" max="14096" width="12.7109375" style="359" customWidth="1"/>
    <col min="14097" max="14097" width="5.140625" style="359" customWidth="1"/>
    <col min="14098" max="14098" width="9.7109375" style="359" customWidth="1"/>
    <col min="14099" max="14099" width="12.7109375" style="359" customWidth="1"/>
    <col min="14100" max="14100" width="5.140625" style="359" customWidth="1"/>
    <col min="14101" max="14101" width="9.7109375" style="359" customWidth="1"/>
    <col min="14102" max="14102" width="12.7109375" style="359" customWidth="1"/>
    <col min="14103" max="14103" width="5.140625" style="359" customWidth="1"/>
    <col min="14104" max="14104" width="9.7109375" style="359" customWidth="1"/>
    <col min="14105" max="14105" width="12.7109375" style="359" customWidth="1"/>
    <col min="14106" max="14106" width="5.140625" style="359" customWidth="1"/>
    <col min="14107" max="14107" width="9.7109375" style="359" customWidth="1"/>
    <col min="14108" max="14108" width="12.7109375" style="359" customWidth="1"/>
    <col min="14109" max="14109" width="37.7109375" style="359" customWidth="1"/>
    <col min="14110" max="14312" width="9.140625" style="359"/>
    <col min="14313" max="14313" width="1.7109375" style="359" customWidth="1"/>
    <col min="14314" max="14314" width="3.5703125" style="359" customWidth="1"/>
    <col min="14315" max="14315" width="11" style="359" customWidth="1"/>
    <col min="14316" max="14316" width="20.7109375" style="359" customWidth="1"/>
    <col min="14317" max="14318" width="11.7109375" style="359" customWidth="1"/>
    <col min="14319" max="14319" width="9.7109375" style="359" customWidth="1"/>
    <col min="14320" max="14320" width="10.140625" style="359" bestFit="1" customWidth="1"/>
    <col min="14321" max="14322" width="7.7109375" style="359" customWidth="1"/>
    <col min="14323" max="14323" width="4" style="359" customWidth="1"/>
    <col min="14324" max="14324" width="9.7109375" style="359" customWidth="1"/>
    <col min="14325" max="14325" width="15.140625" style="359" customWidth="1"/>
    <col min="14326" max="14326" width="5.140625" style="359" customWidth="1"/>
    <col min="14327" max="14327" width="9.7109375" style="359" customWidth="1"/>
    <col min="14328" max="14328" width="13.7109375" style="359" customWidth="1"/>
    <col min="14329" max="14329" width="5.140625" style="359" customWidth="1"/>
    <col min="14330" max="14330" width="9.7109375" style="359" customWidth="1"/>
    <col min="14331" max="14331" width="12.5703125" style="359" customWidth="1"/>
    <col min="14332" max="14332" width="5.140625" style="359" customWidth="1"/>
    <col min="14333" max="14333" width="9.7109375" style="359" customWidth="1"/>
    <col min="14334" max="14334" width="12.7109375" style="359" customWidth="1"/>
    <col min="14335" max="14335" width="5.140625" style="359" customWidth="1"/>
    <col min="14336" max="14336" width="9.7109375" style="359" customWidth="1"/>
    <col min="14337" max="14337" width="12.7109375" style="359" customWidth="1"/>
    <col min="14338" max="14338" width="5.140625" style="359" customWidth="1"/>
    <col min="14339" max="14339" width="9.7109375" style="359" customWidth="1"/>
    <col min="14340" max="14340" width="12.7109375" style="359" customWidth="1"/>
    <col min="14341" max="14341" width="5.140625" style="359" customWidth="1"/>
    <col min="14342" max="14342" width="9.7109375" style="359" customWidth="1"/>
    <col min="14343" max="14343" width="12.7109375" style="359" customWidth="1"/>
    <col min="14344" max="14344" width="5.140625" style="359" customWidth="1"/>
    <col min="14345" max="14345" width="9.7109375" style="359" customWidth="1"/>
    <col min="14346" max="14346" width="12.7109375" style="359" customWidth="1"/>
    <col min="14347" max="14347" width="5.140625" style="359" customWidth="1"/>
    <col min="14348" max="14348" width="9.7109375" style="359" customWidth="1"/>
    <col min="14349" max="14349" width="12.7109375" style="359" customWidth="1"/>
    <col min="14350" max="14350" width="5.140625" style="359" customWidth="1"/>
    <col min="14351" max="14351" width="9.7109375" style="359" customWidth="1"/>
    <col min="14352" max="14352" width="12.7109375" style="359" customWidth="1"/>
    <col min="14353" max="14353" width="5.140625" style="359" customWidth="1"/>
    <col min="14354" max="14354" width="9.7109375" style="359" customWidth="1"/>
    <col min="14355" max="14355" width="12.7109375" style="359" customWidth="1"/>
    <col min="14356" max="14356" width="5.140625" style="359" customWidth="1"/>
    <col min="14357" max="14357" width="9.7109375" style="359" customWidth="1"/>
    <col min="14358" max="14358" width="12.7109375" style="359" customWidth="1"/>
    <col min="14359" max="14359" width="5.140625" style="359" customWidth="1"/>
    <col min="14360" max="14360" width="9.7109375" style="359" customWidth="1"/>
    <col min="14361" max="14361" width="12.7109375" style="359" customWidth="1"/>
    <col min="14362" max="14362" width="5.140625" style="359" customWidth="1"/>
    <col min="14363" max="14363" width="9.7109375" style="359" customWidth="1"/>
    <col min="14364" max="14364" width="12.7109375" style="359" customWidth="1"/>
    <col min="14365" max="14365" width="37.7109375" style="359" customWidth="1"/>
    <col min="14366" max="14568" width="9.140625" style="359"/>
    <col min="14569" max="14569" width="1.7109375" style="359" customWidth="1"/>
    <col min="14570" max="14570" width="3.5703125" style="359" customWidth="1"/>
    <col min="14571" max="14571" width="11" style="359" customWidth="1"/>
    <col min="14572" max="14572" width="20.7109375" style="359" customWidth="1"/>
    <col min="14573" max="14574" width="11.7109375" style="359" customWidth="1"/>
    <col min="14575" max="14575" width="9.7109375" style="359" customWidth="1"/>
    <col min="14576" max="14576" width="10.140625" style="359" bestFit="1" customWidth="1"/>
    <col min="14577" max="14578" width="7.7109375" style="359" customWidth="1"/>
    <col min="14579" max="14579" width="4" style="359" customWidth="1"/>
    <col min="14580" max="14580" width="9.7109375" style="359" customWidth="1"/>
    <col min="14581" max="14581" width="15.140625" style="359" customWidth="1"/>
    <col min="14582" max="14582" width="5.140625" style="359" customWidth="1"/>
    <col min="14583" max="14583" width="9.7109375" style="359" customWidth="1"/>
    <col min="14584" max="14584" width="13.7109375" style="359" customWidth="1"/>
    <col min="14585" max="14585" width="5.140625" style="359" customWidth="1"/>
    <col min="14586" max="14586" width="9.7109375" style="359" customWidth="1"/>
    <col min="14587" max="14587" width="12.5703125" style="359" customWidth="1"/>
    <col min="14588" max="14588" width="5.140625" style="359" customWidth="1"/>
    <col min="14589" max="14589" width="9.7109375" style="359" customWidth="1"/>
    <col min="14590" max="14590" width="12.7109375" style="359" customWidth="1"/>
    <col min="14591" max="14591" width="5.140625" style="359" customWidth="1"/>
    <col min="14592" max="14592" width="9.7109375" style="359" customWidth="1"/>
    <col min="14593" max="14593" width="12.7109375" style="359" customWidth="1"/>
    <col min="14594" max="14594" width="5.140625" style="359" customWidth="1"/>
    <col min="14595" max="14595" width="9.7109375" style="359" customWidth="1"/>
    <col min="14596" max="14596" width="12.7109375" style="359" customWidth="1"/>
    <col min="14597" max="14597" width="5.140625" style="359" customWidth="1"/>
    <col min="14598" max="14598" width="9.7109375" style="359" customWidth="1"/>
    <col min="14599" max="14599" width="12.7109375" style="359" customWidth="1"/>
    <col min="14600" max="14600" width="5.140625" style="359" customWidth="1"/>
    <col min="14601" max="14601" width="9.7109375" style="359" customWidth="1"/>
    <col min="14602" max="14602" width="12.7109375" style="359" customWidth="1"/>
    <col min="14603" max="14603" width="5.140625" style="359" customWidth="1"/>
    <col min="14604" max="14604" width="9.7109375" style="359" customWidth="1"/>
    <col min="14605" max="14605" width="12.7109375" style="359" customWidth="1"/>
    <col min="14606" max="14606" width="5.140625" style="359" customWidth="1"/>
    <col min="14607" max="14607" width="9.7109375" style="359" customWidth="1"/>
    <col min="14608" max="14608" width="12.7109375" style="359" customWidth="1"/>
    <col min="14609" max="14609" width="5.140625" style="359" customWidth="1"/>
    <col min="14610" max="14610" width="9.7109375" style="359" customWidth="1"/>
    <col min="14611" max="14611" width="12.7109375" style="359" customWidth="1"/>
    <col min="14612" max="14612" width="5.140625" style="359" customWidth="1"/>
    <col min="14613" max="14613" width="9.7109375" style="359" customWidth="1"/>
    <col min="14614" max="14614" width="12.7109375" style="359" customWidth="1"/>
    <col min="14615" max="14615" width="5.140625" style="359" customWidth="1"/>
    <col min="14616" max="14616" width="9.7109375" style="359" customWidth="1"/>
    <col min="14617" max="14617" width="12.7109375" style="359" customWidth="1"/>
    <col min="14618" max="14618" width="5.140625" style="359" customWidth="1"/>
    <col min="14619" max="14619" width="9.7109375" style="359" customWidth="1"/>
    <col min="14620" max="14620" width="12.7109375" style="359" customWidth="1"/>
    <col min="14621" max="14621" width="37.7109375" style="359" customWidth="1"/>
    <col min="14622" max="14824" width="9.140625" style="359"/>
    <col min="14825" max="14825" width="1.7109375" style="359" customWidth="1"/>
    <col min="14826" max="14826" width="3.5703125" style="359" customWidth="1"/>
    <col min="14827" max="14827" width="11" style="359" customWidth="1"/>
    <col min="14828" max="14828" width="20.7109375" style="359" customWidth="1"/>
    <col min="14829" max="14830" width="11.7109375" style="359" customWidth="1"/>
    <col min="14831" max="14831" width="9.7109375" style="359" customWidth="1"/>
    <col min="14832" max="14832" width="10.140625" style="359" bestFit="1" customWidth="1"/>
    <col min="14833" max="14834" width="7.7109375" style="359" customWidth="1"/>
    <col min="14835" max="14835" width="4" style="359" customWidth="1"/>
    <col min="14836" max="14836" width="9.7109375" style="359" customWidth="1"/>
    <col min="14837" max="14837" width="15.140625" style="359" customWidth="1"/>
    <col min="14838" max="14838" width="5.140625" style="359" customWidth="1"/>
    <col min="14839" max="14839" width="9.7109375" style="359" customWidth="1"/>
    <col min="14840" max="14840" width="13.7109375" style="359" customWidth="1"/>
    <col min="14841" max="14841" width="5.140625" style="359" customWidth="1"/>
    <col min="14842" max="14842" width="9.7109375" style="359" customWidth="1"/>
    <col min="14843" max="14843" width="12.5703125" style="359" customWidth="1"/>
    <col min="14844" max="14844" width="5.140625" style="359" customWidth="1"/>
    <col min="14845" max="14845" width="9.7109375" style="359" customWidth="1"/>
    <col min="14846" max="14846" width="12.7109375" style="359" customWidth="1"/>
    <col min="14847" max="14847" width="5.140625" style="359" customWidth="1"/>
    <col min="14848" max="14848" width="9.7109375" style="359" customWidth="1"/>
    <col min="14849" max="14849" width="12.7109375" style="359" customWidth="1"/>
    <col min="14850" max="14850" width="5.140625" style="359" customWidth="1"/>
    <col min="14851" max="14851" width="9.7109375" style="359" customWidth="1"/>
    <col min="14852" max="14852" width="12.7109375" style="359" customWidth="1"/>
    <col min="14853" max="14853" width="5.140625" style="359" customWidth="1"/>
    <col min="14854" max="14854" width="9.7109375" style="359" customWidth="1"/>
    <col min="14855" max="14855" width="12.7109375" style="359" customWidth="1"/>
    <col min="14856" max="14856" width="5.140625" style="359" customWidth="1"/>
    <col min="14857" max="14857" width="9.7109375" style="359" customWidth="1"/>
    <col min="14858" max="14858" width="12.7109375" style="359" customWidth="1"/>
    <col min="14859" max="14859" width="5.140625" style="359" customWidth="1"/>
    <col min="14860" max="14860" width="9.7109375" style="359" customWidth="1"/>
    <col min="14861" max="14861" width="12.7109375" style="359" customWidth="1"/>
    <col min="14862" max="14862" width="5.140625" style="359" customWidth="1"/>
    <col min="14863" max="14863" width="9.7109375" style="359" customWidth="1"/>
    <col min="14864" max="14864" width="12.7109375" style="359" customWidth="1"/>
    <col min="14865" max="14865" width="5.140625" style="359" customWidth="1"/>
    <col min="14866" max="14866" width="9.7109375" style="359" customWidth="1"/>
    <col min="14867" max="14867" width="12.7109375" style="359" customWidth="1"/>
    <col min="14868" max="14868" width="5.140625" style="359" customWidth="1"/>
    <col min="14869" max="14869" width="9.7109375" style="359" customWidth="1"/>
    <col min="14870" max="14870" width="12.7109375" style="359" customWidth="1"/>
    <col min="14871" max="14871" width="5.140625" style="359" customWidth="1"/>
    <col min="14872" max="14872" width="9.7109375" style="359" customWidth="1"/>
    <col min="14873" max="14873" width="12.7109375" style="359" customWidth="1"/>
    <col min="14874" max="14874" width="5.140625" style="359" customWidth="1"/>
    <col min="14875" max="14875" width="9.7109375" style="359" customWidth="1"/>
    <col min="14876" max="14876" width="12.7109375" style="359" customWidth="1"/>
    <col min="14877" max="14877" width="37.7109375" style="359" customWidth="1"/>
    <col min="14878" max="15080" width="9.140625" style="359"/>
    <col min="15081" max="15081" width="1.7109375" style="359" customWidth="1"/>
    <col min="15082" max="15082" width="3.5703125" style="359" customWidth="1"/>
    <col min="15083" max="15083" width="11" style="359" customWidth="1"/>
    <col min="15084" max="15084" width="20.7109375" style="359" customWidth="1"/>
    <col min="15085" max="15086" width="11.7109375" style="359" customWidth="1"/>
    <col min="15087" max="15087" width="9.7109375" style="359" customWidth="1"/>
    <col min="15088" max="15088" width="10.140625" style="359" bestFit="1" customWidth="1"/>
    <col min="15089" max="15090" width="7.7109375" style="359" customWidth="1"/>
    <col min="15091" max="15091" width="4" style="359" customWidth="1"/>
    <col min="15092" max="15092" width="9.7109375" style="359" customWidth="1"/>
    <col min="15093" max="15093" width="15.140625" style="359" customWidth="1"/>
    <col min="15094" max="15094" width="5.140625" style="359" customWidth="1"/>
    <col min="15095" max="15095" width="9.7109375" style="359" customWidth="1"/>
    <col min="15096" max="15096" width="13.7109375" style="359" customWidth="1"/>
    <col min="15097" max="15097" width="5.140625" style="359" customWidth="1"/>
    <col min="15098" max="15098" width="9.7109375" style="359" customWidth="1"/>
    <col min="15099" max="15099" width="12.5703125" style="359" customWidth="1"/>
    <col min="15100" max="15100" width="5.140625" style="359" customWidth="1"/>
    <col min="15101" max="15101" width="9.7109375" style="359" customWidth="1"/>
    <col min="15102" max="15102" width="12.7109375" style="359" customWidth="1"/>
    <col min="15103" max="15103" width="5.140625" style="359" customWidth="1"/>
    <col min="15104" max="15104" width="9.7109375" style="359" customWidth="1"/>
    <col min="15105" max="15105" width="12.7109375" style="359" customWidth="1"/>
    <col min="15106" max="15106" width="5.140625" style="359" customWidth="1"/>
    <col min="15107" max="15107" width="9.7109375" style="359" customWidth="1"/>
    <col min="15108" max="15108" width="12.7109375" style="359" customWidth="1"/>
    <col min="15109" max="15109" width="5.140625" style="359" customWidth="1"/>
    <col min="15110" max="15110" width="9.7109375" style="359" customWidth="1"/>
    <col min="15111" max="15111" width="12.7109375" style="359" customWidth="1"/>
    <col min="15112" max="15112" width="5.140625" style="359" customWidth="1"/>
    <col min="15113" max="15113" width="9.7109375" style="359" customWidth="1"/>
    <col min="15114" max="15114" width="12.7109375" style="359" customWidth="1"/>
    <col min="15115" max="15115" width="5.140625" style="359" customWidth="1"/>
    <col min="15116" max="15116" width="9.7109375" style="359" customWidth="1"/>
    <col min="15117" max="15117" width="12.7109375" style="359" customWidth="1"/>
    <col min="15118" max="15118" width="5.140625" style="359" customWidth="1"/>
    <col min="15119" max="15119" width="9.7109375" style="359" customWidth="1"/>
    <col min="15120" max="15120" width="12.7109375" style="359" customWidth="1"/>
    <col min="15121" max="15121" width="5.140625" style="359" customWidth="1"/>
    <col min="15122" max="15122" width="9.7109375" style="359" customWidth="1"/>
    <col min="15123" max="15123" width="12.7109375" style="359" customWidth="1"/>
    <col min="15124" max="15124" width="5.140625" style="359" customWidth="1"/>
    <col min="15125" max="15125" width="9.7109375" style="359" customWidth="1"/>
    <col min="15126" max="15126" width="12.7109375" style="359" customWidth="1"/>
    <col min="15127" max="15127" width="5.140625" style="359" customWidth="1"/>
    <col min="15128" max="15128" width="9.7109375" style="359" customWidth="1"/>
    <col min="15129" max="15129" width="12.7109375" style="359" customWidth="1"/>
    <col min="15130" max="15130" width="5.140625" style="359" customWidth="1"/>
    <col min="15131" max="15131" width="9.7109375" style="359" customWidth="1"/>
    <col min="15132" max="15132" width="12.7109375" style="359" customWidth="1"/>
    <col min="15133" max="15133" width="37.7109375" style="359" customWidth="1"/>
    <col min="15134" max="15336" width="9.140625" style="359"/>
    <col min="15337" max="15337" width="1.7109375" style="359" customWidth="1"/>
    <col min="15338" max="15338" width="3.5703125" style="359" customWidth="1"/>
    <col min="15339" max="15339" width="11" style="359" customWidth="1"/>
    <col min="15340" max="15340" width="20.7109375" style="359" customWidth="1"/>
    <col min="15341" max="15342" width="11.7109375" style="359" customWidth="1"/>
    <col min="15343" max="15343" width="9.7109375" style="359" customWidth="1"/>
    <col min="15344" max="15344" width="10.140625" style="359" bestFit="1" customWidth="1"/>
    <col min="15345" max="15346" width="7.7109375" style="359" customWidth="1"/>
    <col min="15347" max="15347" width="4" style="359" customWidth="1"/>
    <col min="15348" max="15348" width="9.7109375" style="359" customWidth="1"/>
    <col min="15349" max="15349" width="15.140625" style="359" customWidth="1"/>
    <col min="15350" max="15350" width="5.140625" style="359" customWidth="1"/>
    <col min="15351" max="15351" width="9.7109375" style="359" customWidth="1"/>
    <col min="15352" max="15352" width="13.7109375" style="359" customWidth="1"/>
    <col min="15353" max="15353" width="5.140625" style="359" customWidth="1"/>
    <col min="15354" max="15354" width="9.7109375" style="359" customWidth="1"/>
    <col min="15355" max="15355" width="12.5703125" style="359" customWidth="1"/>
    <col min="15356" max="15356" width="5.140625" style="359" customWidth="1"/>
    <col min="15357" max="15357" width="9.7109375" style="359" customWidth="1"/>
    <col min="15358" max="15358" width="12.7109375" style="359" customWidth="1"/>
    <col min="15359" max="15359" width="5.140625" style="359" customWidth="1"/>
    <col min="15360" max="15360" width="9.7109375" style="359" customWidth="1"/>
    <col min="15361" max="15361" width="12.7109375" style="359" customWidth="1"/>
    <col min="15362" max="15362" width="5.140625" style="359" customWidth="1"/>
    <col min="15363" max="15363" width="9.7109375" style="359" customWidth="1"/>
    <col min="15364" max="15364" width="12.7109375" style="359" customWidth="1"/>
    <col min="15365" max="15365" width="5.140625" style="359" customWidth="1"/>
    <col min="15366" max="15366" width="9.7109375" style="359" customWidth="1"/>
    <col min="15367" max="15367" width="12.7109375" style="359" customWidth="1"/>
    <col min="15368" max="15368" width="5.140625" style="359" customWidth="1"/>
    <col min="15369" max="15369" width="9.7109375" style="359" customWidth="1"/>
    <col min="15370" max="15370" width="12.7109375" style="359" customWidth="1"/>
    <col min="15371" max="15371" width="5.140625" style="359" customWidth="1"/>
    <col min="15372" max="15372" width="9.7109375" style="359" customWidth="1"/>
    <col min="15373" max="15373" width="12.7109375" style="359" customWidth="1"/>
    <col min="15374" max="15374" width="5.140625" style="359" customWidth="1"/>
    <col min="15375" max="15375" width="9.7109375" style="359" customWidth="1"/>
    <col min="15376" max="15376" width="12.7109375" style="359" customWidth="1"/>
    <col min="15377" max="15377" width="5.140625" style="359" customWidth="1"/>
    <col min="15378" max="15378" width="9.7109375" style="359" customWidth="1"/>
    <col min="15379" max="15379" width="12.7109375" style="359" customWidth="1"/>
    <col min="15380" max="15380" width="5.140625" style="359" customWidth="1"/>
    <col min="15381" max="15381" width="9.7109375" style="359" customWidth="1"/>
    <col min="15382" max="15382" width="12.7109375" style="359" customWidth="1"/>
    <col min="15383" max="15383" width="5.140625" style="359" customWidth="1"/>
    <col min="15384" max="15384" width="9.7109375" style="359" customWidth="1"/>
    <col min="15385" max="15385" width="12.7109375" style="359" customWidth="1"/>
    <col min="15386" max="15386" width="5.140625" style="359" customWidth="1"/>
    <col min="15387" max="15387" width="9.7109375" style="359" customWidth="1"/>
    <col min="15388" max="15388" width="12.7109375" style="359" customWidth="1"/>
    <col min="15389" max="15389" width="37.7109375" style="359" customWidth="1"/>
    <col min="15390" max="15592" width="9.140625" style="359"/>
    <col min="15593" max="15593" width="1.7109375" style="359" customWidth="1"/>
    <col min="15594" max="15594" width="3.5703125" style="359" customWidth="1"/>
    <col min="15595" max="15595" width="11" style="359" customWidth="1"/>
    <col min="15596" max="15596" width="20.7109375" style="359" customWidth="1"/>
    <col min="15597" max="15598" width="11.7109375" style="359" customWidth="1"/>
    <col min="15599" max="15599" width="9.7109375" style="359" customWidth="1"/>
    <col min="15600" max="15600" width="10.140625" style="359" bestFit="1" customWidth="1"/>
    <col min="15601" max="15602" width="7.7109375" style="359" customWidth="1"/>
    <col min="15603" max="15603" width="4" style="359" customWidth="1"/>
    <col min="15604" max="15604" width="9.7109375" style="359" customWidth="1"/>
    <col min="15605" max="15605" width="15.140625" style="359" customWidth="1"/>
    <col min="15606" max="15606" width="5.140625" style="359" customWidth="1"/>
    <col min="15607" max="15607" width="9.7109375" style="359" customWidth="1"/>
    <col min="15608" max="15608" width="13.7109375" style="359" customWidth="1"/>
    <col min="15609" max="15609" width="5.140625" style="359" customWidth="1"/>
    <col min="15610" max="15610" width="9.7109375" style="359" customWidth="1"/>
    <col min="15611" max="15611" width="12.5703125" style="359" customWidth="1"/>
    <col min="15612" max="15612" width="5.140625" style="359" customWidth="1"/>
    <col min="15613" max="15613" width="9.7109375" style="359" customWidth="1"/>
    <col min="15614" max="15614" width="12.7109375" style="359" customWidth="1"/>
    <col min="15615" max="15615" width="5.140625" style="359" customWidth="1"/>
    <col min="15616" max="15616" width="9.7109375" style="359" customWidth="1"/>
    <col min="15617" max="15617" width="12.7109375" style="359" customWidth="1"/>
    <col min="15618" max="15618" width="5.140625" style="359" customWidth="1"/>
    <col min="15619" max="15619" width="9.7109375" style="359" customWidth="1"/>
    <col min="15620" max="15620" width="12.7109375" style="359" customWidth="1"/>
    <col min="15621" max="15621" width="5.140625" style="359" customWidth="1"/>
    <col min="15622" max="15622" width="9.7109375" style="359" customWidth="1"/>
    <col min="15623" max="15623" width="12.7109375" style="359" customWidth="1"/>
    <col min="15624" max="15624" width="5.140625" style="359" customWidth="1"/>
    <col min="15625" max="15625" width="9.7109375" style="359" customWidth="1"/>
    <col min="15626" max="15626" width="12.7109375" style="359" customWidth="1"/>
    <col min="15627" max="15627" width="5.140625" style="359" customWidth="1"/>
    <col min="15628" max="15628" width="9.7109375" style="359" customWidth="1"/>
    <col min="15629" max="15629" width="12.7109375" style="359" customWidth="1"/>
    <col min="15630" max="15630" width="5.140625" style="359" customWidth="1"/>
    <col min="15631" max="15631" width="9.7109375" style="359" customWidth="1"/>
    <col min="15632" max="15632" width="12.7109375" style="359" customWidth="1"/>
    <col min="15633" max="15633" width="5.140625" style="359" customWidth="1"/>
    <col min="15634" max="15634" width="9.7109375" style="359" customWidth="1"/>
    <col min="15635" max="15635" width="12.7109375" style="359" customWidth="1"/>
    <col min="15636" max="15636" width="5.140625" style="359" customWidth="1"/>
    <col min="15637" max="15637" width="9.7109375" style="359" customWidth="1"/>
    <col min="15638" max="15638" width="12.7109375" style="359" customWidth="1"/>
    <col min="15639" max="15639" width="5.140625" style="359" customWidth="1"/>
    <col min="15640" max="15640" width="9.7109375" style="359" customWidth="1"/>
    <col min="15641" max="15641" width="12.7109375" style="359" customWidth="1"/>
    <col min="15642" max="15642" width="5.140625" style="359" customWidth="1"/>
    <col min="15643" max="15643" width="9.7109375" style="359" customWidth="1"/>
    <col min="15644" max="15644" width="12.7109375" style="359" customWidth="1"/>
    <col min="15645" max="15645" width="37.7109375" style="359" customWidth="1"/>
    <col min="15646" max="15848" width="9.140625" style="359"/>
    <col min="15849" max="15849" width="1.7109375" style="359" customWidth="1"/>
    <col min="15850" max="15850" width="3.5703125" style="359" customWidth="1"/>
    <col min="15851" max="15851" width="11" style="359" customWidth="1"/>
    <col min="15852" max="15852" width="20.7109375" style="359" customWidth="1"/>
    <col min="15853" max="15854" width="11.7109375" style="359" customWidth="1"/>
    <col min="15855" max="15855" width="9.7109375" style="359" customWidth="1"/>
    <col min="15856" max="15856" width="10.140625" style="359" bestFit="1" customWidth="1"/>
    <col min="15857" max="15858" width="7.7109375" style="359" customWidth="1"/>
    <col min="15859" max="15859" width="4" style="359" customWidth="1"/>
    <col min="15860" max="15860" width="9.7109375" style="359" customWidth="1"/>
    <col min="15861" max="15861" width="15.140625" style="359" customWidth="1"/>
    <col min="15862" max="15862" width="5.140625" style="359" customWidth="1"/>
    <col min="15863" max="15863" width="9.7109375" style="359" customWidth="1"/>
    <col min="15864" max="15864" width="13.7109375" style="359" customWidth="1"/>
    <col min="15865" max="15865" width="5.140625" style="359" customWidth="1"/>
    <col min="15866" max="15866" width="9.7109375" style="359" customWidth="1"/>
    <col min="15867" max="15867" width="12.5703125" style="359" customWidth="1"/>
    <col min="15868" max="15868" width="5.140625" style="359" customWidth="1"/>
    <col min="15869" max="15869" width="9.7109375" style="359" customWidth="1"/>
    <col min="15870" max="15870" width="12.7109375" style="359" customWidth="1"/>
    <col min="15871" max="15871" width="5.140625" style="359" customWidth="1"/>
    <col min="15872" max="15872" width="9.7109375" style="359" customWidth="1"/>
    <col min="15873" max="15873" width="12.7109375" style="359" customWidth="1"/>
    <col min="15874" max="15874" width="5.140625" style="359" customWidth="1"/>
    <col min="15875" max="15875" width="9.7109375" style="359" customWidth="1"/>
    <col min="15876" max="15876" width="12.7109375" style="359" customWidth="1"/>
    <col min="15877" max="15877" width="5.140625" style="359" customWidth="1"/>
    <col min="15878" max="15878" width="9.7109375" style="359" customWidth="1"/>
    <col min="15879" max="15879" width="12.7109375" style="359" customWidth="1"/>
    <col min="15880" max="15880" width="5.140625" style="359" customWidth="1"/>
    <col min="15881" max="15881" width="9.7109375" style="359" customWidth="1"/>
    <col min="15882" max="15882" width="12.7109375" style="359" customWidth="1"/>
    <col min="15883" max="15883" width="5.140625" style="359" customWidth="1"/>
    <col min="15884" max="15884" width="9.7109375" style="359" customWidth="1"/>
    <col min="15885" max="15885" width="12.7109375" style="359" customWidth="1"/>
    <col min="15886" max="15886" width="5.140625" style="359" customWidth="1"/>
    <col min="15887" max="15887" width="9.7109375" style="359" customWidth="1"/>
    <col min="15888" max="15888" width="12.7109375" style="359" customWidth="1"/>
    <col min="15889" max="15889" width="5.140625" style="359" customWidth="1"/>
    <col min="15890" max="15890" width="9.7109375" style="359" customWidth="1"/>
    <col min="15891" max="15891" width="12.7109375" style="359" customWidth="1"/>
    <col min="15892" max="15892" width="5.140625" style="359" customWidth="1"/>
    <col min="15893" max="15893" width="9.7109375" style="359" customWidth="1"/>
    <col min="15894" max="15894" width="12.7109375" style="359" customWidth="1"/>
    <col min="15895" max="15895" width="5.140625" style="359" customWidth="1"/>
    <col min="15896" max="15896" width="9.7109375" style="359" customWidth="1"/>
    <col min="15897" max="15897" width="12.7109375" style="359" customWidth="1"/>
    <col min="15898" max="15898" width="5.140625" style="359" customWidth="1"/>
    <col min="15899" max="15899" width="9.7109375" style="359" customWidth="1"/>
    <col min="15900" max="15900" width="12.7109375" style="359" customWidth="1"/>
    <col min="15901" max="15901" width="37.7109375" style="359" customWidth="1"/>
    <col min="15902" max="16104" width="9.140625" style="359"/>
    <col min="16105" max="16105" width="1.7109375" style="359" customWidth="1"/>
    <col min="16106" max="16106" width="3.5703125" style="359" customWidth="1"/>
    <col min="16107" max="16107" width="11" style="359" customWidth="1"/>
    <col min="16108" max="16108" width="20.7109375" style="359" customWidth="1"/>
    <col min="16109" max="16110" width="11.7109375" style="359" customWidth="1"/>
    <col min="16111" max="16111" width="9.7109375" style="359" customWidth="1"/>
    <col min="16112" max="16112" width="10.140625" style="359" bestFit="1" customWidth="1"/>
    <col min="16113" max="16114" width="7.7109375" style="359" customWidth="1"/>
    <col min="16115" max="16115" width="4" style="359" customWidth="1"/>
    <col min="16116" max="16116" width="9.7109375" style="359" customWidth="1"/>
    <col min="16117" max="16117" width="15.140625" style="359" customWidth="1"/>
    <col min="16118" max="16118" width="5.140625" style="359" customWidth="1"/>
    <col min="16119" max="16119" width="9.7109375" style="359" customWidth="1"/>
    <col min="16120" max="16120" width="13.7109375" style="359" customWidth="1"/>
    <col min="16121" max="16121" width="5.140625" style="359" customWidth="1"/>
    <col min="16122" max="16122" width="9.7109375" style="359" customWidth="1"/>
    <col min="16123" max="16123" width="12.5703125" style="359" customWidth="1"/>
    <col min="16124" max="16124" width="5.140625" style="359" customWidth="1"/>
    <col min="16125" max="16125" width="9.7109375" style="359" customWidth="1"/>
    <col min="16126" max="16126" width="12.7109375" style="359" customWidth="1"/>
    <col min="16127" max="16127" width="5.140625" style="359" customWidth="1"/>
    <col min="16128" max="16128" width="9.7109375" style="359" customWidth="1"/>
    <col min="16129" max="16129" width="12.7109375" style="359" customWidth="1"/>
    <col min="16130" max="16130" width="5.140625" style="359" customWidth="1"/>
    <col min="16131" max="16131" width="9.7109375" style="359" customWidth="1"/>
    <col min="16132" max="16132" width="12.7109375" style="359" customWidth="1"/>
    <col min="16133" max="16133" width="5.140625" style="359" customWidth="1"/>
    <col min="16134" max="16134" width="9.7109375" style="359" customWidth="1"/>
    <col min="16135" max="16135" width="12.7109375" style="359" customWidth="1"/>
    <col min="16136" max="16136" width="5.140625" style="359" customWidth="1"/>
    <col min="16137" max="16137" width="9.7109375" style="359" customWidth="1"/>
    <col min="16138" max="16138" width="12.7109375" style="359" customWidth="1"/>
    <col min="16139" max="16139" width="5.140625" style="359" customWidth="1"/>
    <col min="16140" max="16140" width="9.7109375" style="359" customWidth="1"/>
    <col min="16141" max="16141" width="12.7109375" style="359" customWidth="1"/>
    <col min="16142" max="16142" width="5.140625" style="359" customWidth="1"/>
    <col min="16143" max="16143" width="9.7109375" style="359" customWidth="1"/>
    <col min="16144" max="16144" width="12.7109375" style="359" customWidth="1"/>
    <col min="16145" max="16145" width="5.140625" style="359" customWidth="1"/>
    <col min="16146" max="16146" width="9.7109375" style="359" customWidth="1"/>
    <col min="16147" max="16147" width="12.7109375" style="359" customWidth="1"/>
    <col min="16148" max="16148" width="5.140625" style="359" customWidth="1"/>
    <col min="16149" max="16149" width="9.7109375" style="359" customWidth="1"/>
    <col min="16150" max="16150" width="12.7109375" style="359" customWidth="1"/>
    <col min="16151" max="16151" width="5.140625" style="359" customWidth="1"/>
    <col min="16152" max="16152" width="9.7109375" style="359" customWidth="1"/>
    <col min="16153" max="16153" width="12.7109375" style="359" customWidth="1"/>
    <col min="16154" max="16154" width="5.140625" style="359" customWidth="1"/>
    <col min="16155" max="16155" width="9.7109375" style="359" customWidth="1"/>
    <col min="16156" max="16156" width="12.7109375" style="359" customWidth="1"/>
    <col min="16157" max="16157" width="37.7109375" style="359" customWidth="1"/>
    <col min="16158" max="16384" width="9.140625" style="359"/>
  </cols>
  <sheetData>
    <row r="1" spans="1:30" ht="13.5" thickBot="1"/>
    <row r="2" spans="1:30" s="361" customFormat="1" ht="18" thickBot="1">
      <c r="A2" s="360">
        <v>1</v>
      </c>
      <c r="B2" s="842" t="s">
        <v>994</v>
      </c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881"/>
      <c r="N2" s="881"/>
      <c r="O2" s="881"/>
      <c r="P2" s="881"/>
      <c r="Q2" s="881"/>
      <c r="R2" s="881"/>
      <c r="S2" s="881"/>
      <c r="T2" s="881"/>
      <c r="U2" s="881"/>
      <c r="V2" s="881"/>
      <c r="W2" s="881"/>
      <c r="X2" s="881"/>
      <c r="Y2" s="881"/>
      <c r="Z2" s="881"/>
      <c r="AA2" s="881"/>
      <c r="AB2" s="881"/>
      <c r="AC2" s="881"/>
      <c r="AD2" s="886"/>
    </row>
    <row r="3" spans="1:30" s="322" customFormat="1" ht="15">
      <c r="A3" s="321"/>
      <c r="B3" s="892" t="s">
        <v>980</v>
      </c>
      <c r="C3" s="893" t="s">
        <v>984</v>
      </c>
      <c r="D3" s="894"/>
      <c r="E3" s="895" t="s">
        <v>985</v>
      </c>
      <c r="F3" s="896"/>
      <c r="G3" s="897">
        <f>'Analysis-Debit'!J3</f>
        <v>44501</v>
      </c>
      <c r="H3" s="891"/>
      <c r="I3" s="875">
        <f>EDATE(G3,-1)</f>
        <v>44470</v>
      </c>
      <c r="J3" s="876"/>
      <c r="K3" s="875">
        <f>EDATE(I3,-1)</f>
        <v>44440</v>
      </c>
      <c r="L3" s="876"/>
      <c r="M3" s="875">
        <f>EDATE(K3,-1)</f>
        <v>44409</v>
      </c>
      <c r="N3" s="876"/>
      <c r="O3" s="875">
        <f>EDATE(M3,-1)</f>
        <v>44378</v>
      </c>
      <c r="P3" s="876"/>
      <c r="Q3" s="875">
        <f>EDATE(O3,-1)</f>
        <v>44348</v>
      </c>
      <c r="R3" s="876"/>
      <c r="S3" s="875">
        <f>EDATE(Q3,-1)</f>
        <v>44317</v>
      </c>
      <c r="T3" s="876"/>
      <c r="U3" s="875">
        <f>EDATE(S3,-1)</f>
        <v>44287</v>
      </c>
      <c r="V3" s="876"/>
      <c r="W3" s="875">
        <f>EDATE(U3,-1)</f>
        <v>44256</v>
      </c>
      <c r="X3" s="876"/>
      <c r="Y3" s="875">
        <f>EDATE(W3,-1)</f>
        <v>44228</v>
      </c>
      <c r="Z3" s="876"/>
      <c r="AA3" s="875">
        <f>EDATE(Y3,-1)</f>
        <v>44197</v>
      </c>
      <c r="AB3" s="876"/>
      <c r="AC3" s="875">
        <f>EDATE(AA3,-1)</f>
        <v>44166</v>
      </c>
      <c r="AD3" s="891"/>
    </row>
    <row r="4" spans="1:30" s="322" customFormat="1" ht="15">
      <c r="A4" s="321"/>
      <c r="B4" s="863"/>
      <c r="C4" s="866"/>
      <c r="D4" s="867"/>
      <c r="E4" s="362" t="s">
        <v>987</v>
      </c>
      <c r="F4" s="363" t="s">
        <v>982</v>
      </c>
      <c r="G4" s="327" t="s">
        <v>987</v>
      </c>
      <c r="H4" s="328" t="s">
        <v>982</v>
      </c>
      <c r="I4" s="329" t="s">
        <v>987</v>
      </c>
      <c r="J4" s="330" t="s">
        <v>982</v>
      </c>
      <c r="K4" s="329" t="s">
        <v>987</v>
      </c>
      <c r="L4" s="330" t="s">
        <v>982</v>
      </c>
      <c r="M4" s="329" t="s">
        <v>987</v>
      </c>
      <c r="N4" s="330" t="s">
        <v>982</v>
      </c>
      <c r="O4" s="329" t="s">
        <v>987</v>
      </c>
      <c r="P4" s="330" t="s">
        <v>982</v>
      </c>
      <c r="Q4" s="329" t="s">
        <v>987</v>
      </c>
      <c r="R4" s="330" t="s">
        <v>982</v>
      </c>
      <c r="S4" s="329" t="s">
        <v>987</v>
      </c>
      <c r="T4" s="330" t="s">
        <v>982</v>
      </c>
      <c r="U4" s="329" t="s">
        <v>987</v>
      </c>
      <c r="V4" s="330" t="s">
        <v>982</v>
      </c>
      <c r="W4" s="329" t="s">
        <v>987</v>
      </c>
      <c r="X4" s="330" t="s">
        <v>982</v>
      </c>
      <c r="Y4" s="329" t="s">
        <v>987</v>
      </c>
      <c r="Z4" s="330" t="s">
        <v>982</v>
      </c>
      <c r="AA4" s="329" t="s">
        <v>987</v>
      </c>
      <c r="AB4" s="330" t="s">
        <v>982</v>
      </c>
      <c r="AC4" s="329" t="s">
        <v>987</v>
      </c>
      <c r="AD4" s="328" t="s">
        <v>982</v>
      </c>
    </row>
    <row r="5" spans="1:30">
      <c r="B5" s="331">
        <v>1</v>
      </c>
      <c r="C5" s="879"/>
      <c r="D5" s="880"/>
      <c r="E5" s="333">
        <f t="shared" ref="E5:E6" si="0">SUM(G5,I5,K5,M5,O5,Q5,S5,U5,W5,Y5,AA5,AC5)</f>
        <v>0</v>
      </c>
      <c r="F5" s="333">
        <f t="shared" ref="F5:F6" si="1">SUM(H5,J5,L5,N5,P5,R5,T5,AB5,V5,X5,Z5,AD5)</f>
        <v>0</v>
      </c>
      <c r="G5" s="334"/>
      <c r="H5" s="334"/>
      <c r="I5" s="334"/>
      <c r="J5" s="334"/>
      <c r="K5" s="334"/>
      <c r="L5" s="334"/>
      <c r="M5" s="334"/>
      <c r="N5" s="334"/>
      <c r="O5" s="334"/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4"/>
      <c r="AA5" s="334"/>
      <c r="AB5" s="334"/>
      <c r="AC5" s="334"/>
      <c r="AD5" s="342"/>
    </row>
    <row r="6" spans="1:30" ht="13.5" thickBot="1">
      <c r="B6" s="331"/>
      <c r="C6" s="879"/>
      <c r="D6" s="880"/>
      <c r="E6" s="333">
        <f t="shared" si="0"/>
        <v>0</v>
      </c>
      <c r="F6" s="333">
        <f t="shared" si="1"/>
        <v>0</v>
      </c>
      <c r="G6" s="334"/>
      <c r="H6" s="334"/>
      <c r="I6" s="334"/>
      <c r="J6" s="334"/>
      <c r="K6" s="334"/>
      <c r="L6" s="334"/>
      <c r="M6" s="334"/>
      <c r="N6" s="334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4"/>
      <c r="AA6" s="334"/>
      <c r="AB6" s="334"/>
      <c r="AC6" s="334"/>
      <c r="AD6" s="342"/>
    </row>
    <row r="7" spans="1:30" ht="15.75" thickBot="1">
      <c r="B7" s="850" t="s">
        <v>145</v>
      </c>
      <c r="C7" s="851"/>
      <c r="D7" s="336">
        <f>SUBTOTAL(103,C$5:$C$6)</f>
        <v>0</v>
      </c>
      <c r="E7" s="338">
        <f>SUBTOTAL(109,E$5:$E$6)</f>
        <v>0</v>
      </c>
      <c r="F7" s="338">
        <f>SUBTOTAL(109,F$5:$F$6)</f>
        <v>0</v>
      </c>
      <c r="G7" s="338">
        <f>SUBTOTAL(103,G$5:$G$6)</f>
        <v>0</v>
      </c>
      <c r="H7" s="338">
        <f>SUBTOTAL(109,H$5:$H$6)</f>
        <v>0</v>
      </c>
      <c r="I7" s="338">
        <f>SUBTOTAL(103,I$5:$I$6)</f>
        <v>0</v>
      </c>
      <c r="J7" s="338">
        <f>SUBTOTAL(109,J$5:$J$6)</f>
        <v>0</v>
      </c>
      <c r="K7" s="338">
        <f>SUBTOTAL(103,K$5:$K$6)</f>
        <v>0</v>
      </c>
      <c r="L7" s="338">
        <f>SUBTOTAL(109,L$5:$L$6)</f>
        <v>0</v>
      </c>
      <c r="M7" s="338">
        <f>SUBTOTAL(103,M$5:$M$6)</f>
        <v>0</v>
      </c>
      <c r="N7" s="338">
        <f>SUBTOTAL(109,N$5:$N$6)</f>
        <v>0</v>
      </c>
      <c r="O7" s="338">
        <f>SUBTOTAL(103,O$5:$O$6)</f>
        <v>0</v>
      </c>
      <c r="P7" s="338">
        <f>SUBTOTAL(109,P$5:$P$6)</f>
        <v>0</v>
      </c>
      <c r="Q7" s="338">
        <f>SUBTOTAL(103,Q$5:$Q$6)</f>
        <v>0</v>
      </c>
      <c r="R7" s="338">
        <f>SUBTOTAL(109,R$5:$R$6)</f>
        <v>0</v>
      </c>
      <c r="S7" s="338">
        <f>SUBTOTAL(103,S$5:$S$6)</f>
        <v>0</v>
      </c>
      <c r="T7" s="338">
        <f>SUBTOTAL(109,T$5:$T$6)</f>
        <v>0</v>
      </c>
      <c r="U7" s="338">
        <f>SUBTOTAL(103,U$5:$U$6)</f>
        <v>0</v>
      </c>
      <c r="V7" s="338">
        <f>SUBTOTAL(109,V$5:$V$6)</f>
        <v>0</v>
      </c>
      <c r="W7" s="338">
        <f>SUBTOTAL(103,W$5:$W$6)</f>
        <v>0</v>
      </c>
      <c r="X7" s="338">
        <f>SUBTOTAL(109,X$5:$X$6)</f>
        <v>0</v>
      </c>
      <c r="Y7" s="338">
        <f>SUBTOTAL(103,Y$5:$Y$6)</f>
        <v>0</v>
      </c>
      <c r="Z7" s="338">
        <f>SUBTOTAL(109,Z$5:$Z$6)</f>
        <v>0</v>
      </c>
      <c r="AA7" s="338">
        <f>SUBTOTAL(103,AA$5:$AA$6)</f>
        <v>0</v>
      </c>
      <c r="AB7" s="338">
        <f>SUBTOTAL(109,AB$5:$AB$6)</f>
        <v>0</v>
      </c>
      <c r="AC7" s="338">
        <f>SUBTOTAL(103,AC$5:$AC$6)</f>
        <v>0</v>
      </c>
      <c r="AD7" s="339">
        <f>SUBTOTAL(109,AD$5:$AD$6)</f>
        <v>0</v>
      </c>
    </row>
    <row r="8" spans="1:30" ht="13.5" thickBot="1"/>
    <row r="9" spans="1:30" s="361" customFormat="1" ht="18" thickBot="1">
      <c r="A9" s="360">
        <v>2</v>
      </c>
      <c r="B9" s="842" t="s">
        <v>995</v>
      </c>
      <c r="C9" s="881"/>
      <c r="D9" s="881"/>
      <c r="E9" s="881"/>
      <c r="F9" s="881"/>
      <c r="G9" s="881"/>
      <c r="H9" s="886"/>
    </row>
    <row r="10" spans="1:30" ht="30">
      <c r="B10" s="345" t="s">
        <v>980</v>
      </c>
      <c r="C10" s="346" t="s">
        <v>638</v>
      </c>
      <c r="D10" s="347" t="s">
        <v>996</v>
      </c>
      <c r="E10" s="347" t="s">
        <v>982</v>
      </c>
      <c r="F10" s="348" t="s">
        <v>983</v>
      </c>
      <c r="G10" s="887" t="s">
        <v>984</v>
      </c>
      <c r="H10" s="888"/>
    </row>
    <row r="11" spans="1:30">
      <c r="B11" s="350"/>
      <c r="C11" s="351"/>
      <c r="D11" s="352"/>
      <c r="E11" s="353"/>
      <c r="F11" s="353"/>
      <c r="G11" s="364"/>
      <c r="H11" s="365"/>
    </row>
    <row r="12" spans="1:30" ht="13.5" thickBot="1">
      <c r="B12" s="343"/>
      <c r="C12" s="355"/>
      <c r="D12" s="355"/>
      <c r="E12" s="356"/>
      <c r="F12" s="356"/>
      <c r="G12" s="889"/>
      <c r="H12" s="890"/>
    </row>
  </sheetData>
  <mergeCells count="22">
    <mergeCell ref="AC3:AD3"/>
    <mergeCell ref="B2:AD2"/>
    <mergeCell ref="B3:B4"/>
    <mergeCell ref="C3:D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B9:H9"/>
    <mergeCell ref="G10:H10"/>
    <mergeCell ref="G12:H12"/>
    <mergeCell ref="C5:D5"/>
    <mergeCell ref="C6:D6"/>
    <mergeCell ref="B7:C7"/>
  </mergeCells>
  <dataValidations count="1">
    <dataValidation type="list" allowBlank="1" showInputMessage="1" showErrorMessage="1" sqref="IA65539:IA65540 RW65539:RW65540 ABS65539:ABS65540 ALO65539:ALO65540 AVK65539:AVK65540 BFG65539:BFG65540 BPC65539:BPC65540 BYY65539:BYY65540 CIU65539:CIU65540 CSQ65539:CSQ65540 DCM65539:DCM65540 DMI65539:DMI65540 DWE65539:DWE65540 EGA65539:EGA65540 EPW65539:EPW65540 EZS65539:EZS65540 FJO65539:FJO65540 FTK65539:FTK65540 GDG65539:GDG65540 GNC65539:GNC65540 GWY65539:GWY65540 HGU65539:HGU65540 HQQ65539:HQQ65540 IAM65539:IAM65540 IKI65539:IKI65540 IUE65539:IUE65540 JEA65539:JEA65540 JNW65539:JNW65540 JXS65539:JXS65540 KHO65539:KHO65540 KRK65539:KRK65540 LBG65539:LBG65540 LLC65539:LLC65540 LUY65539:LUY65540 MEU65539:MEU65540 MOQ65539:MOQ65540 MYM65539:MYM65540 NII65539:NII65540 NSE65539:NSE65540 OCA65539:OCA65540 OLW65539:OLW65540 OVS65539:OVS65540 PFO65539:PFO65540 PPK65539:PPK65540 PZG65539:PZG65540 QJC65539:QJC65540 QSY65539:QSY65540 RCU65539:RCU65540 RMQ65539:RMQ65540 RWM65539:RWM65540 SGI65539:SGI65540 SQE65539:SQE65540 TAA65539:TAA65540 TJW65539:TJW65540 TTS65539:TTS65540 UDO65539:UDO65540 UNK65539:UNK65540 UXG65539:UXG65540 VHC65539:VHC65540 VQY65539:VQY65540 WAU65539:WAU65540 WKQ65539:WKQ65540 WUM65539:WUM65540 IA131075:IA131076 RW131075:RW131076 ABS131075:ABS131076 ALO131075:ALO131076 AVK131075:AVK131076 BFG131075:BFG131076 BPC131075:BPC131076 BYY131075:BYY131076 CIU131075:CIU131076 CSQ131075:CSQ131076 DCM131075:DCM131076 DMI131075:DMI131076 DWE131075:DWE131076 EGA131075:EGA131076 EPW131075:EPW131076 EZS131075:EZS131076 FJO131075:FJO131076 FTK131075:FTK131076 GDG131075:GDG131076 GNC131075:GNC131076 GWY131075:GWY131076 HGU131075:HGU131076 HQQ131075:HQQ131076 IAM131075:IAM131076 IKI131075:IKI131076 IUE131075:IUE131076 JEA131075:JEA131076 JNW131075:JNW131076 JXS131075:JXS131076 KHO131075:KHO131076 KRK131075:KRK131076 LBG131075:LBG131076 LLC131075:LLC131076 LUY131075:LUY131076 MEU131075:MEU131076 MOQ131075:MOQ131076 MYM131075:MYM131076 NII131075:NII131076 NSE131075:NSE131076 OCA131075:OCA131076 OLW131075:OLW131076 OVS131075:OVS131076 PFO131075:PFO131076 PPK131075:PPK131076 PZG131075:PZG131076 QJC131075:QJC131076 QSY131075:QSY131076 RCU131075:RCU131076 RMQ131075:RMQ131076 RWM131075:RWM131076 SGI131075:SGI131076 SQE131075:SQE131076 TAA131075:TAA131076 TJW131075:TJW131076 TTS131075:TTS131076 UDO131075:UDO131076 UNK131075:UNK131076 UXG131075:UXG131076 VHC131075:VHC131076 VQY131075:VQY131076 WAU131075:WAU131076 WKQ131075:WKQ131076 WUM131075:WUM131076 IA196611:IA196612 RW196611:RW196612 ABS196611:ABS196612 ALO196611:ALO196612 AVK196611:AVK196612 BFG196611:BFG196612 BPC196611:BPC196612 BYY196611:BYY196612 CIU196611:CIU196612 CSQ196611:CSQ196612 DCM196611:DCM196612 DMI196611:DMI196612 DWE196611:DWE196612 EGA196611:EGA196612 EPW196611:EPW196612 EZS196611:EZS196612 FJO196611:FJO196612 FTK196611:FTK196612 GDG196611:GDG196612 GNC196611:GNC196612 GWY196611:GWY196612 HGU196611:HGU196612 HQQ196611:HQQ196612 IAM196611:IAM196612 IKI196611:IKI196612 IUE196611:IUE196612 JEA196611:JEA196612 JNW196611:JNW196612 JXS196611:JXS196612 KHO196611:KHO196612 KRK196611:KRK196612 LBG196611:LBG196612 LLC196611:LLC196612 LUY196611:LUY196612 MEU196611:MEU196612 MOQ196611:MOQ196612 MYM196611:MYM196612 NII196611:NII196612 NSE196611:NSE196612 OCA196611:OCA196612 OLW196611:OLW196612 OVS196611:OVS196612 PFO196611:PFO196612 PPK196611:PPK196612 PZG196611:PZG196612 QJC196611:QJC196612 QSY196611:QSY196612 RCU196611:RCU196612 RMQ196611:RMQ196612 RWM196611:RWM196612 SGI196611:SGI196612 SQE196611:SQE196612 TAA196611:TAA196612 TJW196611:TJW196612 TTS196611:TTS196612 UDO196611:UDO196612 UNK196611:UNK196612 UXG196611:UXG196612 VHC196611:VHC196612 VQY196611:VQY196612 WAU196611:WAU196612 WKQ196611:WKQ196612 WUM196611:WUM196612 IA262147:IA262148 RW262147:RW262148 ABS262147:ABS262148 ALO262147:ALO262148 AVK262147:AVK262148 BFG262147:BFG262148 BPC262147:BPC262148 BYY262147:BYY262148 CIU262147:CIU262148 CSQ262147:CSQ262148 DCM262147:DCM262148 DMI262147:DMI262148 DWE262147:DWE262148 EGA262147:EGA262148 EPW262147:EPW262148 EZS262147:EZS262148 FJO262147:FJO262148 FTK262147:FTK262148 GDG262147:GDG262148 GNC262147:GNC262148 GWY262147:GWY262148 HGU262147:HGU262148 HQQ262147:HQQ262148 IAM262147:IAM262148 IKI262147:IKI262148 IUE262147:IUE262148 JEA262147:JEA262148 JNW262147:JNW262148 JXS262147:JXS262148 KHO262147:KHO262148 KRK262147:KRK262148 LBG262147:LBG262148 LLC262147:LLC262148 LUY262147:LUY262148 MEU262147:MEU262148 MOQ262147:MOQ262148 MYM262147:MYM262148 NII262147:NII262148 NSE262147:NSE262148 OCA262147:OCA262148 OLW262147:OLW262148 OVS262147:OVS262148 PFO262147:PFO262148 PPK262147:PPK262148 PZG262147:PZG262148 QJC262147:QJC262148 QSY262147:QSY262148 RCU262147:RCU262148 RMQ262147:RMQ262148 RWM262147:RWM262148 SGI262147:SGI262148 SQE262147:SQE262148 TAA262147:TAA262148 TJW262147:TJW262148 TTS262147:TTS262148 UDO262147:UDO262148 UNK262147:UNK262148 UXG262147:UXG262148 VHC262147:VHC262148 VQY262147:VQY262148 WAU262147:WAU262148 WKQ262147:WKQ262148 WUM262147:WUM262148 IA327683:IA327684 RW327683:RW327684 ABS327683:ABS327684 ALO327683:ALO327684 AVK327683:AVK327684 BFG327683:BFG327684 BPC327683:BPC327684 BYY327683:BYY327684 CIU327683:CIU327684 CSQ327683:CSQ327684 DCM327683:DCM327684 DMI327683:DMI327684 DWE327683:DWE327684 EGA327683:EGA327684 EPW327683:EPW327684 EZS327683:EZS327684 FJO327683:FJO327684 FTK327683:FTK327684 GDG327683:GDG327684 GNC327683:GNC327684 GWY327683:GWY327684 HGU327683:HGU327684 HQQ327683:HQQ327684 IAM327683:IAM327684 IKI327683:IKI327684 IUE327683:IUE327684 JEA327683:JEA327684 JNW327683:JNW327684 JXS327683:JXS327684 KHO327683:KHO327684 KRK327683:KRK327684 LBG327683:LBG327684 LLC327683:LLC327684 LUY327683:LUY327684 MEU327683:MEU327684 MOQ327683:MOQ327684 MYM327683:MYM327684 NII327683:NII327684 NSE327683:NSE327684 OCA327683:OCA327684 OLW327683:OLW327684 OVS327683:OVS327684 PFO327683:PFO327684 PPK327683:PPK327684 PZG327683:PZG327684 QJC327683:QJC327684 QSY327683:QSY327684 RCU327683:RCU327684 RMQ327683:RMQ327684 RWM327683:RWM327684 SGI327683:SGI327684 SQE327683:SQE327684 TAA327683:TAA327684 TJW327683:TJW327684 TTS327683:TTS327684 UDO327683:UDO327684 UNK327683:UNK327684 UXG327683:UXG327684 VHC327683:VHC327684 VQY327683:VQY327684 WAU327683:WAU327684 WKQ327683:WKQ327684 WUM327683:WUM327684 IA393219:IA393220 RW393219:RW393220 ABS393219:ABS393220 ALO393219:ALO393220 AVK393219:AVK393220 BFG393219:BFG393220 BPC393219:BPC393220 BYY393219:BYY393220 CIU393219:CIU393220 CSQ393219:CSQ393220 DCM393219:DCM393220 DMI393219:DMI393220 DWE393219:DWE393220 EGA393219:EGA393220 EPW393219:EPW393220 EZS393219:EZS393220 FJO393219:FJO393220 FTK393219:FTK393220 GDG393219:GDG393220 GNC393219:GNC393220 GWY393219:GWY393220 HGU393219:HGU393220 HQQ393219:HQQ393220 IAM393219:IAM393220 IKI393219:IKI393220 IUE393219:IUE393220 JEA393219:JEA393220 JNW393219:JNW393220 JXS393219:JXS393220 KHO393219:KHO393220 KRK393219:KRK393220 LBG393219:LBG393220 LLC393219:LLC393220 LUY393219:LUY393220 MEU393219:MEU393220 MOQ393219:MOQ393220 MYM393219:MYM393220 NII393219:NII393220 NSE393219:NSE393220 OCA393219:OCA393220 OLW393219:OLW393220 OVS393219:OVS393220 PFO393219:PFO393220 PPK393219:PPK393220 PZG393219:PZG393220 QJC393219:QJC393220 QSY393219:QSY393220 RCU393219:RCU393220 RMQ393219:RMQ393220 RWM393219:RWM393220 SGI393219:SGI393220 SQE393219:SQE393220 TAA393219:TAA393220 TJW393219:TJW393220 TTS393219:TTS393220 UDO393219:UDO393220 UNK393219:UNK393220 UXG393219:UXG393220 VHC393219:VHC393220 VQY393219:VQY393220 WAU393219:WAU393220 WKQ393219:WKQ393220 WUM393219:WUM393220 IA458755:IA458756 RW458755:RW458756 ABS458755:ABS458756 ALO458755:ALO458756 AVK458755:AVK458756 BFG458755:BFG458756 BPC458755:BPC458756 BYY458755:BYY458756 CIU458755:CIU458756 CSQ458755:CSQ458756 DCM458755:DCM458756 DMI458755:DMI458756 DWE458755:DWE458756 EGA458755:EGA458756 EPW458755:EPW458756 EZS458755:EZS458756 FJO458755:FJO458756 FTK458755:FTK458756 GDG458755:GDG458756 GNC458755:GNC458756 GWY458755:GWY458756 HGU458755:HGU458756 HQQ458755:HQQ458756 IAM458755:IAM458756 IKI458755:IKI458756 IUE458755:IUE458756 JEA458755:JEA458756 JNW458755:JNW458756 JXS458755:JXS458756 KHO458755:KHO458756 KRK458755:KRK458756 LBG458755:LBG458756 LLC458755:LLC458756 LUY458755:LUY458756 MEU458755:MEU458756 MOQ458755:MOQ458756 MYM458755:MYM458756 NII458755:NII458756 NSE458755:NSE458756 OCA458755:OCA458756 OLW458755:OLW458756 OVS458755:OVS458756 PFO458755:PFO458756 PPK458755:PPK458756 PZG458755:PZG458756 QJC458755:QJC458756 QSY458755:QSY458756 RCU458755:RCU458756 RMQ458755:RMQ458756 RWM458755:RWM458756 SGI458755:SGI458756 SQE458755:SQE458756 TAA458755:TAA458756 TJW458755:TJW458756 TTS458755:TTS458756 UDO458755:UDO458756 UNK458755:UNK458756 UXG458755:UXG458756 VHC458755:VHC458756 VQY458755:VQY458756 WAU458755:WAU458756 WKQ458755:WKQ458756 WUM458755:WUM458756 IA524291:IA524292 RW524291:RW524292 ABS524291:ABS524292 ALO524291:ALO524292 AVK524291:AVK524292 BFG524291:BFG524292 BPC524291:BPC524292 BYY524291:BYY524292 CIU524291:CIU524292 CSQ524291:CSQ524292 DCM524291:DCM524292 DMI524291:DMI524292 DWE524291:DWE524292 EGA524291:EGA524292 EPW524291:EPW524292 EZS524291:EZS524292 FJO524291:FJO524292 FTK524291:FTK524292 GDG524291:GDG524292 GNC524291:GNC524292 GWY524291:GWY524292 HGU524291:HGU524292 HQQ524291:HQQ524292 IAM524291:IAM524292 IKI524291:IKI524292 IUE524291:IUE524292 JEA524291:JEA524292 JNW524291:JNW524292 JXS524291:JXS524292 KHO524291:KHO524292 KRK524291:KRK524292 LBG524291:LBG524292 LLC524291:LLC524292 LUY524291:LUY524292 MEU524291:MEU524292 MOQ524291:MOQ524292 MYM524291:MYM524292 NII524291:NII524292 NSE524291:NSE524292 OCA524291:OCA524292 OLW524291:OLW524292 OVS524291:OVS524292 PFO524291:PFO524292 PPK524291:PPK524292 PZG524291:PZG524292 QJC524291:QJC524292 QSY524291:QSY524292 RCU524291:RCU524292 RMQ524291:RMQ524292 RWM524291:RWM524292 SGI524291:SGI524292 SQE524291:SQE524292 TAA524291:TAA524292 TJW524291:TJW524292 TTS524291:TTS524292 UDO524291:UDO524292 UNK524291:UNK524292 UXG524291:UXG524292 VHC524291:VHC524292 VQY524291:VQY524292 WAU524291:WAU524292 WKQ524291:WKQ524292 WUM524291:WUM524292 IA589827:IA589828 RW589827:RW589828 ABS589827:ABS589828 ALO589827:ALO589828 AVK589827:AVK589828 BFG589827:BFG589828 BPC589827:BPC589828 BYY589827:BYY589828 CIU589827:CIU589828 CSQ589827:CSQ589828 DCM589827:DCM589828 DMI589827:DMI589828 DWE589827:DWE589828 EGA589827:EGA589828 EPW589827:EPW589828 EZS589827:EZS589828 FJO589827:FJO589828 FTK589827:FTK589828 GDG589827:GDG589828 GNC589827:GNC589828 GWY589827:GWY589828 HGU589827:HGU589828 HQQ589827:HQQ589828 IAM589827:IAM589828 IKI589827:IKI589828 IUE589827:IUE589828 JEA589827:JEA589828 JNW589827:JNW589828 JXS589827:JXS589828 KHO589827:KHO589828 KRK589827:KRK589828 LBG589827:LBG589828 LLC589827:LLC589828 LUY589827:LUY589828 MEU589827:MEU589828 MOQ589827:MOQ589828 MYM589827:MYM589828 NII589827:NII589828 NSE589827:NSE589828 OCA589827:OCA589828 OLW589827:OLW589828 OVS589827:OVS589828 PFO589827:PFO589828 PPK589827:PPK589828 PZG589827:PZG589828 QJC589827:QJC589828 QSY589827:QSY589828 RCU589827:RCU589828 RMQ589827:RMQ589828 RWM589827:RWM589828 SGI589827:SGI589828 SQE589827:SQE589828 TAA589827:TAA589828 TJW589827:TJW589828 TTS589827:TTS589828 UDO589827:UDO589828 UNK589827:UNK589828 UXG589827:UXG589828 VHC589827:VHC589828 VQY589827:VQY589828 WAU589827:WAU589828 WKQ589827:WKQ589828 WUM589827:WUM589828 IA655363:IA655364 RW655363:RW655364 ABS655363:ABS655364 ALO655363:ALO655364 AVK655363:AVK655364 BFG655363:BFG655364 BPC655363:BPC655364 BYY655363:BYY655364 CIU655363:CIU655364 CSQ655363:CSQ655364 DCM655363:DCM655364 DMI655363:DMI655364 DWE655363:DWE655364 EGA655363:EGA655364 EPW655363:EPW655364 EZS655363:EZS655364 FJO655363:FJO655364 FTK655363:FTK655364 GDG655363:GDG655364 GNC655363:GNC655364 GWY655363:GWY655364 HGU655363:HGU655364 HQQ655363:HQQ655364 IAM655363:IAM655364 IKI655363:IKI655364 IUE655363:IUE655364 JEA655363:JEA655364 JNW655363:JNW655364 JXS655363:JXS655364 KHO655363:KHO655364 KRK655363:KRK655364 LBG655363:LBG655364 LLC655363:LLC655364 LUY655363:LUY655364 MEU655363:MEU655364 MOQ655363:MOQ655364 MYM655363:MYM655364 NII655363:NII655364 NSE655363:NSE655364 OCA655363:OCA655364 OLW655363:OLW655364 OVS655363:OVS655364 PFO655363:PFO655364 PPK655363:PPK655364 PZG655363:PZG655364 QJC655363:QJC655364 QSY655363:QSY655364 RCU655363:RCU655364 RMQ655363:RMQ655364 RWM655363:RWM655364 SGI655363:SGI655364 SQE655363:SQE655364 TAA655363:TAA655364 TJW655363:TJW655364 TTS655363:TTS655364 UDO655363:UDO655364 UNK655363:UNK655364 UXG655363:UXG655364 VHC655363:VHC655364 VQY655363:VQY655364 WAU655363:WAU655364 WKQ655363:WKQ655364 WUM655363:WUM655364 IA720899:IA720900 RW720899:RW720900 ABS720899:ABS720900 ALO720899:ALO720900 AVK720899:AVK720900 BFG720899:BFG720900 BPC720899:BPC720900 BYY720899:BYY720900 CIU720899:CIU720900 CSQ720899:CSQ720900 DCM720899:DCM720900 DMI720899:DMI720900 DWE720899:DWE720900 EGA720899:EGA720900 EPW720899:EPW720900 EZS720899:EZS720900 FJO720899:FJO720900 FTK720899:FTK720900 GDG720899:GDG720900 GNC720899:GNC720900 GWY720899:GWY720900 HGU720899:HGU720900 HQQ720899:HQQ720900 IAM720899:IAM720900 IKI720899:IKI720900 IUE720899:IUE720900 JEA720899:JEA720900 JNW720899:JNW720900 JXS720899:JXS720900 KHO720899:KHO720900 KRK720899:KRK720900 LBG720899:LBG720900 LLC720899:LLC720900 LUY720899:LUY720900 MEU720899:MEU720900 MOQ720899:MOQ720900 MYM720899:MYM720900 NII720899:NII720900 NSE720899:NSE720900 OCA720899:OCA720900 OLW720899:OLW720900 OVS720899:OVS720900 PFO720899:PFO720900 PPK720899:PPK720900 PZG720899:PZG720900 QJC720899:QJC720900 QSY720899:QSY720900 RCU720899:RCU720900 RMQ720899:RMQ720900 RWM720899:RWM720900 SGI720899:SGI720900 SQE720899:SQE720900 TAA720899:TAA720900 TJW720899:TJW720900 TTS720899:TTS720900 UDO720899:UDO720900 UNK720899:UNK720900 UXG720899:UXG720900 VHC720899:VHC720900 VQY720899:VQY720900 WAU720899:WAU720900 WKQ720899:WKQ720900 WUM720899:WUM720900 IA786435:IA786436 RW786435:RW786436 ABS786435:ABS786436 ALO786435:ALO786436 AVK786435:AVK786436 BFG786435:BFG786436 BPC786435:BPC786436 BYY786435:BYY786436 CIU786435:CIU786436 CSQ786435:CSQ786436 DCM786435:DCM786436 DMI786435:DMI786436 DWE786435:DWE786436 EGA786435:EGA786436 EPW786435:EPW786436 EZS786435:EZS786436 FJO786435:FJO786436 FTK786435:FTK786436 GDG786435:GDG786436 GNC786435:GNC786436 GWY786435:GWY786436 HGU786435:HGU786436 HQQ786435:HQQ786436 IAM786435:IAM786436 IKI786435:IKI786436 IUE786435:IUE786436 JEA786435:JEA786436 JNW786435:JNW786436 JXS786435:JXS786436 KHO786435:KHO786436 KRK786435:KRK786436 LBG786435:LBG786436 LLC786435:LLC786436 LUY786435:LUY786436 MEU786435:MEU786436 MOQ786435:MOQ786436 MYM786435:MYM786436 NII786435:NII786436 NSE786435:NSE786436 OCA786435:OCA786436 OLW786435:OLW786436 OVS786435:OVS786436 PFO786435:PFO786436 PPK786435:PPK786436 PZG786435:PZG786436 QJC786435:QJC786436 QSY786435:QSY786436 RCU786435:RCU786436 RMQ786435:RMQ786436 RWM786435:RWM786436 SGI786435:SGI786436 SQE786435:SQE786436 TAA786435:TAA786436 TJW786435:TJW786436 TTS786435:TTS786436 UDO786435:UDO786436 UNK786435:UNK786436 UXG786435:UXG786436 VHC786435:VHC786436 VQY786435:VQY786436 WAU786435:WAU786436 WKQ786435:WKQ786436 WUM786435:WUM786436 IA851971:IA851972 RW851971:RW851972 ABS851971:ABS851972 ALO851971:ALO851972 AVK851971:AVK851972 BFG851971:BFG851972 BPC851971:BPC851972 BYY851971:BYY851972 CIU851971:CIU851972 CSQ851971:CSQ851972 DCM851971:DCM851972 DMI851971:DMI851972 DWE851971:DWE851972 EGA851971:EGA851972 EPW851971:EPW851972 EZS851971:EZS851972 FJO851971:FJO851972 FTK851971:FTK851972 GDG851971:GDG851972 GNC851971:GNC851972 GWY851971:GWY851972 HGU851971:HGU851972 HQQ851971:HQQ851972 IAM851971:IAM851972 IKI851971:IKI851972 IUE851971:IUE851972 JEA851971:JEA851972 JNW851971:JNW851972 JXS851971:JXS851972 KHO851971:KHO851972 KRK851971:KRK851972 LBG851971:LBG851972 LLC851971:LLC851972 LUY851971:LUY851972 MEU851971:MEU851972 MOQ851971:MOQ851972 MYM851971:MYM851972 NII851971:NII851972 NSE851971:NSE851972 OCA851971:OCA851972 OLW851971:OLW851972 OVS851971:OVS851972 PFO851971:PFO851972 PPK851971:PPK851972 PZG851971:PZG851972 QJC851971:QJC851972 QSY851971:QSY851972 RCU851971:RCU851972 RMQ851971:RMQ851972 RWM851971:RWM851972 SGI851971:SGI851972 SQE851971:SQE851972 TAA851971:TAA851972 TJW851971:TJW851972 TTS851971:TTS851972 UDO851971:UDO851972 UNK851971:UNK851972 UXG851971:UXG851972 VHC851971:VHC851972 VQY851971:VQY851972 WAU851971:WAU851972 WKQ851971:WKQ851972 WUM851971:WUM851972 IA917507:IA917508 RW917507:RW917508 ABS917507:ABS917508 ALO917507:ALO917508 AVK917507:AVK917508 BFG917507:BFG917508 BPC917507:BPC917508 BYY917507:BYY917508 CIU917507:CIU917508 CSQ917507:CSQ917508 DCM917507:DCM917508 DMI917507:DMI917508 DWE917507:DWE917508 EGA917507:EGA917508 EPW917507:EPW917508 EZS917507:EZS917508 FJO917507:FJO917508 FTK917507:FTK917508 GDG917507:GDG917508 GNC917507:GNC917508 GWY917507:GWY917508 HGU917507:HGU917508 HQQ917507:HQQ917508 IAM917507:IAM917508 IKI917507:IKI917508 IUE917507:IUE917508 JEA917507:JEA917508 JNW917507:JNW917508 JXS917507:JXS917508 KHO917507:KHO917508 KRK917507:KRK917508 LBG917507:LBG917508 LLC917507:LLC917508 LUY917507:LUY917508 MEU917507:MEU917508 MOQ917507:MOQ917508 MYM917507:MYM917508 NII917507:NII917508 NSE917507:NSE917508 OCA917507:OCA917508 OLW917507:OLW917508 OVS917507:OVS917508 PFO917507:PFO917508 PPK917507:PPK917508 PZG917507:PZG917508 QJC917507:QJC917508 QSY917507:QSY917508 RCU917507:RCU917508 RMQ917507:RMQ917508 RWM917507:RWM917508 SGI917507:SGI917508 SQE917507:SQE917508 TAA917507:TAA917508 TJW917507:TJW917508 TTS917507:TTS917508 UDO917507:UDO917508 UNK917507:UNK917508 UXG917507:UXG917508 VHC917507:VHC917508 VQY917507:VQY917508 WAU917507:WAU917508 WKQ917507:WKQ917508 WUM917507:WUM917508 IA983043:IA983044 RW983043:RW983044 ABS983043:ABS983044 ALO983043:ALO983044 AVK983043:AVK983044 BFG983043:BFG983044 BPC983043:BPC983044 BYY983043:BYY983044 CIU983043:CIU983044 CSQ983043:CSQ983044 DCM983043:DCM983044 DMI983043:DMI983044 DWE983043:DWE983044 EGA983043:EGA983044 EPW983043:EPW983044 EZS983043:EZS983044 FJO983043:FJO983044 FTK983043:FTK983044 GDG983043:GDG983044 GNC983043:GNC983044 GWY983043:GWY983044 HGU983043:HGU983044 HQQ983043:HQQ983044 IAM983043:IAM983044 IKI983043:IKI983044 IUE983043:IUE983044 JEA983043:JEA983044 JNW983043:JNW983044 JXS983043:JXS983044 KHO983043:KHO983044 KRK983043:KRK983044 LBG983043:LBG983044 LLC983043:LLC983044 LUY983043:LUY983044 MEU983043:MEU983044 MOQ983043:MOQ983044 MYM983043:MYM983044 NII983043:NII983044 NSE983043:NSE983044 OCA983043:OCA983044 OLW983043:OLW983044 OVS983043:OVS983044 PFO983043:PFO983044 PPK983043:PPK983044 PZG983043:PZG983044 QJC983043:QJC983044 QSY983043:QSY983044 RCU983043:RCU983044 RMQ983043:RMQ983044 RWM983043:RWM983044 SGI983043:SGI983044 SQE983043:SQE983044 TAA983043:TAA983044 TJW983043:TJW983044 TTS983043:TTS983044 UDO983043:UDO983044 UNK983043:UNK983044 UXG983043:UXG983044 VHC983043:VHC983044 VQY983043:VQY983044 WAU983043:WAU983044 WKQ983043:WKQ983044 WUM983043:WUM983044 HX5:HX6 WUJ5:WUJ6 WKN5:WKN6 WAR5:WAR6 VQV5:VQV6 VGZ5:VGZ6 UXD5:UXD6 UNH5:UNH6 UDL5:UDL6 TTP5:TTP6 TJT5:TJT6 SZX5:SZX6 SQB5:SQB6 SGF5:SGF6 RWJ5:RWJ6 RMN5:RMN6 RCR5:RCR6 QSV5:QSV6 QIZ5:QIZ6 PZD5:PZD6 PPH5:PPH6 PFL5:PFL6 OVP5:OVP6 OLT5:OLT6 OBX5:OBX6 NSB5:NSB6 NIF5:NIF6 MYJ5:MYJ6 MON5:MON6 MER5:MER6 LUV5:LUV6 LKZ5:LKZ6 LBD5:LBD6 KRH5:KRH6 KHL5:KHL6 JXP5:JXP6 JNT5:JNT6 JDX5:JDX6 IUB5:IUB6 IKF5:IKF6 IAJ5:IAJ6 HQN5:HQN6 HGR5:HGR6 GWV5:GWV6 GMZ5:GMZ6 GDD5:GDD6 FTH5:FTH6 FJL5:FJL6 EZP5:EZP6 EPT5:EPT6 EFX5:EFX6 DWB5:DWB6 DMF5:DMF6 DCJ5:DCJ6 CSN5:CSN6 CIR5:CIR6 BYV5:BYV6 BOZ5:BOZ6 BFD5:BFD6 AVH5:AVH6 ALL5:ALL6 ABP5:ABP6 RT5:RT6" xr:uid="{5D9BC805-EA07-411B-A6E9-8ABA47C58828}">
      <formula1>"Home Loan, LAP,Vehicle Loan,CVL, Personal Loan,Business Loan, CC/OD,Term Loan,Machinery Loan,Education Loan"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Error" error="Not a valid Date" promptTitle="Date" prompt="Insert a date (DD)" xr:uid="{EE9077BE-1733-4478-B6A9-7669FD8F962C}">
          <x14:formula1>
            <xm:f>1</xm:f>
          </x14:formula1>
          <x14:formula2>
            <xm:f>31</xm:f>
          </x14:formula2>
          <xm:sqref>J65540:J65541 IO65539:IO65540 SK65539:SK65540 ACG65539:ACG65540 AMC65539:AMC65540 AVY65539:AVY65540 BFU65539:BFU65540 BPQ65539:BPQ65540 BZM65539:BZM65540 CJI65539:CJI65540 CTE65539:CTE65540 DDA65539:DDA65540 DMW65539:DMW65540 DWS65539:DWS65540 EGO65539:EGO65540 EQK65539:EQK65540 FAG65539:FAG65540 FKC65539:FKC65540 FTY65539:FTY65540 GDU65539:GDU65540 GNQ65539:GNQ65540 GXM65539:GXM65540 HHI65539:HHI65540 HRE65539:HRE65540 IBA65539:IBA65540 IKW65539:IKW65540 IUS65539:IUS65540 JEO65539:JEO65540 JOK65539:JOK65540 JYG65539:JYG65540 KIC65539:KIC65540 KRY65539:KRY65540 LBU65539:LBU65540 LLQ65539:LLQ65540 LVM65539:LVM65540 MFI65539:MFI65540 MPE65539:MPE65540 MZA65539:MZA65540 NIW65539:NIW65540 NSS65539:NSS65540 OCO65539:OCO65540 OMK65539:OMK65540 OWG65539:OWG65540 PGC65539:PGC65540 PPY65539:PPY65540 PZU65539:PZU65540 QJQ65539:QJQ65540 QTM65539:QTM65540 RDI65539:RDI65540 RNE65539:RNE65540 RXA65539:RXA65540 SGW65539:SGW65540 SQS65539:SQS65540 TAO65539:TAO65540 TKK65539:TKK65540 TUG65539:TUG65540 UEC65539:UEC65540 UNY65539:UNY65540 UXU65539:UXU65540 VHQ65539:VHQ65540 VRM65539:VRM65540 WBI65539:WBI65540 WLE65539:WLE65540 WVA65539:WVA65540 J131076:J131077 IO131075:IO131076 SK131075:SK131076 ACG131075:ACG131076 AMC131075:AMC131076 AVY131075:AVY131076 BFU131075:BFU131076 BPQ131075:BPQ131076 BZM131075:BZM131076 CJI131075:CJI131076 CTE131075:CTE131076 DDA131075:DDA131076 DMW131075:DMW131076 DWS131075:DWS131076 EGO131075:EGO131076 EQK131075:EQK131076 FAG131075:FAG131076 FKC131075:FKC131076 FTY131075:FTY131076 GDU131075:GDU131076 GNQ131075:GNQ131076 GXM131075:GXM131076 HHI131075:HHI131076 HRE131075:HRE131076 IBA131075:IBA131076 IKW131075:IKW131076 IUS131075:IUS131076 JEO131075:JEO131076 JOK131075:JOK131076 JYG131075:JYG131076 KIC131075:KIC131076 KRY131075:KRY131076 LBU131075:LBU131076 LLQ131075:LLQ131076 LVM131075:LVM131076 MFI131075:MFI131076 MPE131075:MPE131076 MZA131075:MZA131076 NIW131075:NIW131076 NSS131075:NSS131076 OCO131075:OCO131076 OMK131075:OMK131076 OWG131075:OWG131076 PGC131075:PGC131076 PPY131075:PPY131076 PZU131075:PZU131076 QJQ131075:QJQ131076 QTM131075:QTM131076 RDI131075:RDI131076 RNE131075:RNE131076 RXA131075:RXA131076 SGW131075:SGW131076 SQS131075:SQS131076 TAO131075:TAO131076 TKK131075:TKK131076 TUG131075:TUG131076 UEC131075:UEC131076 UNY131075:UNY131076 UXU131075:UXU131076 VHQ131075:VHQ131076 VRM131075:VRM131076 WBI131075:WBI131076 WLE131075:WLE131076 WVA131075:WVA131076 J196612:J196613 IO196611:IO196612 SK196611:SK196612 ACG196611:ACG196612 AMC196611:AMC196612 AVY196611:AVY196612 BFU196611:BFU196612 BPQ196611:BPQ196612 BZM196611:BZM196612 CJI196611:CJI196612 CTE196611:CTE196612 DDA196611:DDA196612 DMW196611:DMW196612 DWS196611:DWS196612 EGO196611:EGO196612 EQK196611:EQK196612 FAG196611:FAG196612 FKC196611:FKC196612 FTY196611:FTY196612 GDU196611:GDU196612 GNQ196611:GNQ196612 GXM196611:GXM196612 HHI196611:HHI196612 HRE196611:HRE196612 IBA196611:IBA196612 IKW196611:IKW196612 IUS196611:IUS196612 JEO196611:JEO196612 JOK196611:JOK196612 JYG196611:JYG196612 KIC196611:KIC196612 KRY196611:KRY196612 LBU196611:LBU196612 LLQ196611:LLQ196612 LVM196611:LVM196612 MFI196611:MFI196612 MPE196611:MPE196612 MZA196611:MZA196612 NIW196611:NIW196612 NSS196611:NSS196612 OCO196611:OCO196612 OMK196611:OMK196612 OWG196611:OWG196612 PGC196611:PGC196612 PPY196611:PPY196612 PZU196611:PZU196612 QJQ196611:QJQ196612 QTM196611:QTM196612 RDI196611:RDI196612 RNE196611:RNE196612 RXA196611:RXA196612 SGW196611:SGW196612 SQS196611:SQS196612 TAO196611:TAO196612 TKK196611:TKK196612 TUG196611:TUG196612 UEC196611:UEC196612 UNY196611:UNY196612 UXU196611:UXU196612 VHQ196611:VHQ196612 VRM196611:VRM196612 WBI196611:WBI196612 WLE196611:WLE196612 WVA196611:WVA196612 J262148:J262149 IO262147:IO262148 SK262147:SK262148 ACG262147:ACG262148 AMC262147:AMC262148 AVY262147:AVY262148 BFU262147:BFU262148 BPQ262147:BPQ262148 BZM262147:BZM262148 CJI262147:CJI262148 CTE262147:CTE262148 DDA262147:DDA262148 DMW262147:DMW262148 DWS262147:DWS262148 EGO262147:EGO262148 EQK262147:EQK262148 FAG262147:FAG262148 FKC262147:FKC262148 FTY262147:FTY262148 GDU262147:GDU262148 GNQ262147:GNQ262148 GXM262147:GXM262148 HHI262147:HHI262148 HRE262147:HRE262148 IBA262147:IBA262148 IKW262147:IKW262148 IUS262147:IUS262148 JEO262147:JEO262148 JOK262147:JOK262148 JYG262147:JYG262148 KIC262147:KIC262148 KRY262147:KRY262148 LBU262147:LBU262148 LLQ262147:LLQ262148 LVM262147:LVM262148 MFI262147:MFI262148 MPE262147:MPE262148 MZA262147:MZA262148 NIW262147:NIW262148 NSS262147:NSS262148 OCO262147:OCO262148 OMK262147:OMK262148 OWG262147:OWG262148 PGC262147:PGC262148 PPY262147:PPY262148 PZU262147:PZU262148 QJQ262147:QJQ262148 QTM262147:QTM262148 RDI262147:RDI262148 RNE262147:RNE262148 RXA262147:RXA262148 SGW262147:SGW262148 SQS262147:SQS262148 TAO262147:TAO262148 TKK262147:TKK262148 TUG262147:TUG262148 UEC262147:UEC262148 UNY262147:UNY262148 UXU262147:UXU262148 VHQ262147:VHQ262148 VRM262147:VRM262148 WBI262147:WBI262148 WLE262147:WLE262148 WVA262147:WVA262148 J327684:J327685 IO327683:IO327684 SK327683:SK327684 ACG327683:ACG327684 AMC327683:AMC327684 AVY327683:AVY327684 BFU327683:BFU327684 BPQ327683:BPQ327684 BZM327683:BZM327684 CJI327683:CJI327684 CTE327683:CTE327684 DDA327683:DDA327684 DMW327683:DMW327684 DWS327683:DWS327684 EGO327683:EGO327684 EQK327683:EQK327684 FAG327683:FAG327684 FKC327683:FKC327684 FTY327683:FTY327684 GDU327683:GDU327684 GNQ327683:GNQ327684 GXM327683:GXM327684 HHI327683:HHI327684 HRE327683:HRE327684 IBA327683:IBA327684 IKW327683:IKW327684 IUS327683:IUS327684 JEO327683:JEO327684 JOK327683:JOK327684 JYG327683:JYG327684 KIC327683:KIC327684 KRY327683:KRY327684 LBU327683:LBU327684 LLQ327683:LLQ327684 LVM327683:LVM327684 MFI327683:MFI327684 MPE327683:MPE327684 MZA327683:MZA327684 NIW327683:NIW327684 NSS327683:NSS327684 OCO327683:OCO327684 OMK327683:OMK327684 OWG327683:OWG327684 PGC327683:PGC327684 PPY327683:PPY327684 PZU327683:PZU327684 QJQ327683:QJQ327684 QTM327683:QTM327684 RDI327683:RDI327684 RNE327683:RNE327684 RXA327683:RXA327684 SGW327683:SGW327684 SQS327683:SQS327684 TAO327683:TAO327684 TKK327683:TKK327684 TUG327683:TUG327684 UEC327683:UEC327684 UNY327683:UNY327684 UXU327683:UXU327684 VHQ327683:VHQ327684 VRM327683:VRM327684 WBI327683:WBI327684 WLE327683:WLE327684 WVA327683:WVA327684 J393220:J393221 IO393219:IO393220 SK393219:SK393220 ACG393219:ACG393220 AMC393219:AMC393220 AVY393219:AVY393220 BFU393219:BFU393220 BPQ393219:BPQ393220 BZM393219:BZM393220 CJI393219:CJI393220 CTE393219:CTE393220 DDA393219:DDA393220 DMW393219:DMW393220 DWS393219:DWS393220 EGO393219:EGO393220 EQK393219:EQK393220 FAG393219:FAG393220 FKC393219:FKC393220 FTY393219:FTY393220 GDU393219:GDU393220 GNQ393219:GNQ393220 GXM393219:GXM393220 HHI393219:HHI393220 HRE393219:HRE393220 IBA393219:IBA393220 IKW393219:IKW393220 IUS393219:IUS393220 JEO393219:JEO393220 JOK393219:JOK393220 JYG393219:JYG393220 KIC393219:KIC393220 KRY393219:KRY393220 LBU393219:LBU393220 LLQ393219:LLQ393220 LVM393219:LVM393220 MFI393219:MFI393220 MPE393219:MPE393220 MZA393219:MZA393220 NIW393219:NIW393220 NSS393219:NSS393220 OCO393219:OCO393220 OMK393219:OMK393220 OWG393219:OWG393220 PGC393219:PGC393220 PPY393219:PPY393220 PZU393219:PZU393220 QJQ393219:QJQ393220 QTM393219:QTM393220 RDI393219:RDI393220 RNE393219:RNE393220 RXA393219:RXA393220 SGW393219:SGW393220 SQS393219:SQS393220 TAO393219:TAO393220 TKK393219:TKK393220 TUG393219:TUG393220 UEC393219:UEC393220 UNY393219:UNY393220 UXU393219:UXU393220 VHQ393219:VHQ393220 VRM393219:VRM393220 WBI393219:WBI393220 WLE393219:WLE393220 WVA393219:WVA393220 J458756:J458757 IO458755:IO458756 SK458755:SK458756 ACG458755:ACG458756 AMC458755:AMC458756 AVY458755:AVY458756 BFU458755:BFU458756 BPQ458755:BPQ458756 BZM458755:BZM458756 CJI458755:CJI458756 CTE458755:CTE458756 DDA458755:DDA458756 DMW458755:DMW458756 DWS458755:DWS458756 EGO458755:EGO458756 EQK458755:EQK458756 FAG458755:FAG458756 FKC458755:FKC458756 FTY458755:FTY458756 GDU458755:GDU458756 GNQ458755:GNQ458756 GXM458755:GXM458756 HHI458755:HHI458756 HRE458755:HRE458756 IBA458755:IBA458756 IKW458755:IKW458756 IUS458755:IUS458756 JEO458755:JEO458756 JOK458755:JOK458756 JYG458755:JYG458756 KIC458755:KIC458756 KRY458755:KRY458756 LBU458755:LBU458756 LLQ458755:LLQ458756 LVM458755:LVM458756 MFI458755:MFI458756 MPE458755:MPE458756 MZA458755:MZA458756 NIW458755:NIW458756 NSS458755:NSS458756 OCO458755:OCO458756 OMK458755:OMK458756 OWG458755:OWG458756 PGC458755:PGC458756 PPY458755:PPY458756 PZU458755:PZU458756 QJQ458755:QJQ458756 QTM458755:QTM458756 RDI458755:RDI458756 RNE458755:RNE458756 RXA458755:RXA458756 SGW458755:SGW458756 SQS458755:SQS458756 TAO458755:TAO458756 TKK458755:TKK458756 TUG458755:TUG458756 UEC458755:UEC458756 UNY458755:UNY458756 UXU458755:UXU458756 VHQ458755:VHQ458756 VRM458755:VRM458756 WBI458755:WBI458756 WLE458755:WLE458756 WVA458755:WVA458756 J524292:J524293 IO524291:IO524292 SK524291:SK524292 ACG524291:ACG524292 AMC524291:AMC524292 AVY524291:AVY524292 BFU524291:BFU524292 BPQ524291:BPQ524292 BZM524291:BZM524292 CJI524291:CJI524292 CTE524291:CTE524292 DDA524291:DDA524292 DMW524291:DMW524292 DWS524291:DWS524292 EGO524291:EGO524292 EQK524291:EQK524292 FAG524291:FAG524292 FKC524291:FKC524292 FTY524291:FTY524292 GDU524291:GDU524292 GNQ524291:GNQ524292 GXM524291:GXM524292 HHI524291:HHI524292 HRE524291:HRE524292 IBA524291:IBA524292 IKW524291:IKW524292 IUS524291:IUS524292 JEO524291:JEO524292 JOK524291:JOK524292 JYG524291:JYG524292 KIC524291:KIC524292 KRY524291:KRY524292 LBU524291:LBU524292 LLQ524291:LLQ524292 LVM524291:LVM524292 MFI524291:MFI524292 MPE524291:MPE524292 MZA524291:MZA524292 NIW524291:NIW524292 NSS524291:NSS524292 OCO524291:OCO524292 OMK524291:OMK524292 OWG524291:OWG524292 PGC524291:PGC524292 PPY524291:PPY524292 PZU524291:PZU524292 QJQ524291:QJQ524292 QTM524291:QTM524292 RDI524291:RDI524292 RNE524291:RNE524292 RXA524291:RXA524292 SGW524291:SGW524292 SQS524291:SQS524292 TAO524291:TAO524292 TKK524291:TKK524292 TUG524291:TUG524292 UEC524291:UEC524292 UNY524291:UNY524292 UXU524291:UXU524292 VHQ524291:VHQ524292 VRM524291:VRM524292 WBI524291:WBI524292 WLE524291:WLE524292 WVA524291:WVA524292 J589828:J589829 IO589827:IO589828 SK589827:SK589828 ACG589827:ACG589828 AMC589827:AMC589828 AVY589827:AVY589828 BFU589827:BFU589828 BPQ589827:BPQ589828 BZM589827:BZM589828 CJI589827:CJI589828 CTE589827:CTE589828 DDA589827:DDA589828 DMW589827:DMW589828 DWS589827:DWS589828 EGO589827:EGO589828 EQK589827:EQK589828 FAG589827:FAG589828 FKC589827:FKC589828 FTY589827:FTY589828 GDU589827:GDU589828 GNQ589827:GNQ589828 GXM589827:GXM589828 HHI589827:HHI589828 HRE589827:HRE589828 IBA589827:IBA589828 IKW589827:IKW589828 IUS589827:IUS589828 JEO589827:JEO589828 JOK589827:JOK589828 JYG589827:JYG589828 KIC589827:KIC589828 KRY589827:KRY589828 LBU589827:LBU589828 LLQ589827:LLQ589828 LVM589827:LVM589828 MFI589827:MFI589828 MPE589827:MPE589828 MZA589827:MZA589828 NIW589827:NIW589828 NSS589827:NSS589828 OCO589827:OCO589828 OMK589827:OMK589828 OWG589827:OWG589828 PGC589827:PGC589828 PPY589827:PPY589828 PZU589827:PZU589828 QJQ589827:QJQ589828 QTM589827:QTM589828 RDI589827:RDI589828 RNE589827:RNE589828 RXA589827:RXA589828 SGW589827:SGW589828 SQS589827:SQS589828 TAO589827:TAO589828 TKK589827:TKK589828 TUG589827:TUG589828 UEC589827:UEC589828 UNY589827:UNY589828 UXU589827:UXU589828 VHQ589827:VHQ589828 VRM589827:VRM589828 WBI589827:WBI589828 WLE589827:WLE589828 WVA589827:WVA589828 J655364:J655365 IO655363:IO655364 SK655363:SK655364 ACG655363:ACG655364 AMC655363:AMC655364 AVY655363:AVY655364 BFU655363:BFU655364 BPQ655363:BPQ655364 BZM655363:BZM655364 CJI655363:CJI655364 CTE655363:CTE655364 DDA655363:DDA655364 DMW655363:DMW655364 DWS655363:DWS655364 EGO655363:EGO655364 EQK655363:EQK655364 FAG655363:FAG655364 FKC655363:FKC655364 FTY655363:FTY655364 GDU655363:GDU655364 GNQ655363:GNQ655364 GXM655363:GXM655364 HHI655363:HHI655364 HRE655363:HRE655364 IBA655363:IBA655364 IKW655363:IKW655364 IUS655363:IUS655364 JEO655363:JEO655364 JOK655363:JOK655364 JYG655363:JYG655364 KIC655363:KIC655364 KRY655363:KRY655364 LBU655363:LBU655364 LLQ655363:LLQ655364 LVM655363:LVM655364 MFI655363:MFI655364 MPE655363:MPE655364 MZA655363:MZA655364 NIW655363:NIW655364 NSS655363:NSS655364 OCO655363:OCO655364 OMK655363:OMK655364 OWG655363:OWG655364 PGC655363:PGC655364 PPY655363:PPY655364 PZU655363:PZU655364 QJQ655363:QJQ655364 QTM655363:QTM655364 RDI655363:RDI655364 RNE655363:RNE655364 RXA655363:RXA655364 SGW655363:SGW655364 SQS655363:SQS655364 TAO655363:TAO655364 TKK655363:TKK655364 TUG655363:TUG655364 UEC655363:UEC655364 UNY655363:UNY655364 UXU655363:UXU655364 VHQ655363:VHQ655364 VRM655363:VRM655364 WBI655363:WBI655364 WLE655363:WLE655364 WVA655363:WVA655364 J720900:J720901 IO720899:IO720900 SK720899:SK720900 ACG720899:ACG720900 AMC720899:AMC720900 AVY720899:AVY720900 BFU720899:BFU720900 BPQ720899:BPQ720900 BZM720899:BZM720900 CJI720899:CJI720900 CTE720899:CTE720900 DDA720899:DDA720900 DMW720899:DMW720900 DWS720899:DWS720900 EGO720899:EGO720900 EQK720899:EQK720900 FAG720899:FAG720900 FKC720899:FKC720900 FTY720899:FTY720900 GDU720899:GDU720900 GNQ720899:GNQ720900 GXM720899:GXM720900 HHI720899:HHI720900 HRE720899:HRE720900 IBA720899:IBA720900 IKW720899:IKW720900 IUS720899:IUS720900 JEO720899:JEO720900 JOK720899:JOK720900 JYG720899:JYG720900 KIC720899:KIC720900 KRY720899:KRY720900 LBU720899:LBU720900 LLQ720899:LLQ720900 LVM720899:LVM720900 MFI720899:MFI720900 MPE720899:MPE720900 MZA720899:MZA720900 NIW720899:NIW720900 NSS720899:NSS720900 OCO720899:OCO720900 OMK720899:OMK720900 OWG720899:OWG720900 PGC720899:PGC720900 PPY720899:PPY720900 PZU720899:PZU720900 QJQ720899:QJQ720900 QTM720899:QTM720900 RDI720899:RDI720900 RNE720899:RNE720900 RXA720899:RXA720900 SGW720899:SGW720900 SQS720899:SQS720900 TAO720899:TAO720900 TKK720899:TKK720900 TUG720899:TUG720900 UEC720899:UEC720900 UNY720899:UNY720900 UXU720899:UXU720900 VHQ720899:VHQ720900 VRM720899:VRM720900 WBI720899:WBI720900 WLE720899:WLE720900 WVA720899:WVA720900 J786436:J786437 IO786435:IO786436 SK786435:SK786436 ACG786435:ACG786436 AMC786435:AMC786436 AVY786435:AVY786436 BFU786435:BFU786436 BPQ786435:BPQ786436 BZM786435:BZM786436 CJI786435:CJI786436 CTE786435:CTE786436 DDA786435:DDA786436 DMW786435:DMW786436 DWS786435:DWS786436 EGO786435:EGO786436 EQK786435:EQK786436 FAG786435:FAG786436 FKC786435:FKC786436 FTY786435:FTY786436 GDU786435:GDU786436 GNQ786435:GNQ786436 GXM786435:GXM786436 HHI786435:HHI786436 HRE786435:HRE786436 IBA786435:IBA786436 IKW786435:IKW786436 IUS786435:IUS786436 JEO786435:JEO786436 JOK786435:JOK786436 JYG786435:JYG786436 KIC786435:KIC786436 KRY786435:KRY786436 LBU786435:LBU786436 LLQ786435:LLQ786436 LVM786435:LVM786436 MFI786435:MFI786436 MPE786435:MPE786436 MZA786435:MZA786436 NIW786435:NIW786436 NSS786435:NSS786436 OCO786435:OCO786436 OMK786435:OMK786436 OWG786435:OWG786436 PGC786435:PGC786436 PPY786435:PPY786436 PZU786435:PZU786436 QJQ786435:QJQ786436 QTM786435:QTM786436 RDI786435:RDI786436 RNE786435:RNE786436 RXA786435:RXA786436 SGW786435:SGW786436 SQS786435:SQS786436 TAO786435:TAO786436 TKK786435:TKK786436 TUG786435:TUG786436 UEC786435:UEC786436 UNY786435:UNY786436 UXU786435:UXU786436 VHQ786435:VHQ786436 VRM786435:VRM786436 WBI786435:WBI786436 WLE786435:WLE786436 WVA786435:WVA786436 J851972:J851973 IO851971:IO851972 SK851971:SK851972 ACG851971:ACG851972 AMC851971:AMC851972 AVY851971:AVY851972 BFU851971:BFU851972 BPQ851971:BPQ851972 BZM851971:BZM851972 CJI851971:CJI851972 CTE851971:CTE851972 DDA851971:DDA851972 DMW851971:DMW851972 DWS851971:DWS851972 EGO851971:EGO851972 EQK851971:EQK851972 FAG851971:FAG851972 FKC851971:FKC851972 FTY851971:FTY851972 GDU851971:GDU851972 GNQ851971:GNQ851972 GXM851971:GXM851972 HHI851971:HHI851972 HRE851971:HRE851972 IBA851971:IBA851972 IKW851971:IKW851972 IUS851971:IUS851972 JEO851971:JEO851972 JOK851971:JOK851972 JYG851971:JYG851972 KIC851971:KIC851972 KRY851971:KRY851972 LBU851971:LBU851972 LLQ851971:LLQ851972 LVM851971:LVM851972 MFI851971:MFI851972 MPE851971:MPE851972 MZA851971:MZA851972 NIW851971:NIW851972 NSS851971:NSS851972 OCO851971:OCO851972 OMK851971:OMK851972 OWG851971:OWG851972 PGC851971:PGC851972 PPY851971:PPY851972 PZU851971:PZU851972 QJQ851971:QJQ851972 QTM851971:QTM851972 RDI851971:RDI851972 RNE851971:RNE851972 RXA851971:RXA851972 SGW851971:SGW851972 SQS851971:SQS851972 TAO851971:TAO851972 TKK851971:TKK851972 TUG851971:TUG851972 UEC851971:UEC851972 UNY851971:UNY851972 UXU851971:UXU851972 VHQ851971:VHQ851972 VRM851971:VRM851972 WBI851971:WBI851972 WLE851971:WLE851972 WVA851971:WVA851972 J917508:J917509 IO917507:IO917508 SK917507:SK917508 ACG917507:ACG917508 AMC917507:AMC917508 AVY917507:AVY917508 BFU917507:BFU917508 BPQ917507:BPQ917508 BZM917507:BZM917508 CJI917507:CJI917508 CTE917507:CTE917508 DDA917507:DDA917508 DMW917507:DMW917508 DWS917507:DWS917508 EGO917507:EGO917508 EQK917507:EQK917508 FAG917507:FAG917508 FKC917507:FKC917508 FTY917507:FTY917508 GDU917507:GDU917508 GNQ917507:GNQ917508 GXM917507:GXM917508 HHI917507:HHI917508 HRE917507:HRE917508 IBA917507:IBA917508 IKW917507:IKW917508 IUS917507:IUS917508 JEO917507:JEO917508 JOK917507:JOK917508 JYG917507:JYG917508 KIC917507:KIC917508 KRY917507:KRY917508 LBU917507:LBU917508 LLQ917507:LLQ917508 LVM917507:LVM917508 MFI917507:MFI917508 MPE917507:MPE917508 MZA917507:MZA917508 NIW917507:NIW917508 NSS917507:NSS917508 OCO917507:OCO917508 OMK917507:OMK917508 OWG917507:OWG917508 PGC917507:PGC917508 PPY917507:PPY917508 PZU917507:PZU917508 QJQ917507:QJQ917508 QTM917507:QTM917508 RDI917507:RDI917508 RNE917507:RNE917508 RXA917507:RXA917508 SGW917507:SGW917508 SQS917507:SQS917508 TAO917507:TAO917508 TKK917507:TKK917508 TUG917507:TUG917508 UEC917507:UEC917508 UNY917507:UNY917508 UXU917507:UXU917508 VHQ917507:VHQ917508 VRM917507:VRM917508 WBI917507:WBI917508 WLE917507:WLE917508 WVA917507:WVA917508 J983044:J983045 IO983043:IO983044 SK983043:SK983044 ACG983043:ACG983044 AMC983043:AMC983044 AVY983043:AVY983044 BFU983043:BFU983044 BPQ983043:BPQ983044 BZM983043:BZM983044 CJI983043:CJI983044 CTE983043:CTE983044 DDA983043:DDA983044 DMW983043:DMW983044 DWS983043:DWS983044 EGO983043:EGO983044 EQK983043:EQK983044 FAG983043:FAG983044 FKC983043:FKC983044 FTY983043:FTY983044 GDU983043:GDU983044 GNQ983043:GNQ983044 GXM983043:GXM983044 HHI983043:HHI983044 HRE983043:HRE983044 IBA983043:IBA983044 IKW983043:IKW983044 IUS983043:IUS983044 JEO983043:JEO983044 JOK983043:JOK983044 JYG983043:JYG983044 KIC983043:KIC983044 KRY983043:KRY983044 LBU983043:LBU983044 LLQ983043:LLQ983044 LVM983043:LVM983044 MFI983043:MFI983044 MPE983043:MPE983044 MZA983043:MZA983044 NIW983043:NIW983044 NSS983043:NSS983044 OCO983043:OCO983044 OMK983043:OMK983044 OWG983043:OWG983044 PGC983043:PGC983044 PPY983043:PPY983044 PZU983043:PZU983044 QJQ983043:QJQ983044 QTM983043:QTM983044 RDI983043:RDI983044 RNE983043:RNE983044 RXA983043:RXA983044 SGW983043:SGW983044 SQS983043:SQS983044 TAO983043:TAO983044 TKK983043:TKK983044 TUG983043:TUG983044 UEC983043:UEC983044 UNY983043:UNY983044 UXU983043:UXU983044 VHQ983043:VHQ983044 VRM983043:VRM983044 WBI983043:WBI983044 WLE983043:WLE983044 WVA983043:WVA983044 L65540:L65541 IR65539:IR65540 SN65539:SN65540 ACJ65539:ACJ65540 AMF65539:AMF65540 AWB65539:AWB65540 BFX65539:BFX65540 BPT65539:BPT65540 BZP65539:BZP65540 CJL65539:CJL65540 CTH65539:CTH65540 DDD65539:DDD65540 DMZ65539:DMZ65540 DWV65539:DWV65540 EGR65539:EGR65540 EQN65539:EQN65540 FAJ65539:FAJ65540 FKF65539:FKF65540 FUB65539:FUB65540 GDX65539:GDX65540 GNT65539:GNT65540 GXP65539:GXP65540 HHL65539:HHL65540 HRH65539:HRH65540 IBD65539:IBD65540 IKZ65539:IKZ65540 IUV65539:IUV65540 JER65539:JER65540 JON65539:JON65540 JYJ65539:JYJ65540 KIF65539:KIF65540 KSB65539:KSB65540 LBX65539:LBX65540 LLT65539:LLT65540 LVP65539:LVP65540 MFL65539:MFL65540 MPH65539:MPH65540 MZD65539:MZD65540 NIZ65539:NIZ65540 NSV65539:NSV65540 OCR65539:OCR65540 OMN65539:OMN65540 OWJ65539:OWJ65540 PGF65539:PGF65540 PQB65539:PQB65540 PZX65539:PZX65540 QJT65539:QJT65540 QTP65539:QTP65540 RDL65539:RDL65540 RNH65539:RNH65540 RXD65539:RXD65540 SGZ65539:SGZ65540 SQV65539:SQV65540 TAR65539:TAR65540 TKN65539:TKN65540 TUJ65539:TUJ65540 UEF65539:UEF65540 UOB65539:UOB65540 UXX65539:UXX65540 VHT65539:VHT65540 VRP65539:VRP65540 WBL65539:WBL65540 WLH65539:WLH65540 WVD65539:WVD65540 L131076:L131077 IR131075:IR131076 SN131075:SN131076 ACJ131075:ACJ131076 AMF131075:AMF131076 AWB131075:AWB131076 BFX131075:BFX131076 BPT131075:BPT131076 BZP131075:BZP131076 CJL131075:CJL131076 CTH131075:CTH131076 DDD131075:DDD131076 DMZ131075:DMZ131076 DWV131075:DWV131076 EGR131075:EGR131076 EQN131075:EQN131076 FAJ131075:FAJ131076 FKF131075:FKF131076 FUB131075:FUB131076 GDX131075:GDX131076 GNT131075:GNT131076 GXP131075:GXP131076 HHL131075:HHL131076 HRH131075:HRH131076 IBD131075:IBD131076 IKZ131075:IKZ131076 IUV131075:IUV131076 JER131075:JER131076 JON131075:JON131076 JYJ131075:JYJ131076 KIF131075:KIF131076 KSB131075:KSB131076 LBX131075:LBX131076 LLT131075:LLT131076 LVP131075:LVP131076 MFL131075:MFL131076 MPH131075:MPH131076 MZD131075:MZD131076 NIZ131075:NIZ131076 NSV131075:NSV131076 OCR131075:OCR131076 OMN131075:OMN131076 OWJ131075:OWJ131076 PGF131075:PGF131076 PQB131075:PQB131076 PZX131075:PZX131076 QJT131075:QJT131076 QTP131075:QTP131076 RDL131075:RDL131076 RNH131075:RNH131076 RXD131075:RXD131076 SGZ131075:SGZ131076 SQV131075:SQV131076 TAR131075:TAR131076 TKN131075:TKN131076 TUJ131075:TUJ131076 UEF131075:UEF131076 UOB131075:UOB131076 UXX131075:UXX131076 VHT131075:VHT131076 VRP131075:VRP131076 WBL131075:WBL131076 WLH131075:WLH131076 WVD131075:WVD131076 L196612:L196613 IR196611:IR196612 SN196611:SN196612 ACJ196611:ACJ196612 AMF196611:AMF196612 AWB196611:AWB196612 BFX196611:BFX196612 BPT196611:BPT196612 BZP196611:BZP196612 CJL196611:CJL196612 CTH196611:CTH196612 DDD196611:DDD196612 DMZ196611:DMZ196612 DWV196611:DWV196612 EGR196611:EGR196612 EQN196611:EQN196612 FAJ196611:FAJ196612 FKF196611:FKF196612 FUB196611:FUB196612 GDX196611:GDX196612 GNT196611:GNT196612 GXP196611:GXP196612 HHL196611:HHL196612 HRH196611:HRH196612 IBD196611:IBD196612 IKZ196611:IKZ196612 IUV196611:IUV196612 JER196611:JER196612 JON196611:JON196612 JYJ196611:JYJ196612 KIF196611:KIF196612 KSB196611:KSB196612 LBX196611:LBX196612 LLT196611:LLT196612 LVP196611:LVP196612 MFL196611:MFL196612 MPH196611:MPH196612 MZD196611:MZD196612 NIZ196611:NIZ196612 NSV196611:NSV196612 OCR196611:OCR196612 OMN196611:OMN196612 OWJ196611:OWJ196612 PGF196611:PGF196612 PQB196611:PQB196612 PZX196611:PZX196612 QJT196611:QJT196612 QTP196611:QTP196612 RDL196611:RDL196612 RNH196611:RNH196612 RXD196611:RXD196612 SGZ196611:SGZ196612 SQV196611:SQV196612 TAR196611:TAR196612 TKN196611:TKN196612 TUJ196611:TUJ196612 UEF196611:UEF196612 UOB196611:UOB196612 UXX196611:UXX196612 VHT196611:VHT196612 VRP196611:VRP196612 WBL196611:WBL196612 WLH196611:WLH196612 WVD196611:WVD196612 L262148:L262149 IR262147:IR262148 SN262147:SN262148 ACJ262147:ACJ262148 AMF262147:AMF262148 AWB262147:AWB262148 BFX262147:BFX262148 BPT262147:BPT262148 BZP262147:BZP262148 CJL262147:CJL262148 CTH262147:CTH262148 DDD262147:DDD262148 DMZ262147:DMZ262148 DWV262147:DWV262148 EGR262147:EGR262148 EQN262147:EQN262148 FAJ262147:FAJ262148 FKF262147:FKF262148 FUB262147:FUB262148 GDX262147:GDX262148 GNT262147:GNT262148 GXP262147:GXP262148 HHL262147:HHL262148 HRH262147:HRH262148 IBD262147:IBD262148 IKZ262147:IKZ262148 IUV262147:IUV262148 JER262147:JER262148 JON262147:JON262148 JYJ262147:JYJ262148 KIF262147:KIF262148 KSB262147:KSB262148 LBX262147:LBX262148 LLT262147:LLT262148 LVP262147:LVP262148 MFL262147:MFL262148 MPH262147:MPH262148 MZD262147:MZD262148 NIZ262147:NIZ262148 NSV262147:NSV262148 OCR262147:OCR262148 OMN262147:OMN262148 OWJ262147:OWJ262148 PGF262147:PGF262148 PQB262147:PQB262148 PZX262147:PZX262148 QJT262147:QJT262148 QTP262147:QTP262148 RDL262147:RDL262148 RNH262147:RNH262148 RXD262147:RXD262148 SGZ262147:SGZ262148 SQV262147:SQV262148 TAR262147:TAR262148 TKN262147:TKN262148 TUJ262147:TUJ262148 UEF262147:UEF262148 UOB262147:UOB262148 UXX262147:UXX262148 VHT262147:VHT262148 VRP262147:VRP262148 WBL262147:WBL262148 WLH262147:WLH262148 WVD262147:WVD262148 L327684:L327685 IR327683:IR327684 SN327683:SN327684 ACJ327683:ACJ327684 AMF327683:AMF327684 AWB327683:AWB327684 BFX327683:BFX327684 BPT327683:BPT327684 BZP327683:BZP327684 CJL327683:CJL327684 CTH327683:CTH327684 DDD327683:DDD327684 DMZ327683:DMZ327684 DWV327683:DWV327684 EGR327683:EGR327684 EQN327683:EQN327684 FAJ327683:FAJ327684 FKF327683:FKF327684 FUB327683:FUB327684 GDX327683:GDX327684 GNT327683:GNT327684 GXP327683:GXP327684 HHL327683:HHL327684 HRH327683:HRH327684 IBD327683:IBD327684 IKZ327683:IKZ327684 IUV327683:IUV327684 JER327683:JER327684 JON327683:JON327684 JYJ327683:JYJ327684 KIF327683:KIF327684 KSB327683:KSB327684 LBX327683:LBX327684 LLT327683:LLT327684 LVP327683:LVP327684 MFL327683:MFL327684 MPH327683:MPH327684 MZD327683:MZD327684 NIZ327683:NIZ327684 NSV327683:NSV327684 OCR327683:OCR327684 OMN327683:OMN327684 OWJ327683:OWJ327684 PGF327683:PGF327684 PQB327683:PQB327684 PZX327683:PZX327684 QJT327683:QJT327684 QTP327683:QTP327684 RDL327683:RDL327684 RNH327683:RNH327684 RXD327683:RXD327684 SGZ327683:SGZ327684 SQV327683:SQV327684 TAR327683:TAR327684 TKN327683:TKN327684 TUJ327683:TUJ327684 UEF327683:UEF327684 UOB327683:UOB327684 UXX327683:UXX327684 VHT327683:VHT327684 VRP327683:VRP327684 WBL327683:WBL327684 WLH327683:WLH327684 WVD327683:WVD327684 L393220:L393221 IR393219:IR393220 SN393219:SN393220 ACJ393219:ACJ393220 AMF393219:AMF393220 AWB393219:AWB393220 BFX393219:BFX393220 BPT393219:BPT393220 BZP393219:BZP393220 CJL393219:CJL393220 CTH393219:CTH393220 DDD393219:DDD393220 DMZ393219:DMZ393220 DWV393219:DWV393220 EGR393219:EGR393220 EQN393219:EQN393220 FAJ393219:FAJ393220 FKF393219:FKF393220 FUB393219:FUB393220 GDX393219:GDX393220 GNT393219:GNT393220 GXP393219:GXP393220 HHL393219:HHL393220 HRH393219:HRH393220 IBD393219:IBD393220 IKZ393219:IKZ393220 IUV393219:IUV393220 JER393219:JER393220 JON393219:JON393220 JYJ393219:JYJ393220 KIF393219:KIF393220 KSB393219:KSB393220 LBX393219:LBX393220 LLT393219:LLT393220 LVP393219:LVP393220 MFL393219:MFL393220 MPH393219:MPH393220 MZD393219:MZD393220 NIZ393219:NIZ393220 NSV393219:NSV393220 OCR393219:OCR393220 OMN393219:OMN393220 OWJ393219:OWJ393220 PGF393219:PGF393220 PQB393219:PQB393220 PZX393219:PZX393220 QJT393219:QJT393220 QTP393219:QTP393220 RDL393219:RDL393220 RNH393219:RNH393220 RXD393219:RXD393220 SGZ393219:SGZ393220 SQV393219:SQV393220 TAR393219:TAR393220 TKN393219:TKN393220 TUJ393219:TUJ393220 UEF393219:UEF393220 UOB393219:UOB393220 UXX393219:UXX393220 VHT393219:VHT393220 VRP393219:VRP393220 WBL393219:WBL393220 WLH393219:WLH393220 WVD393219:WVD393220 L458756:L458757 IR458755:IR458756 SN458755:SN458756 ACJ458755:ACJ458756 AMF458755:AMF458756 AWB458755:AWB458756 BFX458755:BFX458756 BPT458755:BPT458756 BZP458755:BZP458756 CJL458755:CJL458756 CTH458755:CTH458756 DDD458755:DDD458756 DMZ458755:DMZ458756 DWV458755:DWV458756 EGR458755:EGR458756 EQN458755:EQN458756 FAJ458755:FAJ458756 FKF458755:FKF458756 FUB458755:FUB458756 GDX458755:GDX458756 GNT458755:GNT458756 GXP458755:GXP458756 HHL458755:HHL458756 HRH458755:HRH458756 IBD458755:IBD458756 IKZ458755:IKZ458756 IUV458755:IUV458756 JER458755:JER458756 JON458755:JON458756 JYJ458755:JYJ458756 KIF458755:KIF458756 KSB458755:KSB458756 LBX458755:LBX458756 LLT458755:LLT458756 LVP458755:LVP458756 MFL458755:MFL458756 MPH458755:MPH458756 MZD458755:MZD458756 NIZ458755:NIZ458756 NSV458755:NSV458756 OCR458755:OCR458756 OMN458755:OMN458756 OWJ458755:OWJ458756 PGF458755:PGF458756 PQB458755:PQB458756 PZX458755:PZX458756 QJT458755:QJT458756 QTP458755:QTP458756 RDL458755:RDL458756 RNH458755:RNH458756 RXD458755:RXD458756 SGZ458755:SGZ458756 SQV458755:SQV458756 TAR458755:TAR458756 TKN458755:TKN458756 TUJ458755:TUJ458756 UEF458755:UEF458756 UOB458755:UOB458756 UXX458755:UXX458756 VHT458755:VHT458756 VRP458755:VRP458756 WBL458755:WBL458756 WLH458755:WLH458756 WVD458755:WVD458756 L524292:L524293 IR524291:IR524292 SN524291:SN524292 ACJ524291:ACJ524292 AMF524291:AMF524292 AWB524291:AWB524292 BFX524291:BFX524292 BPT524291:BPT524292 BZP524291:BZP524292 CJL524291:CJL524292 CTH524291:CTH524292 DDD524291:DDD524292 DMZ524291:DMZ524292 DWV524291:DWV524292 EGR524291:EGR524292 EQN524291:EQN524292 FAJ524291:FAJ524292 FKF524291:FKF524292 FUB524291:FUB524292 GDX524291:GDX524292 GNT524291:GNT524292 GXP524291:GXP524292 HHL524291:HHL524292 HRH524291:HRH524292 IBD524291:IBD524292 IKZ524291:IKZ524292 IUV524291:IUV524292 JER524291:JER524292 JON524291:JON524292 JYJ524291:JYJ524292 KIF524291:KIF524292 KSB524291:KSB524292 LBX524291:LBX524292 LLT524291:LLT524292 LVP524291:LVP524292 MFL524291:MFL524292 MPH524291:MPH524292 MZD524291:MZD524292 NIZ524291:NIZ524292 NSV524291:NSV524292 OCR524291:OCR524292 OMN524291:OMN524292 OWJ524291:OWJ524292 PGF524291:PGF524292 PQB524291:PQB524292 PZX524291:PZX524292 QJT524291:QJT524292 QTP524291:QTP524292 RDL524291:RDL524292 RNH524291:RNH524292 RXD524291:RXD524292 SGZ524291:SGZ524292 SQV524291:SQV524292 TAR524291:TAR524292 TKN524291:TKN524292 TUJ524291:TUJ524292 UEF524291:UEF524292 UOB524291:UOB524292 UXX524291:UXX524292 VHT524291:VHT524292 VRP524291:VRP524292 WBL524291:WBL524292 WLH524291:WLH524292 WVD524291:WVD524292 L589828:L589829 IR589827:IR589828 SN589827:SN589828 ACJ589827:ACJ589828 AMF589827:AMF589828 AWB589827:AWB589828 BFX589827:BFX589828 BPT589827:BPT589828 BZP589827:BZP589828 CJL589827:CJL589828 CTH589827:CTH589828 DDD589827:DDD589828 DMZ589827:DMZ589828 DWV589827:DWV589828 EGR589827:EGR589828 EQN589827:EQN589828 FAJ589827:FAJ589828 FKF589827:FKF589828 FUB589827:FUB589828 GDX589827:GDX589828 GNT589827:GNT589828 GXP589827:GXP589828 HHL589827:HHL589828 HRH589827:HRH589828 IBD589827:IBD589828 IKZ589827:IKZ589828 IUV589827:IUV589828 JER589827:JER589828 JON589827:JON589828 JYJ589827:JYJ589828 KIF589827:KIF589828 KSB589827:KSB589828 LBX589827:LBX589828 LLT589827:LLT589828 LVP589827:LVP589828 MFL589827:MFL589828 MPH589827:MPH589828 MZD589827:MZD589828 NIZ589827:NIZ589828 NSV589827:NSV589828 OCR589827:OCR589828 OMN589827:OMN589828 OWJ589827:OWJ589828 PGF589827:PGF589828 PQB589827:PQB589828 PZX589827:PZX589828 QJT589827:QJT589828 QTP589827:QTP589828 RDL589827:RDL589828 RNH589827:RNH589828 RXD589827:RXD589828 SGZ589827:SGZ589828 SQV589827:SQV589828 TAR589827:TAR589828 TKN589827:TKN589828 TUJ589827:TUJ589828 UEF589827:UEF589828 UOB589827:UOB589828 UXX589827:UXX589828 VHT589827:VHT589828 VRP589827:VRP589828 WBL589827:WBL589828 WLH589827:WLH589828 WVD589827:WVD589828 L655364:L655365 IR655363:IR655364 SN655363:SN655364 ACJ655363:ACJ655364 AMF655363:AMF655364 AWB655363:AWB655364 BFX655363:BFX655364 BPT655363:BPT655364 BZP655363:BZP655364 CJL655363:CJL655364 CTH655363:CTH655364 DDD655363:DDD655364 DMZ655363:DMZ655364 DWV655363:DWV655364 EGR655363:EGR655364 EQN655363:EQN655364 FAJ655363:FAJ655364 FKF655363:FKF655364 FUB655363:FUB655364 GDX655363:GDX655364 GNT655363:GNT655364 GXP655363:GXP655364 HHL655363:HHL655364 HRH655363:HRH655364 IBD655363:IBD655364 IKZ655363:IKZ655364 IUV655363:IUV655364 JER655363:JER655364 JON655363:JON655364 JYJ655363:JYJ655364 KIF655363:KIF655364 KSB655363:KSB655364 LBX655363:LBX655364 LLT655363:LLT655364 LVP655363:LVP655364 MFL655363:MFL655364 MPH655363:MPH655364 MZD655363:MZD655364 NIZ655363:NIZ655364 NSV655363:NSV655364 OCR655363:OCR655364 OMN655363:OMN655364 OWJ655363:OWJ655364 PGF655363:PGF655364 PQB655363:PQB655364 PZX655363:PZX655364 QJT655363:QJT655364 QTP655363:QTP655364 RDL655363:RDL655364 RNH655363:RNH655364 RXD655363:RXD655364 SGZ655363:SGZ655364 SQV655363:SQV655364 TAR655363:TAR655364 TKN655363:TKN655364 TUJ655363:TUJ655364 UEF655363:UEF655364 UOB655363:UOB655364 UXX655363:UXX655364 VHT655363:VHT655364 VRP655363:VRP655364 WBL655363:WBL655364 WLH655363:WLH655364 WVD655363:WVD655364 L720900:L720901 IR720899:IR720900 SN720899:SN720900 ACJ720899:ACJ720900 AMF720899:AMF720900 AWB720899:AWB720900 BFX720899:BFX720900 BPT720899:BPT720900 BZP720899:BZP720900 CJL720899:CJL720900 CTH720899:CTH720900 DDD720899:DDD720900 DMZ720899:DMZ720900 DWV720899:DWV720900 EGR720899:EGR720900 EQN720899:EQN720900 FAJ720899:FAJ720900 FKF720899:FKF720900 FUB720899:FUB720900 GDX720899:GDX720900 GNT720899:GNT720900 GXP720899:GXP720900 HHL720899:HHL720900 HRH720899:HRH720900 IBD720899:IBD720900 IKZ720899:IKZ720900 IUV720899:IUV720900 JER720899:JER720900 JON720899:JON720900 JYJ720899:JYJ720900 KIF720899:KIF720900 KSB720899:KSB720900 LBX720899:LBX720900 LLT720899:LLT720900 LVP720899:LVP720900 MFL720899:MFL720900 MPH720899:MPH720900 MZD720899:MZD720900 NIZ720899:NIZ720900 NSV720899:NSV720900 OCR720899:OCR720900 OMN720899:OMN720900 OWJ720899:OWJ720900 PGF720899:PGF720900 PQB720899:PQB720900 PZX720899:PZX720900 QJT720899:QJT720900 QTP720899:QTP720900 RDL720899:RDL720900 RNH720899:RNH720900 RXD720899:RXD720900 SGZ720899:SGZ720900 SQV720899:SQV720900 TAR720899:TAR720900 TKN720899:TKN720900 TUJ720899:TUJ720900 UEF720899:UEF720900 UOB720899:UOB720900 UXX720899:UXX720900 VHT720899:VHT720900 VRP720899:VRP720900 WBL720899:WBL720900 WLH720899:WLH720900 WVD720899:WVD720900 L786436:L786437 IR786435:IR786436 SN786435:SN786436 ACJ786435:ACJ786436 AMF786435:AMF786436 AWB786435:AWB786436 BFX786435:BFX786436 BPT786435:BPT786436 BZP786435:BZP786436 CJL786435:CJL786436 CTH786435:CTH786436 DDD786435:DDD786436 DMZ786435:DMZ786436 DWV786435:DWV786436 EGR786435:EGR786436 EQN786435:EQN786436 FAJ786435:FAJ786436 FKF786435:FKF786436 FUB786435:FUB786436 GDX786435:GDX786436 GNT786435:GNT786436 GXP786435:GXP786436 HHL786435:HHL786436 HRH786435:HRH786436 IBD786435:IBD786436 IKZ786435:IKZ786436 IUV786435:IUV786436 JER786435:JER786436 JON786435:JON786436 JYJ786435:JYJ786436 KIF786435:KIF786436 KSB786435:KSB786436 LBX786435:LBX786436 LLT786435:LLT786436 LVP786435:LVP786436 MFL786435:MFL786436 MPH786435:MPH786436 MZD786435:MZD786436 NIZ786435:NIZ786436 NSV786435:NSV786436 OCR786435:OCR786436 OMN786435:OMN786436 OWJ786435:OWJ786436 PGF786435:PGF786436 PQB786435:PQB786436 PZX786435:PZX786436 QJT786435:QJT786436 QTP786435:QTP786436 RDL786435:RDL786436 RNH786435:RNH786436 RXD786435:RXD786436 SGZ786435:SGZ786436 SQV786435:SQV786436 TAR786435:TAR786436 TKN786435:TKN786436 TUJ786435:TUJ786436 UEF786435:UEF786436 UOB786435:UOB786436 UXX786435:UXX786436 VHT786435:VHT786436 VRP786435:VRP786436 WBL786435:WBL786436 WLH786435:WLH786436 WVD786435:WVD786436 L851972:L851973 IR851971:IR851972 SN851971:SN851972 ACJ851971:ACJ851972 AMF851971:AMF851972 AWB851971:AWB851972 BFX851971:BFX851972 BPT851971:BPT851972 BZP851971:BZP851972 CJL851971:CJL851972 CTH851971:CTH851972 DDD851971:DDD851972 DMZ851971:DMZ851972 DWV851971:DWV851972 EGR851971:EGR851972 EQN851971:EQN851972 FAJ851971:FAJ851972 FKF851971:FKF851972 FUB851971:FUB851972 GDX851971:GDX851972 GNT851971:GNT851972 GXP851971:GXP851972 HHL851971:HHL851972 HRH851971:HRH851972 IBD851971:IBD851972 IKZ851971:IKZ851972 IUV851971:IUV851972 JER851971:JER851972 JON851971:JON851972 JYJ851971:JYJ851972 KIF851971:KIF851972 KSB851971:KSB851972 LBX851971:LBX851972 LLT851971:LLT851972 LVP851971:LVP851972 MFL851971:MFL851972 MPH851971:MPH851972 MZD851971:MZD851972 NIZ851971:NIZ851972 NSV851971:NSV851972 OCR851971:OCR851972 OMN851971:OMN851972 OWJ851971:OWJ851972 PGF851971:PGF851972 PQB851971:PQB851972 PZX851971:PZX851972 QJT851971:QJT851972 QTP851971:QTP851972 RDL851971:RDL851972 RNH851971:RNH851972 RXD851971:RXD851972 SGZ851971:SGZ851972 SQV851971:SQV851972 TAR851971:TAR851972 TKN851971:TKN851972 TUJ851971:TUJ851972 UEF851971:UEF851972 UOB851971:UOB851972 UXX851971:UXX851972 VHT851971:VHT851972 VRP851971:VRP851972 WBL851971:WBL851972 WLH851971:WLH851972 WVD851971:WVD851972 L917508:L917509 IR917507:IR917508 SN917507:SN917508 ACJ917507:ACJ917508 AMF917507:AMF917508 AWB917507:AWB917508 BFX917507:BFX917508 BPT917507:BPT917508 BZP917507:BZP917508 CJL917507:CJL917508 CTH917507:CTH917508 DDD917507:DDD917508 DMZ917507:DMZ917508 DWV917507:DWV917508 EGR917507:EGR917508 EQN917507:EQN917508 FAJ917507:FAJ917508 FKF917507:FKF917508 FUB917507:FUB917508 GDX917507:GDX917508 GNT917507:GNT917508 GXP917507:GXP917508 HHL917507:HHL917508 HRH917507:HRH917508 IBD917507:IBD917508 IKZ917507:IKZ917508 IUV917507:IUV917508 JER917507:JER917508 JON917507:JON917508 JYJ917507:JYJ917508 KIF917507:KIF917508 KSB917507:KSB917508 LBX917507:LBX917508 LLT917507:LLT917508 LVP917507:LVP917508 MFL917507:MFL917508 MPH917507:MPH917508 MZD917507:MZD917508 NIZ917507:NIZ917508 NSV917507:NSV917508 OCR917507:OCR917508 OMN917507:OMN917508 OWJ917507:OWJ917508 PGF917507:PGF917508 PQB917507:PQB917508 PZX917507:PZX917508 QJT917507:QJT917508 QTP917507:QTP917508 RDL917507:RDL917508 RNH917507:RNH917508 RXD917507:RXD917508 SGZ917507:SGZ917508 SQV917507:SQV917508 TAR917507:TAR917508 TKN917507:TKN917508 TUJ917507:TUJ917508 UEF917507:UEF917508 UOB917507:UOB917508 UXX917507:UXX917508 VHT917507:VHT917508 VRP917507:VRP917508 WBL917507:WBL917508 WLH917507:WLH917508 WVD917507:WVD917508 L983044:L983045 IR983043:IR983044 SN983043:SN983044 ACJ983043:ACJ983044 AMF983043:AMF983044 AWB983043:AWB983044 BFX983043:BFX983044 BPT983043:BPT983044 BZP983043:BZP983044 CJL983043:CJL983044 CTH983043:CTH983044 DDD983043:DDD983044 DMZ983043:DMZ983044 DWV983043:DWV983044 EGR983043:EGR983044 EQN983043:EQN983044 FAJ983043:FAJ983044 FKF983043:FKF983044 FUB983043:FUB983044 GDX983043:GDX983044 GNT983043:GNT983044 GXP983043:GXP983044 HHL983043:HHL983044 HRH983043:HRH983044 IBD983043:IBD983044 IKZ983043:IKZ983044 IUV983043:IUV983044 JER983043:JER983044 JON983043:JON983044 JYJ983043:JYJ983044 KIF983043:KIF983044 KSB983043:KSB983044 LBX983043:LBX983044 LLT983043:LLT983044 LVP983043:LVP983044 MFL983043:MFL983044 MPH983043:MPH983044 MZD983043:MZD983044 NIZ983043:NIZ983044 NSV983043:NSV983044 OCR983043:OCR983044 OMN983043:OMN983044 OWJ983043:OWJ983044 PGF983043:PGF983044 PQB983043:PQB983044 PZX983043:PZX983044 QJT983043:QJT983044 QTP983043:QTP983044 RDL983043:RDL983044 RNH983043:RNH983044 RXD983043:RXD983044 SGZ983043:SGZ983044 SQV983043:SQV983044 TAR983043:TAR983044 TKN983043:TKN983044 TUJ983043:TUJ983044 UEF983043:UEF983044 UOB983043:UOB983044 UXX983043:UXX983044 VHT983043:VHT983044 VRP983043:VRP983044 WBL983043:WBL983044 WLH983043:WLH983044 WVD983043:WVD983044 N65540:N65541 IU65539:IU65540 SQ65539:SQ65540 ACM65539:ACM65540 AMI65539:AMI65540 AWE65539:AWE65540 BGA65539:BGA65540 BPW65539:BPW65540 BZS65539:BZS65540 CJO65539:CJO65540 CTK65539:CTK65540 DDG65539:DDG65540 DNC65539:DNC65540 DWY65539:DWY65540 EGU65539:EGU65540 EQQ65539:EQQ65540 FAM65539:FAM65540 FKI65539:FKI65540 FUE65539:FUE65540 GEA65539:GEA65540 GNW65539:GNW65540 GXS65539:GXS65540 HHO65539:HHO65540 HRK65539:HRK65540 IBG65539:IBG65540 ILC65539:ILC65540 IUY65539:IUY65540 JEU65539:JEU65540 JOQ65539:JOQ65540 JYM65539:JYM65540 KII65539:KII65540 KSE65539:KSE65540 LCA65539:LCA65540 LLW65539:LLW65540 LVS65539:LVS65540 MFO65539:MFO65540 MPK65539:MPK65540 MZG65539:MZG65540 NJC65539:NJC65540 NSY65539:NSY65540 OCU65539:OCU65540 OMQ65539:OMQ65540 OWM65539:OWM65540 PGI65539:PGI65540 PQE65539:PQE65540 QAA65539:QAA65540 QJW65539:QJW65540 QTS65539:QTS65540 RDO65539:RDO65540 RNK65539:RNK65540 RXG65539:RXG65540 SHC65539:SHC65540 SQY65539:SQY65540 TAU65539:TAU65540 TKQ65539:TKQ65540 TUM65539:TUM65540 UEI65539:UEI65540 UOE65539:UOE65540 UYA65539:UYA65540 VHW65539:VHW65540 VRS65539:VRS65540 WBO65539:WBO65540 WLK65539:WLK65540 WVG65539:WVG65540 N131076:N131077 IU131075:IU131076 SQ131075:SQ131076 ACM131075:ACM131076 AMI131075:AMI131076 AWE131075:AWE131076 BGA131075:BGA131076 BPW131075:BPW131076 BZS131075:BZS131076 CJO131075:CJO131076 CTK131075:CTK131076 DDG131075:DDG131076 DNC131075:DNC131076 DWY131075:DWY131076 EGU131075:EGU131076 EQQ131075:EQQ131076 FAM131075:FAM131076 FKI131075:FKI131076 FUE131075:FUE131076 GEA131075:GEA131076 GNW131075:GNW131076 GXS131075:GXS131076 HHO131075:HHO131076 HRK131075:HRK131076 IBG131075:IBG131076 ILC131075:ILC131076 IUY131075:IUY131076 JEU131075:JEU131076 JOQ131075:JOQ131076 JYM131075:JYM131076 KII131075:KII131076 KSE131075:KSE131076 LCA131075:LCA131076 LLW131075:LLW131076 LVS131075:LVS131076 MFO131075:MFO131076 MPK131075:MPK131076 MZG131075:MZG131076 NJC131075:NJC131076 NSY131075:NSY131076 OCU131075:OCU131076 OMQ131075:OMQ131076 OWM131075:OWM131076 PGI131075:PGI131076 PQE131075:PQE131076 QAA131075:QAA131076 QJW131075:QJW131076 QTS131075:QTS131076 RDO131075:RDO131076 RNK131075:RNK131076 RXG131075:RXG131076 SHC131075:SHC131076 SQY131075:SQY131076 TAU131075:TAU131076 TKQ131075:TKQ131076 TUM131075:TUM131076 UEI131075:UEI131076 UOE131075:UOE131076 UYA131075:UYA131076 VHW131075:VHW131076 VRS131075:VRS131076 WBO131075:WBO131076 WLK131075:WLK131076 WVG131075:WVG131076 N196612:N196613 IU196611:IU196612 SQ196611:SQ196612 ACM196611:ACM196612 AMI196611:AMI196612 AWE196611:AWE196612 BGA196611:BGA196612 BPW196611:BPW196612 BZS196611:BZS196612 CJO196611:CJO196612 CTK196611:CTK196612 DDG196611:DDG196612 DNC196611:DNC196612 DWY196611:DWY196612 EGU196611:EGU196612 EQQ196611:EQQ196612 FAM196611:FAM196612 FKI196611:FKI196612 FUE196611:FUE196612 GEA196611:GEA196612 GNW196611:GNW196612 GXS196611:GXS196612 HHO196611:HHO196612 HRK196611:HRK196612 IBG196611:IBG196612 ILC196611:ILC196612 IUY196611:IUY196612 JEU196611:JEU196612 JOQ196611:JOQ196612 JYM196611:JYM196612 KII196611:KII196612 KSE196611:KSE196612 LCA196611:LCA196612 LLW196611:LLW196612 LVS196611:LVS196612 MFO196611:MFO196612 MPK196611:MPK196612 MZG196611:MZG196612 NJC196611:NJC196612 NSY196611:NSY196612 OCU196611:OCU196612 OMQ196611:OMQ196612 OWM196611:OWM196612 PGI196611:PGI196612 PQE196611:PQE196612 QAA196611:QAA196612 QJW196611:QJW196612 QTS196611:QTS196612 RDO196611:RDO196612 RNK196611:RNK196612 RXG196611:RXG196612 SHC196611:SHC196612 SQY196611:SQY196612 TAU196611:TAU196612 TKQ196611:TKQ196612 TUM196611:TUM196612 UEI196611:UEI196612 UOE196611:UOE196612 UYA196611:UYA196612 VHW196611:VHW196612 VRS196611:VRS196612 WBO196611:WBO196612 WLK196611:WLK196612 WVG196611:WVG196612 N262148:N262149 IU262147:IU262148 SQ262147:SQ262148 ACM262147:ACM262148 AMI262147:AMI262148 AWE262147:AWE262148 BGA262147:BGA262148 BPW262147:BPW262148 BZS262147:BZS262148 CJO262147:CJO262148 CTK262147:CTK262148 DDG262147:DDG262148 DNC262147:DNC262148 DWY262147:DWY262148 EGU262147:EGU262148 EQQ262147:EQQ262148 FAM262147:FAM262148 FKI262147:FKI262148 FUE262147:FUE262148 GEA262147:GEA262148 GNW262147:GNW262148 GXS262147:GXS262148 HHO262147:HHO262148 HRK262147:HRK262148 IBG262147:IBG262148 ILC262147:ILC262148 IUY262147:IUY262148 JEU262147:JEU262148 JOQ262147:JOQ262148 JYM262147:JYM262148 KII262147:KII262148 KSE262147:KSE262148 LCA262147:LCA262148 LLW262147:LLW262148 LVS262147:LVS262148 MFO262147:MFO262148 MPK262147:MPK262148 MZG262147:MZG262148 NJC262147:NJC262148 NSY262147:NSY262148 OCU262147:OCU262148 OMQ262147:OMQ262148 OWM262147:OWM262148 PGI262147:PGI262148 PQE262147:PQE262148 QAA262147:QAA262148 QJW262147:QJW262148 QTS262147:QTS262148 RDO262147:RDO262148 RNK262147:RNK262148 RXG262147:RXG262148 SHC262147:SHC262148 SQY262147:SQY262148 TAU262147:TAU262148 TKQ262147:TKQ262148 TUM262147:TUM262148 UEI262147:UEI262148 UOE262147:UOE262148 UYA262147:UYA262148 VHW262147:VHW262148 VRS262147:VRS262148 WBO262147:WBO262148 WLK262147:WLK262148 WVG262147:WVG262148 N327684:N327685 IU327683:IU327684 SQ327683:SQ327684 ACM327683:ACM327684 AMI327683:AMI327684 AWE327683:AWE327684 BGA327683:BGA327684 BPW327683:BPW327684 BZS327683:BZS327684 CJO327683:CJO327684 CTK327683:CTK327684 DDG327683:DDG327684 DNC327683:DNC327684 DWY327683:DWY327684 EGU327683:EGU327684 EQQ327683:EQQ327684 FAM327683:FAM327684 FKI327683:FKI327684 FUE327683:FUE327684 GEA327683:GEA327684 GNW327683:GNW327684 GXS327683:GXS327684 HHO327683:HHO327684 HRK327683:HRK327684 IBG327683:IBG327684 ILC327683:ILC327684 IUY327683:IUY327684 JEU327683:JEU327684 JOQ327683:JOQ327684 JYM327683:JYM327684 KII327683:KII327684 KSE327683:KSE327684 LCA327683:LCA327684 LLW327683:LLW327684 LVS327683:LVS327684 MFO327683:MFO327684 MPK327683:MPK327684 MZG327683:MZG327684 NJC327683:NJC327684 NSY327683:NSY327684 OCU327683:OCU327684 OMQ327683:OMQ327684 OWM327683:OWM327684 PGI327683:PGI327684 PQE327683:PQE327684 QAA327683:QAA327684 QJW327683:QJW327684 QTS327683:QTS327684 RDO327683:RDO327684 RNK327683:RNK327684 RXG327683:RXG327684 SHC327683:SHC327684 SQY327683:SQY327684 TAU327683:TAU327684 TKQ327683:TKQ327684 TUM327683:TUM327684 UEI327683:UEI327684 UOE327683:UOE327684 UYA327683:UYA327684 VHW327683:VHW327684 VRS327683:VRS327684 WBO327683:WBO327684 WLK327683:WLK327684 WVG327683:WVG327684 N393220:N393221 IU393219:IU393220 SQ393219:SQ393220 ACM393219:ACM393220 AMI393219:AMI393220 AWE393219:AWE393220 BGA393219:BGA393220 BPW393219:BPW393220 BZS393219:BZS393220 CJO393219:CJO393220 CTK393219:CTK393220 DDG393219:DDG393220 DNC393219:DNC393220 DWY393219:DWY393220 EGU393219:EGU393220 EQQ393219:EQQ393220 FAM393219:FAM393220 FKI393219:FKI393220 FUE393219:FUE393220 GEA393219:GEA393220 GNW393219:GNW393220 GXS393219:GXS393220 HHO393219:HHO393220 HRK393219:HRK393220 IBG393219:IBG393220 ILC393219:ILC393220 IUY393219:IUY393220 JEU393219:JEU393220 JOQ393219:JOQ393220 JYM393219:JYM393220 KII393219:KII393220 KSE393219:KSE393220 LCA393219:LCA393220 LLW393219:LLW393220 LVS393219:LVS393220 MFO393219:MFO393220 MPK393219:MPK393220 MZG393219:MZG393220 NJC393219:NJC393220 NSY393219:NSY393220 OCU393219:OCU393220 OMQ393219:OMQ393220 OWM393219:OWM393220 PGI393219:PGI393220 PQE393219:PQE393220 QAA393219:QAA393220 QJW393219:QJW393220 QTS393219:QTS393220 RDO393219:RDO393220 RNK393219:RNK393220 RXG393219:RXG393220 SHC393219:SHC393220 SQY393219:SQY393220 TAU393219:TAU393220 TKQ393219:TKQ393220 TUM393219:TUM393220 UEI393219:UEI393220 UOE393219:UOE393220 UYA393219:UYA393220 VHW393219:VHW393220 VRS393219:VRS393220 WBO393219:WBO393220 WLK393219:WLK393220 WVG393219:WVG393220 N458756:N458757 IU458755:IU458756 SQ458755:SQ458756 ACM458755:ACM458756 AMI458755:AMI458756 AWE458755:AWE458756 BGA458755:BGA458756 BPW458755:BPW458756 BZS458755:BZS458756 CJO458755:CJO458756 CTK458755:CTK458756 DDG458755:DDG458756 DNC458755:DNC458756 DWY458755:DWY458756 EGU458755:EGU458756 EQQ458755:EQQ458756 FAM458755:FAM458756 FKI458755:FKI458756 FUE458755:FUE458756 GEA458755:GEA458756 GNW458755:GNW458756 GXS458755:GXS458756 HHO458755:HHO458756 HRK458755:HRK458756 IBG458755:IBG458756 ILC458755:ILC458756 IUY458755:IUY458756 JEU458755:JEU458756 JOQ458755:JOQ458756 JYM458755:JYM458756 KII458755:KII458756 KSE458755:KSE458756 LCA458755:LCA458756 LLW458755:LLW458756 LVS458755:LVS458756 MFO458755:MFO458756 MPK458755:MPK458756 MZG458755:MZG458756 NJC458755:NJC458756 NSY458755:NSY458756 OCU458755:OCU458756 OMQ458755:OMQ458756 OWM458755:OWM458756 PGI458755:PGI458756 PQE458755:PQE458756 QAA458755:QAA458756 QJW458755:QJW458756 QTS458755:QTS458756 RDO458755:RDO458756 RNK458755:RNK458756 RXG458755:RXG458756 SHC458755:SHC458756 SQY458755:SQY458756 TAU458755:TAU458756 TKQ458755:TKQ458756 TUM458755:TUM458756 UEI458755:UEI458756 UOE458755:UOE458756 UYA458755:UYA458756 VHW458755:VHW458756 VRS458755:VRS458756 WBO458755:WBO458756 WLK458755:WLK458756 WVG458755:WVG458756 N524292:N524293 IU524291:IU524292 SQ524291:SQ524292 ACM524291:ACM524292 AMI524291:AMI524292 AWE524291:AWE524292 BGA524291:BGA524292 BPW524291:BPW524292 BZS524291:BZS524292 CJO524291:CJO524292 CTK524291:CTK524292 DDG524291:DDG524292 DNC524291:DNC524292 DWY524291:DWY524292 EGU524291:EGU524292 EQQ524291:EQQ524292 FAM524291:FAM524292 FKI524291:FKI524292 FUE524291:FUE524292 GEA524291:GEA524292 GNW524291:GNW524292 GXS524291:GXS524292 HHO524291:HHO524292 HRK524291:HRK524292 IBG524291:IBG524292 ILC524291:ILC524292 IUY524291:IUY524292 JEU524291:JEU524292 JOQ524291:JOQ524292 JYM524291:JYM524292 KII524291:KII524292 KSE524291:KSE524292 LCA524291:LCA524292 LLW524291:LLW524292 LVS524291:LVS524292 MFO524291:MFO524292 MPK524291:MPK524292 MZG524291:MZG524292 NJC524291:NJC524292 NSY524291:NSY524292 OCU524291:OCU524292 OMQ524291:OMQ524292 OWM524291:OWM524292 PGI524291:PGI524292 PQE524291:PQE524292 QAA524291:QAA524292 QJW524291:QJW524292 QTS524291:QTS524292 RDO524291:RDO524292 RNK524291:RNK524292 RXG524291:RXG524292 SHC524291:SHC524292 SQY524291:SQY524292 TAU524291:TAU524292 TKQ524291:TKQ524292 TUM524291:TUM524292 UEI524291:UEI524292 UOE524291:UOE524292 UYA524291:UYA524292 VHW524291:VHW524292 VRS524291:VRS524292 WBO524291:WBO524292 WLK524291:WLK524292 WVG524291:WVG524292 N589828:N589829 IU589827:IU589828 SQ589827:SQ589828 ACM589827:ACM589828 AMI589827:AMI589828 AWE589827:AWE589828 BGA589827:BGA589828 BPW589827:BPW589828 BZS589827:BZS589828 CJO589827:CJO589828 CTK589827:CTK589828 DDG589827:DDG589828 DNC589827:DNC589828 DWY589827:DWY589828 EGU589827:EGU589828 EQQ589827:EQQ589828 FAM589827:FAM589828 FKI589827:FKI589828 FUE589827:FUE589828 GEA589827:GEA589828 GNW589827:GNW589828 GXS589827:GXS589828 HHO589827:HHO589828 HRK589827:HRK589828 IBG589827:IBG589828 ILC589827:ILC589828 IUY589827:IUY589828 JEU589827:JEU589828 JOQ589827:JOQ589828 JYM589827:JYM589828 KII589827:KII589828 KSE589827:KSE589828 LCA589827:LCA589828 LLW589827:LLW589828 LVS589827:LVS589828 MFO589827:MFO589828 MPK589827:MPK589828 MZG589827:MZG589828 NJC589827:NJC589828 NSY589827:NSY589828 OCU589827:OCU589828 OMQ589827:OMQ589828 OWM589827:OWM589828 PGI589827:PGI589828 PQE589827:PQE589828 QAA589827:QAA589828 QJW589827:QJW589828 QTS589827:QTS589828 RDO589827:RDO589828 RNK589827:RNK589828 RXG589827:RXG589828 SHC589827:SHC589828 SQY589827:SQY589828 TAU589827:TAU589828 TKQ589827:TKQ589828 TUM589827:TUM589828 UEI589827:UEI589828 UOE589827:UOE589828 UYA589827:UYA589828 VHW589827:VHW589828 VRS589827:VRS589828 WBO589827:WBO589828 WLK589827:WLK589828 WVG589827:WVG589828 N655364:N655365 IU655363:IU655364 SQ655363:SQ655364 ACM655363:ACM655364 AMI655363:AMI655364 AWE655363:AWE655364 BGA655363:BGA655364 BPW655363:BPW655364 BZS655363:BZS655364 CJO655363:CJO655364 CTK655363:CTK655364 DDG655363:DDG655364 DNC655363:DNC655364 DWY655363:DWY655364 EGU655363:EGU655364 EQQ655363:EQQ655364 FAM655363:FAM655364 FKI655363:FKI655364 FUE655363:FUE655364 GEA655363:GEA655364 GNW655363:GNW655364 GXS655363:GXS655364 HHO655363:HHO655364 HRK655363:HRK655364 IBG655363:IBG655364 ILC655363:ILC655364 IUY655363:IUY655364 JEU655363:JEU655364 JOQ655363:JOQ655364 JYM655363:JYM655364 KII655363:KII655364 KSE655363:KSE655364 LCA655363:LCA655364 LLW655363:LLW655364 LVS655363:LVS655364 MFO655363:MFO655364 MPK655363:MPK655364 MZG655363:MZG655364 NJC655363:NJC655364 NSY655363:NSY655364 OCU655363:OCU655364 OMQ655363:OMQ655364 OWM655363:OWM655364 PGI655363:PGI655364 PQE655363:PQE655364 QAA655363:QAA655364 QJW655363:QJW655364 QTS655363:QTS655364 RDO655363:RDO655364 RNK655363:RNK655364 RXG655363:RXG655364 SHC655363:SHC655364 SQY655363:SQY655364 TAU655363:TAU655364 TKQ655363:TKQ655364 TUM655363:TUM655364 UEI655363:UEI655364 UOE655363:UOE655364 UYA655363:UYA655364 VHW655363:VHW655364 VRS655363:VRS655364 WBO655363:WBO655364 WLK655363:WLK655364 WVG655363:WVG655364 N720900:N720901 IU720899:IU720900 SQ720899:SQ720900 ACM720899:ACM720900 AMI720899:AMI720900 AWE720899:AWE720900 BGA720899:BGA720900 BPW720899:BPW720900 BZS720899:BZS720900 CJO720899:CJO720900 CTK720899:CTK720900 DDG720899:DDG720900 DNC720899:DNC720900 DWY720899:DWY720900 EGU720899:EGU720900 EQQ720899:EQQ720900 FAM720899:FAM720900 FKI720899:FKI720900 FUE720899:FUE720900 GEA720899:GEA720900 GNW720899:GNW720900 GXS720899:GXS720900 HHO720899:HHO720900 HRK720899:HRK720900 IBG720899:IBG720900 ILC720899:ILC720900 IUY720899:IUY720900 JEU720899:JEU720900 JOQ720899:JOQ720900 JYM720899:JYM720900 KII720899:KII720900 KSE720899:KSE720900 LCA720899:LCA720900 LLW720899:LLW720900 LVS720899:LVS720900 MFO720899:MFO720900 MPK720899:MPK720900 MZG720899:MZG720900 NJC720899:NJC720900 NSY720899:NSY720900 OCU720899:OCU720900 OMQ720899:OMQ720900 OWM720899:OWM720900 PGI720899:PGI720900 PQE720899:PQE720900 QAA720899:QAA720900 QJW720899:QJW720900 QTS720899:QTS720900 RDO720899:RDO720900 RNK720899:RNK720900 RXG720899:RXG720900 SHC720899:SHC720900 SQY720899:SQY720900 TAU720899:TAU720900 TKQ720899:TKQ720900 TUM720899:TUM720900 UEI720899:UEI720900 UOE720899:UOE720900 UYA720899:UYA720900 VHW720899:VHW720900 VRS720899:VRS720900 WBO720899:WBO720900 WLK720899:WLK720900 WVG720899:WVG720900 N786436:N786437 IU786435:IU786436 SQ786435:SQ786436 ACM786435:ACM786436 AMI786435:AMI786436 AWE786435:AWE786436 BGA786435:BGA786436 BPW786435:BPW786436 BZS786435:BZS786436 CJO786435:CJO786436 CTK786435:CTK786436 DDG786435:DDG786436 DNC786435:DNC786436 DWY786435:DWY786436 EGU786435:EGU786436 EQQ786435:EQQ786436 FAM786435:FAM786436 FKI786435:FKI786436 FUE786435:FUE786436 GEA786435:GEA786436 GNW786435:GNW786436 GXS786435:GXS786436 HHO786435:HHO786436 HRK786435:HRK786436 IBG786435:IBG786436 ILC786435:ILC786436 IUY786435:IUY786436 JEU786435:JEU786436 JOQ786435:JOQ786436 JYM786435:JYM786436 KII786435:KII786436 KSE786435:KSE786436 LCA786435:LCA786436 LLW786435:LLW786436 LVS786435:LVS786436 MFO786435:MFO786436 MPK786435:MPK786436 MZG786435:MZG786436 NJC786435:NJC786436 NSY786435:NSY786436 OCU786435:OCU786436 OMQ786435:OMQ786436 OWM786435:OWM786436 PGI786435:PGI786436 PQE786435:PQE786436 QAA786435:QAA786436 QJW786435:QJW786436 QTS786435:QTS786436 RDO786435:RDO786436 RNK786435:RNK786436 RXG786435:RXG786436 SHC786435:SHC786436 SQY786435:SQY786436 TAU786435:TAU786436 TKQ786435:TKQ786436 TUM786435:TUM786436 UEI786435:UEI786436 UOE786435:UOE786436 UYA786435:UYA786436 VHW786435:VHW786436 VRS786435:VRS786436 WBO786435:WBO786436 WLK786435:WLK786436 WVG786435:WVG786436 N851972:N851973 IU851971:IU851972 SQ851971:SQ851972 ACM851971:ACM851972 AMI851971:AMI851972 AWE851971:AWE851972 BGA851971:BGA851972 BPW851971:BPW851972 BZS851971:BZS851972 CJO851971:CJO851972 CTK851971:CTK851972 DDG851971:DDG851972 DNC851971:DNC851972 DWY851971:DWY851972 EGU851971:EGU851972 EQQ851971:EQQ851972 FAM851971:FAM851972 FKI851971:FKI851972 FUE851971:FUE851972 GEA851971:GEA851972 GNW851971:GNW851972 GXS851971:GXS851972 HHO851971:HHO851972 HRK851971:HRK851972 IBG851971:IBG851972 ILC851971:ILC851972 IUY851971:IUY851972 JEU851971:JEU851972 JOQ851971:JOQ851972 JYM851971:JYM851972 KII851971:KII851972 KSE851971:KSE851972 LCA851971:LCA851972 LLW851971:LLW851972 LVS851971:LVS851972 MFO851971:MFO851972 MPK851971:MPK851972 MZG851971:MZG851972 NJC851971:NJC851972 NSY851971:NSY851972 OCU851971:OCU851972 OMQ851971:OMQ851972 OWM851971:OWM851972 PGI851971:PGI851972 PQE851971:PQE851972 QAA851971:QAA851972 QJW851971:QJW851972 QTS851971:QTS851972 RDO851971:RDO851972 RNK851971:RNK851972 RXG851971:RXG851972 SHC851971:SHC851972 SQY851971:SQY851972 TAU851971:TAU851972 TKQ851971:TKQ851972 TUM851971:TUM851972 UEI851971:UEI851972 UOE851971:UOE851972 UYA851971:UYA851972 VHW851971:VHW851972 VRS851971:VRS851972 WBO851971:WBO851972 WLK851971:WLK851972 WVG851971:WVG851972 N917508:N917509 IU917507:IU917508 SQ917507:SQ917508 ACM917507:ACM917508 AMI917507:AMI917508 AWE917507:AWE917508 BGA917507:BGA917508 BPW917507:BPW917508 BZS917507:BZS917508 CJO917507:CJO917508 CTK917507:CTK917508 DDG917507:DDG917508 DNC917507:DNC917508 DWY917507:DWY917508 EGU917507:EGU917508 EQQ917507:EQQ917508 FAM917507:FAM917508 FKI917507:FKI917508 FUE917507:FUE917508 GEA917507:GEA917508 GNW917507:GNW917508 GXS917507:GXS917508 HHO917507:HHO917508 HRK917507:HRK917508 IBG917507:IBG917508 ILC917507:ILC917508 IUY917507:IUY917508 JEU917507:JEU917508 JOQ917507:JOQ917508 JYM917507:JYM917508 KII917507:KII917508 KSE917507:KSE917508 LCA917507:LCA917508 LLW917507:LLW917508 LVS917507:LVS917508 MFO917507:MFO917508 MPK917507:MPK917508 MZG917507:MZG917508 NJC917507:NJC917508 NSY917507:NSY917508 OCU917507:OCU917508 OMQ917507:OMQ917508 OWM917507:OWM917508 PGI917507:PGI917508 PQE917507:PQE917508 QAA917507:QAA917508 QJW917507:QJW917508 QTS917507:QTS917508 RDO917507:RDO917508 RNK917507:RNK917508 RXG917507:RXG917508 SHC917507:SHC917508 SQY917507:SQY917508 TAU917507:TAU917508 TKQ917507:TKQ917508 TUM917507:TUM917508 UEI917507:UEI917508 UOE917507:UOE917508 UYA917507:UYA917508 VHW917507:VHW917508 VRS917507:VRS917508 WBO917507:WBO917508 WLK917507:WLK917508 WVG917507:WVG917508 N983044:N983045 IU983043:IU983044 SQ983043:SQ983044 ACM983043:ACM983044 AMI983043:AMI983044 AWE983043:AWE983044 BGA983043:BGA983044 BPW983043:BPW983044 BZS983043:BZS983044 CJO983043:CJO983044 CTK983043:CTK983044 DDG983043:DDG983044 DNC983043:DNC983044 DWY983043:DWY983044 EGU983043:EGU983044 EQQ983043:EQQ983044 FAM983043:FAM983044 FKI983043:FKI983044 FUE983043:FUE983044 GEA983043:GEA983044 GNW983043:GNW983044 GXS983043:GXS983044 HHO983043:HHO983044 HRK983043:HRK983044 IBG983043:IBG983044 ILC983043:ILC983044 IUY983043:IUY983044 JEU983043:JEU983044 JOQ983043:JOQ983044 JYM983043:JYM983044 KII983043:KII983044 KSE983043:KSE983044 LCA983043:LCA983044 LLW983043:LLW983044 LVS983043:LVS983044 MFO983043:MFO983044 MPK983043:MPK983044 MZG983043:MZG983044 NJC983043:NJC983044 NSY983043:NSY983044 OCU983043:OCU983044 OMQ983043:OMQ983044 OWM983043:OWM983044 PGI983043:PGI983044 PQE983043:PQE983044 QAA983043:QAA983044 QJW983043:QJW983044 QTS983043:QTS983044 RDO983043:RDO983044 RNK983043:RNK983044 RXG983043:RXG983044 SHC983043:SHC983044 SQY983043:SQY983044 TAU983043:TAU983044 TKQ983043:TKQ983044 TUM983043:TUM983044 UEI983043:UEI983044 UOE983043:UOE983044 UYA983043:UYA983044 VHW983043:VHW983044 VRS983043:VRS983044 WBO983043:WBO983044 WLK983043:WLK983044 WVG983043:WVG983044 P65540:P65541 IX65539:IX65540 ST65539:ST65540 ACP65539:ACP65540 AML65539:AML65540 AWH65539:AWH65540 BGD65539:BGD65540 BPZ65539:BPZ65540 BZV65539:BZV65540 CJR65539:CJR65540 CTN65539:CTN65540 DDJ65539:DDJ65540 DNF65539:DNF65540 DXB65539:DXB65540 EGX65539:EGX65540 EQT65539:EQT65540 FAP65539:FAP65540 FKL65539:FKL65540 FUH65539:FUH65540 GED65539:GED65540 GNZ65539:GNZ65540 GXV65539:GXV65540 HHR65539:HHR65540 HRN65539:HRN65540 IBJ65539:IBJ65540 ILF65539:ILF65540 IVB65539:IVB65540 JEX65539:JEX65540 JOT65539:JOT65540 JYP65539:JYP65540 KIL65539:KIL65540 KSH65539:KSH65540 LCD65539:LCD65540 LLZ65539:LLZ65540 LVV65539:LVV65540 MFR65539:MFR65540 MPN65539:MPN65540 MZJ65539:MZJ65540 NJF65539:NJF65540 NTB65539:NTB65540 OCX65539:OCX65540 OMT65539:OMT65540 OWP65539:OWP65540 PGL65539:PGL65540 PQH65539:PQH65540 QAD65539:QAD65540 QJZ65539:QJZ65540 QTV65539:QTV65540 RDR65539:RDR65540 RNN65539:RNN65540 RXJ65539:RXJ65540 SHF65539:SHF65540 SRB65539:SRB65540 TAX65539:TAX65540 TKT65539:TKT65540 TUP65539:TUP65540 UEL65539:UEL65540 UOH65539:UOH65540 UYD65539:UYD65540 VHZ65539:VHZ65540 VRV65539:VRV65540 WBR65539:WBR65540 WLN65539:WLN65540 WVJ65539:WVJ65540 P131076:P131077 IX131075:IX131076 ST131075:ST131076 ACP131075:ACP131076 AML131075:AML131076 AWH131075:AWH131076 BGD131075:BGD131076 BPZ131075:BPZ131076 BZV131075:BZV131076 CJR131075:CJR131076 CTN131075:CTN131076 DDJ131075:DDJ131076 DNF131075:DNF131076 DXB131075:DXB131076 EGX131075:EGX131076 EQT131075:EQT131076 FAP131075:FAP131076 FKL131075:FKL131076 FUH131075:FUH131076 GED131075:GED131076 GNZ131075:GNZ131076 GXV131075:GXV131076 HHR131075:HHR131076 HRN131075:HRN131076 IBJ131075:IBJ131076 ILF131075:ILF131076 IVB131075:IVB131076 JEX131075:JEX131076 JOT131075:JOT131076 JYP131075:JYP131076 KIL131075:KIL131076 KSH131075:KSH131076 LCD131075:LCD131076 LLZ131075:LLZ131076 LVV131075:LVV131076 MFR131075:MFR131076 MPN131075:MPN131076 MZJ131075:MZJ131076 NJF131075:NJF131076 NTB131075:NTB131076 OCX131075:OCX131076 OMT131075:OMT131076 OWP131075:OWP131076 PGL131075:PGL131076 PQH131075:PQH131076 QAD131075:QAD131076 QJZ131075:QJZ131076 QTV131075:QTV131076 RDR131075:RDR131076 RNN131075:RNN131076 RXJ131075:RXJ131076 SHF131075:SHF131076 SRB131075:SRB131076 TAX131075:TAX131076 TKT131075:TKT131076 TUP131075:TUP131076 UEL131075:UEL131076 UOH131075:UOH131076 UYD131075:UYD131076 VHZ131075:VHZ131076 VRV131075:VRV131076 WBR131075:WBR131076 WLN131075:WLN131076 WVJ131075:WVJ131076 P196612:P196613 IX196611:IX196612 ST196611:ST196612 ACP196611:ACP196612 AML196611:AML196612 AWH196611:AWH196612 BGD196611:BGD196612 BPZ196611:BPZ196612 BZV196611:BZV196612 CJR196611:CJR196612 CTN196611:CTN196612 DDJ196611:DDJ196612 DNF196611:DNF196612 DXB196611:DXB196612 EGX196611:EGX196612 EQT196611:EQT196612 FAP196611:FAP196612 FKL196611:FKL196612 FUH196611:FUH196612 GED196611:GED196612 GNZ196611:GNZ196612 GXV196611:GXV196612 HHR196611:HHR196612 HRN196611:HRN196612 IBJ196611:IBJ196612 ILF196611:ILF196612 IVB196611:IVB196612 JEX196611:JEX196612 JOT196611:JOT196612 JYP196611:JYP196612 KIL196611:KIL196612 KSH196611:KSH196612 LCD196611:LCD196612 LLZ196611:LLZ196612 LVV196611:LVV196612 MFR196611:MFR196612 MPN196611:MPN196612 MZJ196611:MZJ196612 NJF196611:NJF196612 NTB196611:NTB196612 OCX196611:OCX196612 OMT196611:OMT196612 OWP196611:OWP196612 PGL196611:PGL196612 PQH196611:PQH196612 QAD196611:QAD196612 QJZ196611:QJZ196612 QTV196611:QTV196612 RDR196611:RDR196612 RNN196611:RNN196612 RXJ196611:RXJ196612 SHF196611:SHF196612 SRB196611:SRB196612 TAX196611:TAX196612 TKT196611:TKT196612 TUP196611:TUP196612 UEL196611:UEL196612 UOH196611:UOH196612 UYD196611:UYD196612 VHZ196611:VHZ196612 VRV196611:VRV196612 WBR196611:WBR196612 WLN196611:WLN196612 WVJ196611:WVJ196612 P262148:P262149 IX262147:IX262148 ST262147:ST262148 ACP262147:ACP262148 AML262147:AML262148 AWH262147:AWH262148 BGD262147:BGD262148 BPZ262147:BPZ262148 BZV262147:BZV262148 CJR262147:CJR262148 CTN262147:CTN262148 DDJ262147:DDJ262148 DNF262147:DNF262148 DXB262147:DXB262148 EGX262147:EGX262148 EQT262147:EQT262148 FAP262147:FAP262148 FKL262147:FKL262148 FUH262147:FUH262148 GED262147:GED262148 GNZ262147:GNZ262148 GXV262147:GXV262148 HHR262147:HHR262148 HRN262147:HRN262148 IBJ262147:IBJ262148 ILF262147:ILF262148 IVB262147:IVB262148 JEX262147:JEX262148 JOT262147:JOT262148 JYP262147:JYP262148 KIL262147:KIL262148 KSH262147:KSH262148 LCD262147:LCD262148 LLZ262147:LLZ262148 LVV262147:LVV262148 MFR262147:MFR262148 MPN262147:MPN262148 MZJ262147:MZJ262148 NJF262147:NJF262148 NTB262147:NTB262148 OCX262147:OCX262148 OMT262147:OMT262148 OWP262147:OWP262148 PGL262147:PGL262148 PQH262147:PQH262148 QAD262147:QAD262148 QJZ262147:QJZ262148 QTV262147:QTV262148 RDR262147:RDR262148 RNN262147:RNN262148 RXJ262147:RXJ262148 SHF262147:SHF262148 SRB262147:SRB262148 TAX262147:TAX262148 TKT262147:TKT262148 TUP262147:TUP262148 UEL262147:UEL262148 UOH262147:UOH262148 UYD262147:UYD262148 VHZ262147:VHZ262148 VRV262147:VRV262148 WBR262147:WBR262148 WLN262147:WLN262148 WVJ262147:WVJ262148 P327684:P327685 IX327683:IX327684 ST327683:ST327684 ACP327683:ACP327684 AML327683:AML327684 AWH327683:AWH327684 BGD327683:BGD327684 BPZ327683:BPZ327684 BZV327683:BZV327684 CJR327683:CJR327684 CTN327683:CTN327684 DDJ327683:DDJ327684 DNF327683:DNF327684 DXB327683:DXB327684 EGX327683:EGX327684 EQT327683:EQT327684 FAP327683:FAP327684 FKL327683:FKL327684 FUH327683:FUH327684 GED327683:GED327684 GNZ327683:GNZ327684 GXV327683:GXV327684 HHR327683:HHR327684 HRN327683:HRN327684 IBJ327683:IBJ327684 ILF327683:ILF327684 IVB327683:IVB327684 JEX327683:JEX327684 JOT327683:JOT327684 JYP327683:JYP327684 KIL327683:KIL327684 KSH327683:KSH327684 LCD327683:LCD327684 LLZ327683:LLZ327684 LVV327683:LVV327684 MFR327683:MFR327684 MPN327683:MPN327684 MZJ327683:MZJ327684 NJF327683:NJF327684 NTB327683:NTB327684 OCX327683:OCX327684 OMT327683:OMT327684 OWP327683:OWP327684 PGL327683:PGL327684 PQH327683:PQH327684 QAD327683:QAD327684 QJZ327683:QJZ327684 QTV327683:QTV327684 RDR327683:RDR327684 RNN327683:RNN327684 RXJ327683:RXJ327684 SHF327683:SHF327684 SRB327683:SRB327684 TAX327683:TAX327684 TKT327683:TKT327684 TUP327683:TUP327684 UEL327683:UEL327684 UOH327683:UOH327684 UYD327683:UYD327684 VHZ327683:VHZ327684 VRV327683:VRV327684 WBR327683:WBR327684 WLN327683:WLN327684 WVJ327683:WVJ327684 P393220:P393221 IX393219:IX393220 ST393219:ST393220 ACP393219:ACP393220 AML393219:AML393220 AWH393219:AWH393220 BGD393219:BGD393220 BPZ393219:BPZ393220 BZV393219:BZV393220 CJR393219:CJR393220 CTN393219:CTN393220 DDJ393219:DDJ393220 DNF393219:DNF393220 DXB393219:DXB393220 EGX393219:EGX393220 EQT393219:EQT393220 FAP393219:FAP393220 FKL393219:FKL393220 FUH393219:FUH393220 GED393219:GED393220 GNZ393219:GNZ393220 GXV393219:GXV393220 HHR393219:HHR393220 HRN393219:HRN393220 IBJ393219:IBJ393220 ILF393219:ILF393220 IVB393219:IVB393220 JEX393219:JEX393220 JOT393219:JOT393220 JYP393219:JYP393220 KIL393219:KIL393220 KSH393219:KSH393220 LCD393219:LCD393220 LLZ393219:LLZ393220 LVV393219:LVV393220 MFR393219:MFR393220 MPN393219:MPN393220 MZJ393219:MZJ393220 NJF393219:NJF393220 NTB393219:NTB393220 OCX393219:OCX393220 OMT393219:OMT393220 OWP393219:OWP393220 PGL393219:PGL393220 PQH393219:PQH393220 QAD393219:QAD393220 QJZ393219:QJZ393220 QTV393219:QTV393220 RDR393219:RDR393220 RNN393219:RNN393220 RXJ393219:RXJ393220 SHF393219:SHF393220 SRB393219:SRB393220 TAX393219:TAX393220 TKT393219:TKT393220 TUP393219:TUP393220 UEL393219:UEL393220 UOH393219:UOH393220 UYD393219:UYD393220 VHZ393219:VHZ393220 VRV393219:VRV393220 WBR393219:WBR393220 WLN393219:WLN393220 WVJ393219:WVJ393220 P458756:P458757 IX458755:IX458756 ST458755:ST458756 ACP458755:ACP458756 AML458755:AML458756 AWH458755:AWH458756 BGD458755:BGD458756 BPZ458755:BPZ458756 BZV458755:BZV458756 CJR458755:CJR458756 CTN458755:CTN458756 DDJ458755:DDJ458756 DNF458755:DNF458756 DXB458755:DXB458756 EGX458755:EGX458756 EQT458755:EQT458756 FAP458755:FAP458756 FKL458755:FKL458756 FUH458755:FUH458756 GED458755:GED458756 GNZ458755:GNZ458756 GXV458755:GXV458756 HHR458755:HHR458756 HRN458755:HRN458756 IBJ458755:IBJ458756 ILF458755:ILF458756 IVB458755:IVB458756 JEX458755:JEX458756 JOT458755:JOT458756 JYP458755:JYP458756 KIL458755:KIL458756 KSH458755:KSH458756 LCD458755:LCD458756 LLZ458755:LLZ458756 LVV458755:LVV458756 MFR458755:MFR458756 MPN458755:MPN458756 MZJ458755:MZJ458756 NJF458755:NJF458756 NTB458755:NTB458756 OCX458755:OCX458756 OMT458755:OMT458756 OWP458755:OWP458756 PGL458755:PGL458756 PQH458755:PQH458756 QAD458755:QAD458756 QJZ458755:QJZ458756 QTV458755:QTV458756 RDR458755:RDR458756 RNN458755:RNN458756 RXJ458755:RXJ458756 SHF458755:SHF458756 SRB458755:SRB458756 TAX458755:TAX458756 TKT458755:TKT458756 TUP458755:TUP458756 UEL458755:UEL458756 UOH458755:UOH458756 UYD458755:UYD458756 VHZ458755:VHZ458756 VRV458755:VRV458756 WBR458755:WBR458756 WLN458755:WLN458756 WVJ458755:WVJ458756 P524292:P524293 IX524291:IX524292 ST524291:ST524292 ACP524291:ACP524292 AML524291:AML524292 AWH524291:AWH524292 BGD524291:BGD524292 BPZ524291:BPZ524292 BZV524291:BZV524292 CJR524291:CJR524292 CTN524291:CTN524292 DDJ524291:DDJ524292 DNF524291:DNF524292 DXB524291:DXB524292 EGX524291:EGX524292 EQT524291:EQT524292 FAP524291:FAP524292 FKL524291:FKL524292 FUH524291:FUH524292 GED524291:GED524292 GNZ524291:GNZ524292 GXV524291:GXV524292 HHR524291:HHR524292 HRN524291:HRN524292 IBJ524291:IBJ524292 ILF524291:ILF524292 IVB524291:IVB524292 JEX524291:JEX524292 JOT524291:JOT524292 JYP524291:JYP524292 KIL524291:KIL524292 KSH524291:KSH524292 LCD524291:LCD524292 LLZ524291:LLZ524292 LVV524291:LVV524292 MFR524291:MFR524292 MPN524291:MPN524292 MZJ524291:MZJ524292 NJF524291:NJF524292 NTB524291:NTB524292 OCX524291:OCX524292 OMT524291:OMT524292 OWP524291:OWP524292 PGL524291:PGL524292 PQH524291:PQH524292 QAD524291:QAD524292 QJZ524291:QJZ524292 QTV524291:QTV524292 RDR524291:RDR524292 RNN524291:RNN524292 RXJ524291:RXJ524292 SHF524291:SHF524292 SRB524291:SRB524292 TAX524291:TAX524292 TKT524291:TKT524292 TUP524291:TUP524292 UEL524291:UEL524292 UOH524291:UOH524292 UYD524291:UYD524292 VHZ524291:VHZ524292 VRV524291:VRV524292 WBR524291:WBR524292 WLN524291:WLN524292 WVJ524291:WVJ524292 P589828:P589829 IX589827:IX589828 ST589827:ST589828 ACP589827:ACP589828 AML589827:AML589828 AWH589827:AWH589828 BGD589827:BGD589828 BPZ589827:BPZ589828 BZV589827:BZV589828 CJR589827:CJR589828 CTN589827:CTN589828 DDJ589827:DDJ589828 DNF589827:DNF589828 DXB589827:DXB589828 EGX589827:EGX589828 EQT589827:EQT589828 FAP589827:FAP589828 FKL589827:FKL589828 FUH589827:FUH589828 GED589827:GED589828 GNZ589827:GNZ589828 GXV589827:GXV589828 HHR589827:HHR589828 HRN589827:HRN589828 IBJ589827:IBJ589828 ILF589827:ILF589828 IVB589827:IVB589828 JEX589827:JEX589828 JOT589827:JOT589828 JYP589827:JYP589828 KIL589827:KIL589828 KSH589827:KSH589828 LCD589827:LCD589828 LLZ589827:LLZ589828 LVV589827:LVV589828 MFR589827:MFR589828 MPN589827:MPN589828 MZJ589827:MZJ589828 NJF589827:NJF589828 NTB589827:NTB589828 OCX589827:OCX589828 OMT589827:OMT589828 OWP589827:OWP589828 PGL589827:PGL589828 PQH589827:PQH589828 QAD589827:QAD589828 QJZ589827:QJZ589828 QTV589827:QTV589828 RDR589827:RDR589828 RNN589827:RNN589828 RXJ589827:RXJ589828 SHF589827:SHF589828 SRB589827:SRB589828 TAX589827:TAX589828 TKT589827:TKT589828 TUP589827:TUP589828 UEL589827:UEL589828 UOH589827:UOH589828 UYD589827:UYD589828 VHZ589827:VHZ589828 VRV589827:VRV589828 WBR589827:WBR589828 WLN589827:WLN589828 WVJ589827:WVJ589828 P655364:P655365 IX655363:IX655364 ST655363:ST655364 ACP655363:ACP655364 AML655363:AML655364 AWH655363:AWH655364 BGD655363:BGD655364 BPZ655363:BPZ655364 BZV655363:BZV655364 CJR655363:CJR655364 CTN655363:CTN655364 DDJ655363:DDJ655364 DNF655363:DNF655364 DXB655363:DXB655364 EGX655363:EGX655364 EQT655363:EQT655364 FAP655363:FAP655364 FKL655363:FKL655364 FUH655363:FUH655364 GED655363:GED655364 GNZ655363:GNZ655364 GXV655363:GXV655364 HHR655363:HHR655364 HRN655363:HRN655364 IBJ655363:IBJ655364 ILF655363:ILF655364 IVB655363:IVB655364 JEX655363:JEX655364 JOT655363:JOT655364 JYP655363:JYP655364 KIL655363:KIL655364 KSH655363:KSH655364 LCD655363:LCD655364 LLZ655363:LLZ655364 LVV655363:LVV655364 MFR655363:MFR655364 MPN655363:MPN655364 MZJ655363:MZJ655364 NJF655363:NJF655364 NTB655363:NTB655364 OCX655363:OCX655364 OMT655363:OMT655364 OWP655363:OWP655364 PGL655363:PGL655364 PQH655363:PQH655364 QAD655363:QAD655364 QJZ655363:QJZ655364 QTV655363:QTV655364 RDR655363:RDR655364 RNN655363:RNN655364 RXJ655363:RXJ655364 SHF655363:SHF655364 SRB655363:SRB655364 TAX655363:TAX655364 TKT655363:TKT655364 TUP655363:TUP655364 UEL655363:UEL655364 UOH655363:UOH655364 UYD655363:UYD655364 VHZ655363:VHZ655364 VRV655363:VRV655364 WBR655363:WBR655364 WLN655363:WLN655364 WVJ655363:WVJ655364 P720900:P720901 IX720899:IX720900 ST720899:ST720900 ACP720899:ACP720900 AML720899:AML720900 AWH720899:AWH720900 BGD720899:BGD720900 BPZ720899:BPZ720900 BZV720899:BZV720900 CJR720899:CJR720900 CTN720899:CTN720900 DDJ720899:DDJ720900 DNF720899:DNF720900 DXB720899:DXB720900 EGX720899:EGX720900 EQT720899:EQT720900 FAP720899:FAP720900 FKL720899:FKL720900 FUH720899:FUH720900 GED720899:GED720900 GNZ720899:GNZ720900 GXV720899:GXV720900 HHR720899:HHR720900 HRN720899:HRN720900 IBJ720899:IBJ720900 ILF720899:ILF720900 IVB720899:IVB720900 JEX720899:JEX720900 JOT720899:JOT720900 JYP720899:JYP720900 KIL720899:KIL720900 KSH720899:KSH720900 LCD720899:LCD720900 LLZ720899:LLZ720900 LVV720899:LVV720900 MFR720899:MFR720900 MPN720899:MPN720900 MZJ720899:MZJ720900 NJF720899:NJF720900 NTB720899:NTB720900 OCX720899:OCX720900 OMT720899:OMT720900 OWP720899:OWP720900 PGL720899:PGL720900 PQH720899:PQH720900 QAD720899:QAD720900 QJZ720899:QJZ720900 QTV720899:QTV720900 RDR720899:RDR720900 RNN720899:RNN720900 RXJ720899:RXJ720900 SHF720899:SHF720900 SRB720899:SRB720900 TAX720899:TAX720900 TKT720899:TKT720900 TUP720899:TUP720900 UEL720899:UEL720900 UOH720899:UOH720900 UYD720899:UYD720900 VHZ720899:VHZ720900 VRV720899:VRV720900 WBR720899:WBR720900 WLN720899:WLN720900 WVJ720899:WVJ720900 P786436:P786437 IX786435:IX786436 ST786435:ST786436 ACP786435:ACP786436 AML786435:AML786436 AWH786435:AWH786436 BGD786435:BGD786436 BPZ786435:BPZ786436 BZV786435:BZV786436 CJR786435:CJR786436 CTN786435:CTN786436 DDJ786435:DDJ786436 DNF786435:DNF786436 DXB786435:DXB786436 EGX786435:EGX786436 EQT786435:EQT786436 FAP786435:FAP786436 FKL786435:FKL786436 FUH786435:FUH786436 GED786435:GED786436 GNZ786435:GNZ786436 GXV786435:GXV786436 HHR786435:HHR786436 HRN786435:HRN786436 IBJ786435:IBJ786436 ILF786435:ILF786436 IVB786435:IVB786436 JEX786435:JEX786436 JOT786435:JOT786436 JYP786435:JYP786436 KIL786435:KIL786436 KSH786435:KSH786436 LCD786435:LCD786436 LLZ786435:LLZ786436 LVV786435:LVV786436 MFR786435:MFR786436 MPN786435:MPN786436 MZJ786435:MZJ786436 NJF786435:NJF786436 NTB786435:NTB786436 OCX786435:OCX786436 OMT786435:OMT786436 OWP786435:OWP786436 PGL786435:PGL786436 PQH786435:PQH786436 QAD786435:QAD786436 QJZ786435:QJZ786436 QTV786435:QTV786436 RDR786435:RDR786436 RNN786435:RNN786436 RXJ786435:RXJ786436 SHF786435:SHF786436 SRB786435:SRB786436 TAX786435:TAX786436 TKT786435:TKT786436 TUP786435:TUP786436 UEL786435:UEL786436 UOH786435:UOH786436 UYD786435:UYD786436 VHZ786435:VHZ786436 VRV786435:VRV786436 WBR786435:WBR786436 WLN786435:WLN786436 WVJ786435:WVJ786436 P851972:P851973 IX851971:IX851972 ST851971:ST851972 ACP851971:ACP851972 AML851971:AML851972 AWH851971:AWH851972 BGD851971:BGD851972 BPZ851971:BPZ851972 BZV851971:BZV851972 CJR851971:CJR851972 CTN851971:CTN851972 DDJ851971:DDJ851972 DNF851971:DNF851972 DXB851971:DXB851972 EGX851971:EGX851972 EQT851971:EQT851972 FAP851971:FAP851972 FKL851971:FKL851972 FUH851971:FUH851972 GED851971:GED851972 GNZ851971:GNZ851972 GXV851971:GXV851972 HHR851971:HHR851972 HRN851971:HRN851972 IBJ851971:IBJ851972 ILF851971:ILF851972 IVB851971:IVB851972 JEX851971:JEX851972 JOT851971:JOT851972 JYP851971:JYP851972 KIL851971:KIL851972 KSH851971:KSH851972 LCD851971:LCD851972 LLZ851971:LLZ851972 LVV851971:LVV851972 MFR851971:MFR851972 MPN851971:MPN851972 MZJ851971:MZJ851972 NJF851971:NJF851972 NTB851971:NTB851972 OCX851971:OCX851972 OMT851971:OMT851972 OWP851971:OWP851972 PGL851971:PGL851972 PQH851971:PQH851972 QAD851971:QAD851972 QJZ851971:QJZ851972 QTV851971:QTV851972 RDR851971:RDR851972 RNN851971:RNN851972 RXJ851971:RXJ851972 SHF851971:SHF851972 SRB851971:SRB851972 TAX851971:TAX851972 TKT851971:TKT851972 TUP851971:TUP851972 UEL851971:UEL851972 UOH851971:UOH851972 UYD851971:UYD851972 VHZ851971:VHZ851972 VRV851971:VRV851972 WBR851971:WBR851972 WLN851971:WLN851972 WVJ851971:WVJ851972 P917508:P917509 IX917507:IX917508 ST917507:ST917508 ACP917507:ACP917508 AML917507:AML917508 AWH917507:AWH917508 BGD917507:BGD917508 BPZ917507:BPZ917508 BZV917507:BZV917508 CJR917507:CJR917508 CTN917507:CTN917508 DDJ917507:DDJ917508 DNF917507:DNF917508 DXB917507:DXB917508 EGX917507:EGX917508 EQT917507:EQT917508 FAP917507:FAP917508 FKL917507:FKL917508 FUH917507:FUH917508 GED917507:GED917508 GNZ917507:GNZ917508 GXV917507:GXV917508 HHR917507:HHR917508 HRN917507:HRN917508 IBJ917507:IBJ917508 ILF917507:ILF917508 IVB917507:IVB917508 JEX917507:JEX917508 JOT917507:JOT917508 JYP917507:JYP917508 KIL917507:KIL917508 KSH917507:KSH917508 LCD917507:LCD917508 LLZ917507:LLZ917508 LVV917507:LVV917508 MFR917507:MFR917508 MPN917507:MPN917508 MZJ917507:MZJ917508 NJF917507:NJF917508 NTB917507:NTB917508 OCX917507:OCX917508 OMT917507:OMT917508 OWP917507:OWP917508 PGL917507:PGL917508 PQH917507:PQH917508 QAD917507:QAD917508 QJZ917507:QJZ917508 QTV917507:QTV917508 RDR917507:RDR917508 RNN917507:RNN917508 RXJ917507:RXJ917508 SHF917507:SHF917508 SRB917507:SRB917508 TAX917507:TAX917508 TKT917507:TKT917508 TUP917507:TUP917508 UEL917507:UEL917508 UOH917507:UOH917508 UYD917507:UYD917508 VHZ917507:VHZ917508 VRV917507:VRV917508 WBR917507:WBR917508 WLN917507:WLN917508 WVJ917507:WVJ917508 P983044:P983045 IX983043:IX983044 ST983043:ST983044 ACP983043:ACP983044 AML983043:AML983044 AWH983043:AWH983044 BGD983043:BGD983044 BPZ983043:BPZ983044 BZV983043:BZV983044 CJR983043:CJR983044 CTN983043:CTN983044 DDJ983043:DDJ983044 DNF983043:DNF983044 DXB983043:DXB983044 EGX983043:EGX983044 EQT983043:EQT983044 FAP983043:FAP983044 FKL983043:FKL983044 FUH983043:FUH983044 GED983043:GED983044 GNZ983043:GNZ983044 GXV983043:GXV983044 HHR983043:HHR983044 HRN983043:HRN983044 IBJ983043:IBJ983044 ILF983043:ILF983044 IVB983043:IVB983044 JEX983043:JEX983044 JOT983043:JOT983044 JYP983043:JYP983044 KIL983043:KIL983044 KSH983043:KSH983044 LCD983043:LCD983044 LLZ983043:LLZ983044 LVV983043:LVV983044 MFR983043:MFR983044 MPN983043:MPN983044 MZJ983043:MZJ983044 NJF983043:NJF983044 NTB983043:NTB983044 OCX983043:OCX983044 OMT983043:OMT983044 OWP983043:OWP983044 PGL983043:PGL983044 PQH983043:PQH983044 QAD983043:QAD983044 QJZ983043:QJZ983044 QTV983043:QTV983044 RDR983043:RDR983044 RNN983043:RNN983044 RXJ983043:RXJ983044 SHF983043:SHF983044 SRB983043:SRB983044 TAX983043:TAX983044 TKT983043:TKT983044 TUP983043:TUP983044 UEL983043:UEL983044 UOH983043:UOH983044 UYD983043:UYD983044 VHZ983043:VHZ983044 VRV983043:VRV983044 WBR983043:WBR983044 WLN983043:WLN983044 WVJ983043:WVJ983044 R65540:R65541 JA65539:JA65540 SW65539:SW65540 ACS65539:ACS65540 AMO65539:AMO65540 AWK65539:AWK65540 BGG65539:BGG65540 BQC65539:BQC65540 BZY65539:BZY65540 CJU65539:CJU65540 CTQ65539:CTQ65540 DDM65539:DDM65540 DNI65539:DNI65540 DXE65539:DXE65540 EHA65539:EHA65540 EQW65539:EQW65540 FAS65539:FAS65540 FKO65539:FKO65540 FUK65539:FUK65540 GEG65539:GEG65540 GOC65539:GOC65540 GXY65539:GXY65540 HHU65539:HHU65540 HRQ65539:HRQ65540 IBM65539:IBM65540 ILI65539:ILI65540 IVE65539:IVE65540 JFA65539:JFA65540 JOW65539:JOW65540 JYS65539:JYS65540 KIO65539:KIO65540 KSK65539:KSK65540 LCG65539:LCG65540 LMC65539:LMC65540 LVY65539:LVY65540 MFU65539:MFU65540 MPQ65539:MPQ65540 MZM65539:MZM65540 NJI65539:NJI65540 NTE65539:NTE65540 ODA65539:ODA65540 OMW65539:OMW65540 OWS65539:OWS65540 PGO65539:PGO65540 PQK65539:PQK65540 QAG65539:QAG65540 QKC65539:QKC65540 QTY65539:QTY65540 RDU65539:RDU65540 RNQ65539:RNQ65540 RXM65539:RXM65540 SHI65539:SHI65540 SRE65539:SRE65540 TBA65539:TBA65540 TKW65539:TKW65540 TUS65539:TUS65540 UEO65539:UEO65540 UOK65539:UOK65540 UYG65539:UYG65540 VIC65539:VIC65540 VRY65539:VRY65540 WBU65539:WBU65540 WLQ65539:WLQ65540 WVM65539:WVM65540 R131076:R131077 JA131075:JA131076 SW131075:SW131076 ACS131075:ACS131076 AMO131075:AMO131076 AWK131075:AWK131076 BGG131075:BGG131076 BQC131075:BQC131076 BZY131075:BZY131076 CJU131075:CJU131076 CTQ131075:CTQ131076 DDM131075:DDM131076 DNI131075:DNI131076 DXE131075:DXE131076 EHA131075:EHA131076 EQW131075:EQW131076 FAS131075:FAS131076 FKO131075:FKO131076 FUK131075:FUK131076 GEG131075:GEG131076 GOC131075:GOC131076 GXY131075:GXY131076 HHU131075:HHU131076 HRQ131075:HRQ131076 IBM131075:IBM131076 ILI131075:ILI131076 IVE131075:IVE131076 JFA131075:JFA131076 JOW131075:JOW131076 JYS131075:JYS131076 KIO131075:KIO131076 KSK131075:KSK131076 LCG131075:LCG131076 LMC131075:LMC131076 LVY131075:LVY131076 MFU131075:MFU131076 MPQ131075:MPQ131076 MZM131075:MZM131076 NJI131075:NJI131076 NTE131075:NTE131076 ODA131075:ODA131076 OMW131075:OMW131076 OWS131075:OWS131076 PGO131075:PGO131076 PQK131075:PQK131076 QAG131075:QAG131076 QKC131075:QKC131076 QTY131075:QTY131076 RDU131075:RDU131076 RNQ131075:RNQ131076 RXM131075:RXM131076 SHI131075:SHI131076 SRE131075:SRE131076 TBA131075:TBA131076 TKW131075:TKW131076 TUS131075:TUS131076 UEO131075:UEO131076 UOK131075:UOK131076 UYG131075:UYG131076 VIC131075:VIC131076 VRY131075:VRY131076 WBU131075:WBU131076 WLQ131075:WLQ131076 WVM131075:WVM131076 R196612:R196613 JA196611:JA196612 SW196611:SW196612 ACS196611:ACS196612 AMO196611:AMO196612 AWK196611:AWK196612 BGG196611:BGG196612 BQC196611:BQC196612 BZY196611:BZY196612 CJU196611:CJU196612 CTQ196611:CTQ196612 DDM196611:DDM196612 DNI196611:DNI196612 DXE196611:DXE196612 EHA196611:EHA196612 EQW196611:EQW196612 FAS196611:FAS196612 FKO196611:FKO196612 FUK196611:FUK196612 GEG196611:GEG196612 GOC196611:GOC196612 GXY196611:GXY196612 HHU196611:HHU196612 HRQ196611:HRQ196612 IBM196611:IBM196612 ILI196611:ILI196612 IVE196611:IVE196612 JFA196611:JFA196612 JOW196611:JOW196612 JYS196611:JYS196612 KIO196611:KIO196612 KSK196611:KSK196612 LCG196611:LCG196612 LMC196611:LMC196612 LVY196611:LVY196612 MFU196611:MFU196612 MPQ196611:MPQ196612 MZM196611:MZM196612 NJI196611:NJI196612 NTE196611:NTE196612 ODA196611:ODA196612 OMW196611:OMW196612 OWS196611:OWS196612 PGO196611:PGO196612 PQK196611:PQK196612 QAG196611:QAG196612 QKC196611:QKC196612 QTY196611:QTY196612 RDU196611:RDU196612 RNQ196611:RNQ196612 RXM196611:RXM196612 SHI196611:SHI196612 SRE196611:SRE196612 TBA196611:TBA196612 TKW196611:TKW196612 TUS196611:TUS196612 UEO196611:UEO196612 UOK196611:UOK196612 UYG196611:UYG196612 VIC196611:VIC196612 VRY196611:VRY196612 WBU196611:WBU196612 WLQ196611:WLQ196612 WVM196611:WVM196612 R262148:R262149 JA262147:JA262148 SW262147:SW262148 ACS262147:ACS262148 AMO262147:AMO262148 AWK262147:AWK262148 BGG262147:BGG262148 BQC262147:BQC262148 BZY262147:BZY262148 CJU262147:CJU262148 CTQ262147:CTQ262148 DDM262147:DDM262148 DNI262147:DNI262148 DXE262147:DXE262148 EHA262147:EHA262148 EQW262147:EQW262148 FAS262147:FAS262148 FKO262147:FKO262148 FUK262147:FUK262148 GEG262147:GEG262148 GOC262147:GOC262148 GXY262147:GXY262148 HHU262147:HHU262148 HRQ262147:HRQ262148 IBM262147:IBM262148 ILI262147:ILI262148 IVE262147:IVE262148 JFA262147:JFA262148 JOW262147:JOW262148 JYS262147:JYS262148 KIO262147:KIO262148 KSK262147:KSK262148 LCG262147:LCG262148 LMC262147:LMC262148 LVY262147:LVY262148 MFU262147:MFU262148 MPQ262147:MPQ262148 MZM262147:MZM262148 NJI262147:NJI262148 NTE262147:NTE262148 ODA262147:ODA262148 OMW262147:OMW262148 OWS262147:OWS262148 PGO262147:PGO262148 PQK262147:PQK262148 QAG262147:QAG262148 QKC262147:QKC262148 QTY262147:QTY262148 RDU262147:RDU262148 RNQ262147:RNQ262148 RXM262147:RXM262148 SHI262147:SHI262148 SRE262147:SRE262148 TBA262147:TBA262148 TKW262147:TKW262148 TUS262147:TUS262148 UEO262147:UEO262148 UOK262147:UOK262148 UYG262147:UYG262148 VIC262147:VIC262148 VRY262147:VRY262148 WBU262147:WBU262148 WLQ262147:WLQ262148 WVM262147:WVM262148 R327684:R327685 JA327683:JA327684 SW327683:SW327684 ACS327683:ACS327684 AMO327683:AMO327684 AWK327683:AWK327684 BGG327683:BGG327684 BQC327683:BQC327684 BZY327683:BZY327684 CJU327683:CJU327684 CTQ327683:CTQ327684 DDM327683:DDM327684 DNI327683:DNI327684 DXE327683:DXE327684 EHA327683:EHA327684 EQW327683:EQW327684 FAS327683:FAS327684 FKO327683:FKO327684 FUK327683:FUK327684 GEG327683:GEG327684 GOC327683:GOC327684 GXY327683:GXY327684 HHU327683:HHU327684 HRQ327683:HRQ327684 IBM327683:IBM327684 ILI327683:ILI327684 IVE327683:IVE327684 JFA327683:JFA327684 JOW327683:JOW327684 JYS327683:JYS327684 KIO327683:KIO327684 KSK327683:KSK327684 LCG327683:LCG327684 LMC327683:LMC327684 LVY327683:LVY327684 MFU327683:MFU327684 MPQ327683:MPQ327684 MZM327683:MZM327684 NJI327683:NJI327684 NTE327683:NTE327684 ODA327683:ODA327684 OMW327683:OMW327684 OWS327683:OWS327684 PGO327683:PGO327684 PQK327683:PQK327684 QAG327683:QAG327684 QKC327683:QKC327684 QTY327683:QTY327684 RDU327683:RDU327684 RNQ327683:RNQ327684 RXM327683:RXM327684 SHI327683:SHI327684 SRE327683:SRE327684 TBA327683:TBA327684 TKW327683:TKW327684 TUS327683:TUS327684 UEO327683:UEO327684 UOK327683:UOK327684 UYG327683:UYG327684 VIC327683:VIC327684 VRY327683:VRY327684 WBU327683:WBU327684 WLQ327683:WLQ327684 WVM327683:WVM327684 R393220:R393221 JA393219:JA393220 SW393219:SW393220 ACS393219:ACS393220 AMO393219:AMO393220 AWK393219:AWK393220 BGG393219:BGG393220 BQC393219:BQC393220 BZY393219:BZY393220 CJU393219:CJU393220 CTQ393219:CTQ393220 DDM393219:DDM393220 DNI393219:DNI393220 DXE393219:DXE393220 EHA393219:EHA393220 EQW393219:EQW393220 FAS393219:FAS393220 FKO393219:FKO393220 FUK393219:FUK393220 GEG393219:GEG393220 GOC393219:GOC393220 GXY393219:GXY393220 HHU393219:HHU393220 HRQ393219:HRQ393220 IBM393219:IBM393220 ILI393219:ILI393220 IVE393219:IVE393220 JFA393219:JFA393220 JOW393219:JOW393220 JYS393219:JYS393220 KIO393219:KIO393220 KSK393219:KSK393220 LCG393219:LCG393220 LMC393219:LMC393220 LVY393219:LVY393220 MFU393219:MFU393220 MPQ393219:MPQ393220 MZM393219:MZM393220 NJI393219:NJI393220 NTE393219:NTE393220 ODA393219:ODA393220 OMW393219:OMW393220 OWS393219:OWS393220 PGO393219:PGO393220 PQK393219:PQK393220 QAG393219:QAG393220 QKC393219:QKC393220 QTY393219:QTY393220 RDU393219:RDU393220 RNQ393219:RNQ393220 RXM393219:RXM393220 SHI393219:SHI393220 SRE393219:SRE393220 TBA393219:TBA393220 TKW393219:TKW393220 TUS393219:TUS393220 UEO393219:UEO393220 UOK393219:UOK393220 UYG393219:UYG393220 VIC393219:VIC393220 VRY393219:VRY393220 WBU393219:WBU393220 WLQ393219:WLQ393220 WVM393219:WVM393220 R458756:R458757 JA458755:JA458756 SW458755:SW458756 ACS458755:ACS458756 AMO458755:AMO458756 AWK458755:AWK458756 BGG458755:BGG458756 BQC458755:BQC458756 BZY458755:BZY458756 CJU458755:CJU458756 CTQ458755:CTQ458756 DDM458755:DDM458756 DNI458755:DNI458756 DXE458755:DXE458756 EHA458755:EHA458756 EQW458755:EQW458756 FAS458755:FAS458756 FKO458755:FKO458756 FUK458755:FUK458756 GEG458755:GEG458756 GOC458755:GOC458756 GXY458755:GXY458756 HHU458755:HHU458756 HRQ458755:HRQ458756 IBM458755:IBM458756 ILI458755:ILI458756 IVE458755:IVE458756 JFA458755:JFA458756 JOW458755:JOW458756 JYS458755:JYS458756 KIO458755:KIO458756 KSK458755:KSK458756 LCG458755:LCG458756 LMC458755:LMC458756 LVY458755:LVY458756 MFU458755:MFU458756 MPQ458755:MPQ458756 MZM458755:MZM458756 NJI458755:NJI458756 NTE458755:NTE458756 ODA458755:ODA458756 OMW458755:OMW458756 OWS458755:OWS458756 PGO458755:PGO458756 PQK458755:PQK458756 QAG458755:QAG458756 QKC458755:QKC458756 QTY458755:QTY458756 RDU458755:RDU458756 RNQ458755:RNQ458756 RXM458755:RXM458756 SHI458755:SHI458756 SRE458755:SRE458756 TBA458755:TBA458756 TKW458755:TKW458756 TUS458755:TUS458756 UEO458755:UEO458756 UOK458755:UOK458756 UYG458755:UYG458756 VIC458755:VIC458756 VRY458755:VRY458756 WBU458755:WBU458756 WLQ458755:WLQ458756 WVM458755:WVM458756 R524292:R524293 JA524291:JA524292 SW524291:SW524292 ACS524291:ACS524292 AMO524291:AMO524292 AWK524291:AWK524292 BGG524291:BGG524292 BQC524291:BQC524292 BZY524291:BZY524292 CJU524291:CJU524292 CTQ524291:CTQ524292 DDM524291:DDM524292 DNI524291:DNI524292 DXE524291:DXE524292 EHA524291:EHA524292 EQW524291:EQW524292 FAS524291:FAS524292 FKO524291:FKO524292 FUK524291:FUK524292 GEG524291:GEG524292 GOC524291:GOC524292 GXY524291:GXY524292 HHU524291:HHU524292 HRQ524291:HRQ524292 IBM524291:IBM524292 ILI524291:ILI524292 IVE524291:IVE524292 JFA524291:JFA524292 JOW524291:JOW524292 JYS524291:JYS524292 KIO524291:KIO524292 KSK524291:KSK524292 LCG524291:LCG524292 LMC524291:LMC524292 LVY524291:LVY524292 MFU524291:MFU524292 MPQ524291:MPQ524292 MZM524291:MZM524292 NJI524291:NJI524292 NTE524291:NTE524292 ODA524291:ODA524292 OMW524291:OMW524292 OWS524291:OWS524292 PGO524291:PGO524292 PQK524291:PQK524292 QAG524291:QAG524292 QKC524291:QKC524292 QTY524291:QTY524292 RDU524291:RDU524292 RNQ524291:RNQ524292 RXM524291:RXM524292 SHI524291:SHI524292 SRE524291:SRE524292 TBA524291:TBA524292 TKW524291:TKW524292 TUS524291:TUS524292 UEO524291:UEO524292 UOK524291:UOK524292 UYG524291:UYG524292 VIC524291:VIC524292 VRY524291:VRY524292 WBU524291:WBU524292 WLQ524291:WLQ524292 WVM524291:WVM524292 R589828:R589829 JA589827:JA589828 SW589827:SW589828 ACS589827:ACS589828 AMO589827:AMO589828 AWK589827:AWK589828 BGG589827:BGG589828 BQC589827:BQC589828 BZY589827:BZY589828 CJU589827:CJU589828 CTQ589827:CTQ589828 DDM589827:DDM589828 DNI589827:DNI589828 DXE589827:DXE589828 EHA589827:EHA589828 EQW589827:EQW589828 FAS589827:FAS589828 FKO589827:FKO589828 FUK589827:FUK589828 GEG589827:GEG589828 GOC589827:GOC589828 GXY589827:GXY589828 HHU589827:HHU589828 HRQ589827:HRQ589828 IBM589827:IBM589828 ILI589827:ILI589828 IVE589827:IVE589828 JFA589827:JFA589828 JOW589827:JOW589828 JYS589827:JYS589828 KIO589827:KIO589828 KSK589827:KSK589828 LCG589827:LCG589828 LMC589827:LMC589828 LVY589827:LVY589828 MFU589827:MFU589828 MPQ589827:MPQ589828 MZM589827:MZM589828 NJI589827:NJI589828 NTE589827:NTE589828 ODA589827:ODA589828 OMW589827:OMW589828 OWS589827:OWS589828 PGO589827:PGO589828 PQK589827:PQK589828 QAG589827:QAG589828 QKC589827:QKC589828 QTY589827:QTY589828 RDU589827:RDU589828 RNQ589827:RNQ589828 RXM589827:RXM589828 SHI589827:SHI589828 SRE589827:SRE589828 TBA589827:TBA589828 TKW589827:TKW589828 TUS589827:TUS589828 UEO589827:UEO589828 UOK589827:UOK589828 UYG589827:UYG589828 VIC589827:VIC589828 VRY589827:VRY589828 WBU589827:WBU589828 WLQ589827:WLQ589828 WVM589827:WVM589828 R655364:R655365 JA655363:JA655364 SW655363:SW655364 ACS655363:ACS655364 AMO655363:AMO655364 AWK655363:AWK655364 BGG655363:BGG655364 BQC655363:BQC655364 BZY655363:BZY655364 CJU655363:CJU655364 CTQ655363:CTQ655364 DDM655363:DDM655364 DNI655363:DNI655364 DXE655363:DXE655364 EHA655363:EHA655364 EQW655363:EQW655364 FAS655363:FAS655364 FKO655363:FKO655364 FUK655363:FUK655364 GEG655363:GEG655364 GOC655363:GOC655364 GXY655363:GXY655364 HHU655363:HHU655364 HRQ655363:HRQ655364 IBM655363:IBM655364 ILI655363:ILI655364 IVE655363:IVE655364 JFA655363:JFA655364 JOW655363:JOW655364 JYS655363:JYS655364 KIO655363:KIO655364 KSK655363:KSK655364 LCG655363:LCG655364 LMC655363:LMC655364 LVY655363:LVY655364 MFU655363:MFU655364 MPQ655363:MPQ655364 MZM655363:MZM655364 NJI655363:NJI655364 NTE655363:NTE655364 ODA655363:ODA655364 OMW655363:OMW655364 OWS655363:OWS655364 PGO655363:PGO655364 PQK655363:PQK655364 QAG655363:QAG655364 QKC655363:QKC655364 QTY655363:QTY655364 RDU655363:RDU655364 RNQ655363:RNQ655364 RXM655363:RXM655364 SHI655363:SHI655364 SRE655363:SRE655364 TBA655363:TBA655364 TKW655363:TKW655364 TUS655363:TUS655364 UEO655363:UEO655364 UOK655363:UOK655364 UYG655363:UYG655364 VIC655363:VIC655364 VRY655363:VRY655364 WBU655363:WBU655364 WLQ655363:WLQ655364 WVM655363:WVM655364 R720900:R720901 JA720899:JA720900 SW720899:SW720900 ACS720899:ACS720900 AMO720899:AMO720900 AWK720899:AWK720900 BGG720899:BGG720900 BQC720899:BQC720900 BZY720899:BZY720900 CJU720899:CJU720900 CTQ720899:CTQ720900 DDM720899:DDM720900 DNI720899:DNI720900 DXE720899:DXE720900 EHA720899:EHA720900 EQW720899:EQW720900 FAS720899:FAS720900 FKO720899:FKO720900 FUK720899:FUK720900 GEG720899:GEG720900 GOC720899:GOC720900 GXY720899:GXY720900 HHU720899:HHU720900 HRQ720899:HRQ720900 IBM720899:IBM720900 ILI720899:ILI720900 IVE720899:IVE720900 JFA720899:JFA720900 JOW720899:JOW720900 JYS720899:JYS720900 KIO720899:KIO720900 KSK720899:KSK720900 LCG720899:LCG720900 LMC720899:LMC720900 LVY720899:LVY720900 MFU720899:MFU720900 MPQ720899:MPQ720900 MZM720899:MZM720900 NJI720899:NJI720900 NTE720899:NTE720900 ODA720899:ODA720900 OMW720899:OMW720900 OWS720899:OWS720900 PGO720899:PGO720900 PQK720899:PQK720900 QAG720899:QAG720900 QKC720899:QKC720900 QTY720899:QTY720900 RDU720899:RDU720900 RNQ720899:RNQ720900 RXM720899:RXM720900 SHI720899:SHI720900 SRE720899:SRE720900 TBA720899:TBA720900 TKW720899:TKW720900 TUS720899:TUS720900 UEO720899:UEO720900 UOK720899:UOK720900 UYG720899:UYG720900 VIC720899:VIC720900 VRY720899:VRY720900 WBU720899:WBU720900 WLQ720899:WLQ720900 WVM720899:WVM720900 R786436:R786437 JA786435:JA786436 SW786435:SW786436 ACS786435:ACS786436 AMO786435:AMO786436 AWK786435:AWK786436 BGG786435:BGG786436 BQC786435:BQC786436 BZY786435:BZY786436 CJU786435:CJU786436 CTQ786435:CTQ786436 DDM786435:DDM786436 DNI786435:DNI786436 DXE786435:DXE786436 EHA786435:EHA786436 EQW786435:EQW786436 FAS786435:FAS786436 FKO786435:FKO786436 FUK786435:FUK786436 GEG786435:GEG786436 GOC786435:GOC786436 GXY786435:GXY786436 HHU786435:HHU786436 HRQ786435:HRQ786436 IBM786435:IBM786436 ILI786435:ILI786436 IVE786435:IVE786436 JFA786435:JFA786436 JOW786435:JOW786436 JYS786435:JYS786436 KIO786435:KIO786436 KSK786435:KSK786436 LCG786435:LCG786436 LMC786435:LMC786436 LVY786435:LVY786436 MFU786435:MFU786436 MPQ786435:MPQ786436 MZM786435:MZM786436 NJI786435:NJI786436 NTE786435:NTE786436 ODA786435:ODA786436 OMW786435:OMW786436 OWS786435:OWS786436 PGO786435:PGO786436 PQK786435:PQK786436 QAG786435:QAG786436 QKC786435:QKC786436 QTY786435:QTY786436 RDU786435:RDU786436 RNQ786435:RNQ786436 RXM786435:RXM786436 SHI786435:SHI786436 SRE786435:SRE786436 TBA786435:TBA786436 TKW786435:TKW786436 TUS786435:TUS786436 UEO786435:UEO786436 UOK786435:UOK786436 UYG786435:UYG786436 VIC786435:VIC786436 VRY786435:VRY786436 WBU786435:WBU786436 WLQ786435:WLQ786436 WVM786435:WVM786436 R851972:R851973 JA851971:JA851972 SW851971:SW851972 ACS851971:ACS851972 AMO851971:AMO851972 AWK851971:AWK851972 BGG851971:BGG851972 BQC851971:BQC851972 BZY851971:BZY851972 CJU851971:CJU851972 CTQ851971:CTQ851972 DDM851971:DDM851972 DNI851971:DNI851972 DXE851971:DXE851972 EHA851971:EHA851972 EQW851971:EQW851972 FAS851971:FAS851972 FKO851971:FKO851972 FUK851971:FUK851972 GEG851971:GEG851972 GOC851971:GOC851972 GXY851971:GXY851972 HHU851971:HHU851972 HRQ851971:HRQ851972 IBM851971:IBM851972 ILI851971:ILI851972 IVE851971:IVE851972 JFA851971:JFA851972 JOW851971:JOW851972 JYS851971:JYS851972 KIO851971:KIO851972 KSK851971:KSK851972 LCG851971:LCG851972 LMC851971:LMC851972 LVY851971:LVY851972 MFU851971:MFU851972 MPQ851971:MPQ851972 MZM851971:MZM851972 NJI851971:NJI851972 NTE851971:NTE851972 ODA851971:ODA851972 OMW851971:OMW851972 OWS851971:OWS851972 PGO851971:PGO851972 PQK851971:PQK851972 QAG851971:QAG851972 QKC851971:QKC851972 QTY851971:QTY851972 RDU851971:RDU851972 RNQ851971:RNQ851972 RXM851971:RXM851972 SHI851971:SHI851972 SRE851971:SRE851972 TBA851971:TBA851972 TKW851971:TKW851972 TUS851971:TUS851972 UEO851971:UEO851972 UOK851971:UOK851972 UYG851971:UYG851972 VIC851971:VIC851972 VRY851971:VRY851972 WBU851971:WBU851972 WLQ851971:WLQ851972 WVM851971:WVM851972 R917508:R917509 JA917507:JA917508 SW917507:SW917508 ACS917507:ACS917508 AMO917507:AMO917508 AWK917507:AWK917508 BGG917507:BGG917508 BQC917507:BQC917508 BZY917507:BZY917508 CJU917507:CJU917508 CTQ917507:CTQ917508 DDM917507:DDM917508 DNI917507:DNI917508 DXE917507:DXE917508 EHA917507:EHA917508 EQW917507:EQW917508 FAS917507:FAS917508 FKO917507:FKO917508 FUK917507:FUK917508 GEG917507:GEG917508 GOC917507:GOC917508 GXY917507:GXY917508 HHU917507:HHU917508 HRQ917507:HRQ917508 IBM917507:IBM917508 ILI917507:ILI917508 IVE917507:IVE917508 JFA917507:JFA917508 JOW917507:JOW917508 JYS917507:JYS917508 KIO917507:KIO917508 KSK917507:KSK917508 LCG917507:LCG917508 LMC917507:LMC917508 LVY917507:LVY917508 MFU917507:MFU917508 MPQ917507:MPQ917508 MZM917507:MZM917508 NJI917507:NJI917508 NTE917507:NTE917508 ODA917507:ODA917508 OMW917507:OMW917508 OWS917507:OWS917508 PGO917507:PGO917508 PQK917507:PQK917508 QAG917507:QAG917508 QKC917507:QKC917508 QTY917507:QTY917508 RDU917507:RDU917508 RNQ917507:RNQ917508 RXM917507:RXM917508 SHI917507:SHI917508 SRE917507:SRE917508 TBA917507:TBA917508 TKW917507:TKW917508 TUS917507:TUS917508 UEO917507:UEO917508 UOK917507:UOK917508 UYG917507:UYG917508 VIC917507:VIC917508 VRY917507:VRY917508 WBU917507:WBU917508 WLQ917507:WLQ917508 WVM917507:WVM917508 R983044:R983045 JA983043:JA983044 SW983043:SW983044 ACS983043:ACS983044 AMO983043:AMO983044 AWK983043:AWK983044 BGG983043:BGG983044 BQC983043:BQC983044 BZY983043:BZY983044 CJU983043:CJU983044 CTQ983043:CTQ983044 DDM983043:DDM983044 DNI983043:DNI983044 DXE983043:DXE983044 EHA983043:EHA983044 EQW983043:EQW983044 FAS983043:FAS983044 FKO983043:FKO983044 FUK983043:FUK983044 GEG983043:GEG983044 GOC983043:GOC983044 GXY983043:GXY983044 HHU983043:HHU983044 HRQ983043:HRQ983044 IBM983043:IBM983044 ILI983043:ILI983044 IVE983043:IVE983044 JFA983043:JFA983044 JOW983043:JOW983044 JYS983043:JYS983044 KIO983043:KIO983044 KSK983043:KSK983044 LCG983043:LCG983044 LMC983043:LMC983044 LVY983043:LVY983044 MFU983043:MFU983044 MPQ983043:MPQ983044 MZM983043:MZM983044 NJI983043:NJI983044 NTE983043:NTE983044 ODA983043:ODA983044 OMW983043:OMW983044 OWS983043:OWS983044 PGO983043:PGO983044 PQK983043:PQK983044 QAG983043:QAG983044 QKC983043:QKC983044 QTY983043:QTY983044 RDU983043:RDU983044 RNQ983043:RNQ983044 RXM983043:RXM983044 SHI983043:SHI983044 SRE983043:SRE983044 TBA983043:TBA983044 TKW983043:TKW983044 TUS983043:TUS983044 UEO983043:UEO983044 UOK983043:UOK983044 UYG983043:UYG983044 VIC983043:VIC983044 VRY983043:VRY983044 WBU983043:WBU983044 WLQ983043:WLQ983044 WVM983043:WVM983044 T65540:T65541 JD65539:JD65540 SZ65539:SZ65540 ACV65539:ACV65540 AMR65539:AMR65540 AWN65539:AWN65540 BGJ65539:BGJ65540 BQF65539:BQF65540 CAB65539:CAB65540 CJX65539:CJX65540 CTT65539:CTT65540 DDP65539:DDP65540 DNL65539:DNL65540 DXH65539:DXH65540 EHD65539:EHD65540 EQZ65539:EQZ65540 FAV65539:FAV65540 FKR65539:FKR65540 FUN65539:FUN65540 GEJ65539:GEJ65540 GOF65539:GOF65540 GYB65539:GYB65540 HHX65539:HHX65540 HRT65539:HRT65540 IBP65539:IBP65540 ILL65539:ILL65540 IVH65539:IVH65540 JFD65539:JFD65540 JOZ65539:JOZ65540 JYV65539:JYV65540 KIR65539:KIR65540 KSN65539:KSN65540 LCJ65539:LCJ65540 LMF65539:LMF65540 LWB65539:LWB65540 MFX65539:MFX65540 MPT65539:MPT65540 MZP65539:MZP65540 NJL65539:NJL65540 NTH65539:NTH65540 ODD65539:ODD65540 OMZ65539:OMZ65540 OWV65539:OWV65540 PGR65539:PGR65540 PQN65539:PQN65540 QAJ65539:QAJ65540 QKF65539:QKF65540 QUB65539:QUB65540 RDX65539:RDX65540 RNT65539:RNT65540 RXP65539:RXP65540 SHL65539:SHL65540 SRH65539:SRH65540 TBD65539:TBD65540 TKZ65539:TKZ65540 TUV65539:TUV65540 UER65539:UER65540 UON65539:UON65540 UYJ65539:UYJ65540 VIF65539:VIF65540 VSB65539:VSB65540 WBX65539:WBX65540 WLT65539:WLT65540 WVP65539:WVP65540 T131076:T131077 JD131075:JD131076 SZ131075:SZ131076 ACV131075:ACV131076 AMR131075:AMR131076 AWN131075:AWN131076 BGJ131075:BGJ131076 BQF131075:BQF131076 CAB131075:CAB131076 CJX131075:CJX131076 CTT131075:CTT131076 DDP131075:DDP131076 DNL131075:DNL131076 DXH131075:DXH131076 EHD131075:EHD131076 EQZ131075:EQZ131076 FAV131075:FAV131076 FKR131075:FKR131076 FUN131075:FUN131076 GEJ131075:GEJ131076 GOF131075:GOF131076 GYB131075:GYB131076 HHX131075:HHX131076 HRT131075:HRT131076 IBP131075:IBP131076 ILL131075:ILL131076 IVH131075:IVH131076 JFD131075:JFD131076 JOZ131075:JOZ131076 JYV131075:JYV131076 KIR131075:KIR131076 KSN131075:KSN131076 LCJ131075:LCJ131076 LMF131075:LMF131076 LWB131075:LWB131076 MFX131075:MFX131076 MPT131075:MPT131076 MZP131075:MZP131076 NJL131075:NJL131076 NTH131075:NTH131076 ODD131075:ODD131076 OMZ131075:OMZ131076 OWV131075:OWV131076 PGR131075:PGR131076 PQN131075:PQN131076 QAJ131075:QAJ131076 QKF131075:QKF131076 QUB131075:QUB131076 RDX131075:RDX131076 RNT131075:RNT131076 RXP131075:RXP131076 SHL131075:SHL131076 SRH131075:SRH131076 TBD131075:TBD131076 TKZ131075:TKZ131076 TUV131075:TUV131076 UER131075:UER131076 UON131075:UON131076 UYJ131075:UYJ131076 VIF131075:VIF131076 VSB131075:VSB131076 WBX131075:WBX131076 WLT131075:WLT131076 WVP131075:WVP131076 T196612:T196613 JD196611:JD196612 SZ196611:SZ196612 ACV196611:ACV196612 AMR196611:AMR196612 AWN196611:AWN196612 BGJ196611:BGJ196612 BQF196611:BQF196612 CAB196611:CAB196612 CJX196611:CJX196612 CTT196611:CTT196612 DDP196611:DDP196612 DNL196611:DNL196612 DXH196611:DXH196612 EHD196611:EHD196612 EQZ196611:EQZ196612 FAV196611:FAV196612 FKR196611:FKR196612 FUN196611:FUN196612 GEJ196611:GEJ196612 GOF196611:GOF196612 GYB196611:GYB196612 HHX196611:HHX196612 HRT196611:HRT196612 IBP196611:IBP196612 ILL196611:ILL196612 IVH196611:IVH196612 JFD196611:JFD196612 JOZ196611:JOZ196612 JYV196611:JYV196612 KIR196611:KIR196612 KSN196611:KSN196612 LCJ196611:LCJ196612 LMF196611:LMF196612 LWB196611:LWB196612 MFX196611:MFX196612 MPT196611:MPT196612 MZP196611:MZP196612 NJL196611:NJL196612 NTH196611:NTH196612 ODD196611:ODD196612 OMZ196611:OMZ196612 OWV196611:OWV196612 PGR196611:PGR196612 PQN196611:PQN196612 QAJ196611:QAJ196612 QKF196611:QKF196612 QUB196611:QUB196612 RDX196611:RDX196612 RNT196611:RNT196612 RXP196611:RXP196612 SHL196611:SHL196612 SRH196611:SRH196612 TBD196611:TBD196612 TKZ196611:TKZ196612 TUV196611:TUV196612 UER196611:UER196612 UON196611:UON196612 UYJ196611:UYJ196612 VIF196611:VIF196612 VSB196611:VSB196612 WBX196611:WBX196612 WLT196611:WLT196612 WVP196611:WVP196612 T262148:T262149 JD262147:JD262148 SZ262147:SZ262148 ACV262147:ACV262148 AMR262147:AMR262148 AWN262147:AWN262148 BGJ262147:BGJ262148 BQF262147:BQF262148 CAB262147:CAB262148 CJX262147:CJX262148 CTT262147:CTT262148 DDP262147:DDP262148 DNL262147:DNL262148 DXH262147:DXH262148 EHD262147:EHD262148 EQZ262147:EQZ262148 FAV262147:FAV262148 FKR262147:FKR262148 FUN262147:FUN262148 GEJ262147:GEJ262148 GOF262147:GOF262148 GYB262147:GYB262148 HHX262147:HHX262148 HRT262147:HRT262148 IBP262147:IBP262148 ILL262147:ILL262148 IVH262147:IVH262148 JFD262147:JFD262148 JOZ262147:JOZ262148 JYV262147:JYV262148 KIR262147:KIR262148 KSN262147:KSN262148 LCJ262147:LCJ262148 LMF262147:LMF262148 LWB262147:LWB262148 MFX262147:MFX262148 MPT262147:MPT262148 MZP262147:MZP262148 NJL262147:NJL262148 NTH262147:NTH262148 ODD262147:ODD262148 OMZ262147:OMZ262148 OWV262147:OWV262148 PGR262147:PGR262148 PQN262147:PQN262148 QAJ262147:QAJ262148 QKF262147:QKF262148 QUB262147:QUB262148 RDX262147:RDX262148 RNT262147:RNT262148 RXP262147:RXP262148 SHL262147:SHL262148 SRH262147:SRH262148 TBD262147:TBD262148 TKZ262147:TKZ262148 TUV262147:TUV262148 UER262147:UER262148 UON262147:UON262148 UYJ262147:UYJ262148 VIF262147:VIF262148 VSB262147:VSB262148 WBX262147:WBX262148 WLT262147:WLT262148 WVP262147:WVP262148 T327684:T327685 JD327683:JD327684 SZ327683:SZ327684 ACV327683:ACV327684 AMR327683:AMR327684 AWN327683:AWN327684 BGJ327683:BGJ327684 BQF327683:BQF327684 CAB327683:CAB327684 CJX327683:CJX327684 CTT327683:CTT327684 DDP327683:DDP327684 DNL327683:DNL327684 DXH327683:DXH327684 EHD327683:EHD327684 EQZ327683:EQZ327684 FAV327683:FAV327684 FKR327683:FKR327684 FUN327683:FUN327684 GEJ327683:GEJ327684 GOF327683:GOF327684 GYB327683:GYB327684 HHX327683:HHX327684 HRT327683:HRT327684 IBP327683:IBP327684 ILL327683:ILL327684 IVH327683:IVH327684 JFD327683:JFD327684 JOZ327683:JOZ327684 JYV327683:JYV327684 KIR327683:KIR327684 KSN327683:KSN327684 LCJ327683:LCJ327684 LMF327683:LMF327684 LWB327683:LWB327684 MFX327683:MFX327684 MPT327683:MPT327684 MZP327683:MZP327684 NJL327683:NJL327684 NTH327683:NTH327684 ODD327683:ODD327684 OMZ327683:OMZ327684 OWV327683:OWV327684 PGR327683:PGR327684 PQN327683:PQN327684 QAJ327683:QAJ327684 QKF327683:QKF327684 QUB327683:QUB327684 RDX327683:RDX327684 RNT327683:RNT327684 RXP327683:RXP327684 SHL327683:SHL327684 SRH327683:SRH327684 TBD327683:TBD327684 TKZ327683:TKZ327684 TUV327683:TUV327684 UER327683:UER327684 UON327683:UON327684 UYJ327683:UYJ327684 VIF327683:VIF327684 VSB327683:VSB327684 WBX327683:WBX327684 WLT327683:WLT327684 WVP327683:WVP327684 T393220:T393221 JD393219:JD393220 SZ393219:SZ393220 ACV393219:ACV393220 AMR393219:AMR393220 AWN393219:AWN393220 BGJ393219:BGJ393220 BQF393219:BQF393220 CAB393219:CAB393220 CJX393219:CJX393220 CTT393219:CTT393220 DDP393219:DDP393220 DNL393219:DNL393220 DXH393219:DXH393220 EHD393219:EHD393220 EQZ393219:EQZ393220 FAV393219:FAV393220 FKR393219:FKR393220 FUN393219:FUN393220 GEJ393219:GEJ393220 GOF393219:GOF393220 GYB393219:GYB393220 HHX393219:HHX393220 HRT393219:HRT393220 IBP393219:IBP393220 ILL393219:ILL393220 IVH393219:IVH393220 JFD393219:JFD393220 JOZ393219:JOZ393220 JYV393219:JYV393220 KIR393219:KIR393220 KSN393219:KSN393220 LCJ393219:LCJ393220 LMF393219:LMF393220 LWB393219:LWB393220 MFX393219:MFX393220 MPT393219:MPT393220 MZP393219:MZP393220 NJL393219:NJL393220 NTH393219:NTH393220 ODD393219:ODD393220 OMZ393219:OMZ393220 OWV393219:OWV393220 PGR393219:PGR393220 PQN393219:PQN393220 QAJ393219:QAJ393220 QKF393219:QKF393220 QUB393219:QUB393220 RDX393219:RDX393220 RNT393219:RNT393220 RXP393219:RXP393220 SHL393219:SHL393220 SRH393219:SRH393220 TBD393219:TBD393220 TKZ393219:TKZ393220 TUV393219:TUV393220 UER393219:UER393220 UON393219:UON393220 UYJ393219:UYJ393220 VIF393219:VIF393220 VSB393219:VSB393220 WBX393219:WBX393220 WLT393219:WLT393220 WVP393219:WVP393220 T458756:T458757 JD458755:JD458756 SZ458755:SZ458756 ACV458755:ACV458756 AMR458755:AMR458756 AWN458755:AWN458756 BGJ458755:BGJ458756 BQF458755:BQF458756 CAB458755:CAB458756 CJX458755:CJX458756 CTT458755:CTT458756 DDP458755:DDP458756 DNL458755:DNL458756 DXH458755:DXH458756 EHD458755:EHD458756 EQZ458755:EQZ458756 FAV458755:FAV458756 FKR458755:FKR458756 FUN458755:FUN458756 GEJ458755:GEJ458756 GOF458755:GOF458756 GYB458755:GYB458756 HHX458755:HHX458756 HRT458755:HRT458756 IBP458755:IBP458756 ILL458755:ILL458756 IVH458755:IVH458756 JFD458755:JFD458756 JOZ458755:JOZ458756 JYV458755:JYV458756 KIR458755:KIR458756 KSN458755:KSN458756 LCJ458755:LCJ458756 LMF458755:LMF458756 LWB458755:LWB458756 MFX458755:MFX458756 MPT458755:MPT458756 MZP458755:MZP458756 NJL458755:NJL458756 NTH458755:NTH458756 ODD458755:ODD458756 OMZ458755:OMZ458756 OWV458755:OWV458756 PGR458755:PGR458756 PQN458755:PQN458756 QAJ458755:QAJ458756 QKF458755:QKF458756 QUB458755:QUB458756 RDX458755:RDX458756 RNT458755:RNT458756 RXP458755:RXP458756 SHL458755:SHL458756 SRH458755:SRH458756 TBD458755:TBD458756 TKZ458755:TKZ458756 TUV458755:TUV458756 UER458755:UER458756 UON458755:UON458756 UYJ458755:UYJ458756 VIF458755:VIF458756 VSB458755:VSB458756 WBX458755:WBX458756 WLT458755:WLT458756 WVP458755:WVP458756 T524292:T524293 JD524291:JD524292 SZ524291:SZ524292 ACV524291:ACV524292 AMR524291:AMR524292 AWN524291:AWN524292 BGJ524291:BGJ524292 BQF524291:BQF524292 CAB524291:CAB524292 CJX524291:CJX524292 CTT524291:CTT524292 DDP524291:DDP524292 DNL524291:DNL524292 DXH524291:DXH524292 EHD524291:EHD524292 EQZ524291:EQZ524292 FAV524291:FAV524292 FKR524291:FKR524292 FUN524291:FUN524292 GEJ524291:GEJ524292 GOF524291:GOF524292 GYB524291:GYB524292 HHX524291:HHX524292 HRT524291:HRT524292 IBP524291:IBP524292 ILL524291:ILL524292 IVH524291:IVH524292 JFD524291:JFD524292 JOZ524291:JOZ524292 JYV524291:JYV524292 KIR524291:KIR524292 KSN524291:KSN524292 LCJ524291:LCJ524292 LMF524291:LMF524292 LWB524291:LWB524292 MFX524291:MFX524292 MPT524291:MPT524292 MZP524291:MZP524292 NJL524291:NJL524292 NTH524291:NTH524292 ODD524291:ODD524292 OMZ524291:OMZ524292 OWV524291:OWV524292 PGR524291:PGR524292 PQN524291:PQN524292 QAJ524291:QAJ524292 QKF524291:QKF524292 QUB524291:QUB524292 RDX524291:RDX524292 RNT524291:RNT524292 RXP524291:RXP524292 SHL524291:SHL524292 SRH524291:SRH524292 TBD524291:TBD524292 TKZ524291:TKZ524292 TUV524291:TUV524292 UER524291:UER524292 UON524291:UON524292 UYJ524291:UYJ524292 VIF524291:VIF524292 VSB524291:VSB524292 WBX524291:WBX524292 WLT524291:WLT524292 WVP524291:WVP524292 T589828:T589829 JD589827:JD589828 SZ589827:SZ589828 ACV589827:ACV589828 AMR589827:AMR589828 AWN589827:AWN589828 BGJ589827:BGJ589828 BQF589827:BQF589828 CAB589827:CAB589828 CJX589827:CJX589828 CTT589827:CTT589828 DDP589827:DDP589828 DNL589827:DNL589828 DXH589827:DXH589828 EHD589827:EHD589828 EQZ589827:EQZ589828 FAV589827:FAV589828 FKR589827:FKR589828 FUN589827:FUN589828 GEJ589827:GEJ589828 GOF589827:GOF589828 GYB589827:GYB589828 HHX589827:HHX589828 HRT589827:HRT589828 IBP589827:IBP589828 ILL589827:ILL589828 IVH589827:IVH589828 JFD589827:JFD589828 JOZ589827:JOZ589828 JYV589827:JYV589828 KIR589827:KIR589828 KSN589827:KSN589828 LCJ589827:LCJ589828 LMF589827:LMF589828 LWB589827:LWB589828 MFX589827:MFX589828 MPT589827:MPT589828 MZP589827:MZP589828 NJL589827:NJL589828 NTH589827:NTH589828 ODD589827:ODD589828 OMZ589827:OMZ589828 OWV589827:OWV589828 PGR589827:PGR589828 PQN589827:PQN589828 QAJ589827:QAJ589828 QKF589827:QKF589828 QUB589827:QUB589828 RDX589827:RDX589828 RNT589827:RNT589828 RXP589827:RXP589828 SHL589827:SHL589828 SRH589827:SRH589828 TBD589827:TBD589828 TKZ589827:TKZ589828 TUV589827:TUV589828 UER589827:UER589828 UON589827:UON589828 UYJ589827:UYJ589828 VIF589827:VIF589828 VSB589827:VSB589828 WBX589827:WBX589828 WLT589827:WLT589828 WVP589827:WVP589828 T655364:T655365 JD655363:JD655364 SZ655363:SZ655364 ACV655363:ACV655364 AMR655363:AMR655364 AWN655363:AWN655364 BGJ655363:BGJ655364 BQF655363:BQF655364 CAB655363:CAB655364 CJX655363:CJX655364 CTT655363:CTT655364 DDP655363:DDP655364 DNL655363:DNL655364 DXH655363:DXH655364 EHD655363:EHD655364 EQZ655363:EQZ655364 FAV655363:FAV655364 FKR655363:FKR655364 FUN655363:FUN655364 GEJ655363:GEJ655364 GOF655363:GOF655364 GYB655363:GYB655364 HHX655363:HHX655364 HRT655363:HRT655364 IBP655363:IBP655364 ILL655363:ILL655364 IVH655363:IVH655364 JFD655363:JFD655364 JOZ655363:JOZ655364 JYV655363:JYV655364 KIR655363:KIR655364 KSN655363:KSN655364 LCJ655363:LCJ655364 LMF655363:LMF655364 LWB655363:LWB655364 MFX655363:MFX655364 MPT655363:MPT655364 MZP655363:MZP655364 NJL655363:NJL655364 NTH655363:NTH655364 ODD655363:ODD655364 OMZ655363:OMZ655364 OWV655363:OWV655364 PGR655363:PGR655364 PQN655363:PQN655364 QAJ655363:QAJ655364 QKF655363:QKF655364 QUB655363:QUB655364 RDX655363:RDX655364 RNT655363:RNT655364 RXP655363:RXP655364 SHL655363:SHL655364 SRH655363:SRH655364 TBD655363:TBD655364 TKZ655363:TKZ655364 TUV655363:TUV655364 UER655363:UER655364 UON655363:UON655364 UYJ655363:UYJ655364 VIF655363:VIF655364 VSB655363:VSB655364 WBX655363:WBX655364 WLT655363:WLT655364 WVP655363:WVP655364 T720900:T720901 JD720899:JD720900 SZ720899:SZ720900 ACV720899:ACV720900 AMR720899:AMR720900 AWN720899:AWN720900 BGJ720899:BGJ720900 BQF720899:BQF720900 CAB720899:CAB720900 CJX720899:CJX720900 CTT720899:CTT720900 DDP720899:DDP720900 DNL720899:DNL720900 DXH720899:DXH720900 EHD720899:EHD720900 EQZ720899:EQZ720900 FAV720899:FAV720900 FKR720899:FKR720900 FUN720899:FUN720900 GEJ720899:GEJ720900 GOF720899:GOF720900 GYB720899:GYB720900 HHX720899:HHX720900 HRT720899:HRT720900 IBP720899:IBP720900 ILL720899:ILL720900 IVH720899:IVH720900 JFD720899:JFD720900 JOZ720899:JOZ720900 JYV720899:JYV720900 KIR720899:KIR720900 KSN720899:KSN720900 LCJ720899:LCJ720900 LMF720899:LMF720900 LWB720899:LWB720900 MFX720899:MFX720900 MPT720899:MPT720900 MZP720899:MZP720900 NJL720899:NJL720900 NTH720899:NTH720900 ODD720899:ODD720900 OMZ720899:OMZ720900 OWV720899:OWV720900 PGR720899:PGR720900 PQN720899:PQN720900 QAJ720899:QAJ720900 QKF720899:QKF720900 QUB720899:QUB720900 RDX720899:RDX720900 RNT720899:RNT720900 RXP720899:RXP720900 SHL720899:SHL720900 SRH720899:SRH720900 TBD720899:TBD720900 TKZ720899:TKZ720900 TUV720899:TUV720900 UER720899:UER720900 UON720899:UON720900 UYJ720899:UYJ720900 VIF720899:VIF720900 VSB720899:VSB720900 WBX720899:WBX720900 WLT720899:WLT720900 WVP720899:WVP720900 T786436:T786437 JD786435:JD786436 SZ786435:SZ786436 ACV786435:ACV786436 AMR786435:AMR786436 AWN786435:AWN786436 BGJ786435:BGJ786436 BQF786435:BQF786436 CAB786435:CAB786436 CJX786435:CJX786436 CTT786435:CTT786436 DDP786435:DDP786436 DNL786435:DNL786436 DXH786435:DXH786436 EHD786435:EHD786436 EQZ786435:EQZ786436 FAV786435:FAV786436 FKR786435:FKR786436 FUN786435:FUN786436 GEJ786435:GEJ786436 GOF786435:GOF786436 GYB786435:GYB786436 HHX786435:HHX786436 HRT786435:HRT786436 IBP786435:IBP786436 ILL786435:ILL786436 IVH786435:IVH786436 JFD786435:JFD786436 JOZ786435:JOZ786436 JYV786435:JYV786436 KIR786435:KIR786436 KSN786435:KSN786436 LCJ786435:LCJ786436 LMF786435:LMF786436 LWB786435:LWB786436 MFX786435:MFX786436 MPT786435:MPT786436 MZP786435:MZP786436 NJL786435:NJL786436 NTH786435:NTH786436 ODD786435:ODD786436 OMZ786435:OMZ786436 OWV786435:OWV786436 PGR786435:PGR786436 PQN786435:PQN786436 QAJ786435:QAJ786436 QKF786435:QKF786436 QUB786435:QUB786436 RDX786435:RDX786436 RNT786435:RNT786436 RXP786435:RXP786436 SHL786435:SHL786436 SRH786435:SRH786436 TBD786435:TBD786436 TKZ786435:TKZ786436 TUV786435:TUV786436 UER786435:UER786436 UON786435:UON786436 UYJ786435:UYJ786436 VIF786435:VIF786436 VSB786435:VSB786436 WBX786435:WBX786436 WLT786435:WLT786436 WVP786435:WVP786436 T851972:T851973 JD851971:JD851972 SZ851971:SZ851972 ACV851971:ACV851972 AMR851971:AMR851972 AWN851971:AWN851972 BGJ851971:BGJ851972 BQF851971:BQF851972 CAB851971:CAB851972 CJX851971:CJX851972 CTT851971:CTT851972 DDP851971:DDP851972 DNL851971:DNL851972 DXH851971:DXH851972 EHD851971:EHD851972 EQZ851971:EQZ851972 FAV851971:FAV851972 FKR851971:FKR851972 FUN851971:FUN851972 GEJ851971:GEJ851972 GOF851971:GOF851972 GYB851971:GYB851972 HHX851971:HHX851972 HRT851971:HRT851972 IBP851971:IBP851972 ILL851971:ILL851972 IVH851971:IVH851972 JFD851971:JFD851972 JOZ851971:JOZ851972 JYV851971:JYV851972 KIR851971:KIR851972 KSN851971:KSN851972 LCJ851971:LCJ851972 LMF851971:LMF851972 LWB851971:LWB851972 MFX851971:MFX851972 MPT851971:MPT851972 MZP851971:MZP851972 NJL851971:NJL851972 NTH851971:NTH851972 ODD851971:ODD851972 OMZ851971:OMZ851972 OWV851971:OWV851972 PGR851971:PGR851972 PQN851971:PQN851972 QAJ851971:QAJ851972 QKF851971:QKF851972 QUB851971:QUB851972 RDX851971:RDX851972 RNT851971:RNT851972 RXP851971:RXP851972 SHL851971:SHL851972 SRH851971:SRH851972 TBD851971:TBD851972 TKZ851971:TKZ851972 TUV851971:TUV851972 UER851971:UER851972 UON851971:UON851972 UYJ851971:UYJ851972 VIF851971:VIF851972 VSB851971:VSB851972 WBX851971:WBX851972 WLT851971:WLT851972 WVP851971:WVP851972 T917508:T917509 JD917507:JD917508 SZ917507:SZ917508 ACV917507:ACV917508 AMR917507:AMR917508 AWN917507:AWN917508 BGJ917507:BGJ917508 BQF917507:BQF917508 CAB917507:CAB917508 CJX917507:CJX917508 CTT917507:CTT917508 DDP917507:DDP917508 DNL917507:DNL917508 DXH917507:DXH917508 EHD917507:EHD917508 EQZ917507:EQZ917508 FAV917507:FAV917508 FKR917507:FKR917508 FUN917507:FUN917508 GEJ917507:GEJ917508 GOF917507:GOF917508 GYB917507:GYB917508 HHX917507:HHX917508 HRT917507:HRT917508 IBP917507:IBP917508 ILL917507:ILL917508 IVH917507:IVH917508 JFD917507:JFD917508 JOZ917507:JOZ917508 JYV917507:JYV917508 KIR917507:KIR917508 KSN917507:KSN917508 LCJ917507:LCJ917508 LMF917507:LMF917508 LWB917507:LWB917508 MFX917507:MFX917508 MPT917507:MPT917508 MZP917507:MZP917508 NJL917507:NJL917508 NTH917507:NTH917508 ODD917507:ODD917508 OMZ917507:OMZ917508 OWV917507:OWV917508 PGR917507:PGR917508 PQN917507:PQN917508 QAJ917507:QAJ917508 QKF917507:QKF917508 QUB917507:QUB917508 RDX917507:RDX917508 RNT917507:RNT917508 RXP917507:RXP917508 SHL917507:SHL917508 SRH917507:SRH917508 TBD917507:TBD917508 TKZ917507:TKZ917508 TUV917507:TUV917508 UER917507:UER917508 UON917507:UON917508 UYJ917507:UYJ917508 VIF917507:VIF917508 VSB917507:VSB917508 WBX917507:WBX917508 WLT917507:WLT917508 WVP917507:WVP917508 T983044:T983045 JD983043:JD983044 SZ983043:SZ983044 ACV983043:ACV983044 AMR983043:AMR983044 AWN983043:AWN983044 BGJ983043:BGJ983044 BQF983043:BQF983044 CAB983043:CAB983044 CJX983043:CJX983044 CTT983043:CTT983044 DDP983043:DDP983044 DNL983043:DNL983044 DXH983043:DXH983044 EHD983043:EHD983044 EQZ983043:EQZ983044 FAV983043:FAV983044 FKR983043:FKR983044 FUN983043:FUN983044 GEJ983043:GEJ983044 GOF983043:GOF983044 GYB983043:GYB983044 HHX983043:HHX983044 HRT983043:HRT983044 IBP983043:IBP983044 ILL983043:ILL983044 IVH983043:IVH983044 JFD983043:JFD983044 JOZ983043:JOZ983044 JYV983043:JYV983044 KIR983043:KIR983044 KSN983043:KSN983044 LCJ983043:LCJ983044 LMF983043:LMF983044 LWB983043:LWB983044 MFX983043:MFX983044 MPT983043:MPT983044 MZP983043:MZP983044 NJL983043:NJL983044 NTH983043:NTH983044 ODD983043:ODD983044 OMZ983043:OMZ983044 OWV983043:OWV983044 PGR983043:PGR983044 PQN983043:PQN983044 QAJ983043:QAJ983044 QKF983043:QKF983044 QUB983043:QUB983044 RDX983043:RDX983044 RNT983043:RNT983044 RXP983043:RXP983044 SHL983043:SHL983044 SRH983043:SRH983044 TBD983043:TBD983044 TKZ983043:TKZ983044 TUV983043:TUV983044 UER983043:UER983044 UON983043:UON983044 UYJ983043:UYJ983044 VIF983043:VIF983044 VSB983043:VSB983044 WBX983043:WBX983044 WLT983043:WLT983044 WVP983043:WVP983044 V65540:V65541 JG65539:JG65540 TC65539:TC65540 ACY65539:ACY65540 AMU65539:AMU65540 AWQ65539:AWQ65540 BGM65539:BGM65540 BQI65539:BQI65540 CAE65539:CAE65540 CKA65539:CKA65540 CTW65539:CTW65540 DDS65539:DDS65540 DNO65539:DNO65540 DXK65539:DXK65540 EHG65539:EHG65540 ERC65539:ERC65540 FAY65539:FAY65540 FKU65539:FKU65540 FUQ65539:FUQ65540 GEM65539:GEM65540 GOI65539:GOI65540 GYE65539:GYE65540 HIA65539:HIA65540 HRW65539:HRW65540 IBS65539:IBS65540 ILO65539:ILO65540 IVK65539:IVK65540 JFG65539:JFG65540 JPC65539:JPC65540 JYY65539:JYY65540 KIU65539:KIU65540 KSQ65539:KSQ65540 LCM65539:LCM65540 LMI65539:LMI65540 LWE65539:LWE65540 MGA65539:MGA65540 MPW65539:MPW65540 MZS65539:MZS65540 NJO65539:NJO65540 NTK65539:NTK65540 ODG65539:ODG65540 ONC65539:ONC65540 OWY65539:OWY65540 PGU65539:PGU65540 PQQ65539:PQQ65540 QAM65539:QAM65540 QKI65539:QKI65540 QUE65539:QUE65540 REA65539:REA65540 RNW65539:RNW65540 RXS65539:RXS65540 SHO65539:SHO65540 SRK65539:SRK65540 TBG65539:TBG65540 TLC65539:TLC65540 TUY65539:TUY65540 UEU65539:UEU65540 UOQ65539:UOQ65540 UYM65539:UYM65540 VII65539:VII65540 VSE65539:VSE65540 WCA65539:WCA65540 WLW65539:WLW65540 WVS65539:WVS65540 V131076:V131077 JG131075:JG131076 TC131075:TC131076 ACY131075:ACY131076 AMU131075:AMU131076 AWQ131075:AWQ131076 BGM131075:BGM131076 BQI131075:BQI131076 CAE131075:CAE131076 CKA131075:CKA131076 CTW131075:CTW131076 DDS131075:DDS131076 DNO131075:DNO131076 DXK131075:DXK131076 EHG131075:EHG131076 ERC131075:ERC131076 FAY131075:FAY131076 FKU131075:FKU131076 FUQ131075:FUQ131076 GEM131075:GEM131076 GOI131075:GOI131076 GYE131075:GYE131076 HIA131075:HIA131076 HRW131075:HRW131076 IBS131075:IBS131076 ILO131075:ILO131076 IVK131075:IVK131076 JFG131075:JFG131076 JPC131075:JPC131076 JYY131075:JYY131076 KIU131075:KIU131076 KSQ131075:KSQ131076 LCM131075:LCM131076 LMI131075:LMI131076 LWE131075:LWE131076 MGA131075:MGA131076 MPW131075:MPW131076 MZS131075:MZS131076 NJO131075:NJO131076 NTK131075:NTK131076 ODG131075:ODG131076 ONC131075:ONC131076 OWY131075:OWY131076 PGU131075:PGU131076 PQQ131075:PQQ131076 QAM131075:QAM131076 QKI131075:QKI131076 QUE131075:QUE131076 REA131075:REA131076 RNW131075:RNW131076 RXS131075:RXS131076 SHO131075:SHO131076 SRK131075:SRK131076 TBG131075:TBG131076 TLC131075:TLC131076 TUY131075:TUY131076 UEU131075:UEU131076 UOQ131075:UOQ131076 UYM131075:UYM131076 VII131075:VII131076 VSE131075:VSE131076 WCA131075:WCA131076 WLW131075:WLW131076 WVS131075:WVS131076 V196612:V196613 JG196611:JG196612 TC196611:TC196612 ACY196611:ACY196612 AMU196611:AMU196612 AWQ196611:AWQ196612 BGM196611:BGM196612 BQI196611:BQI196612 CAE196611:CAE196612 CKA196611:CKA196612 CTW196611:CTW196612 DDS196611:DDS196612 DNO196611:DNO196612 DXK196611:DXK196612 EHG196611:EHG196612 ERC196611:ERC196612 FAY196611:FAY196612 FKU196611:FKU196612 FUQ196611:FUQ196612 GEM196611:GEM196612 GOI196611:GOI196612 GYE196611:GYE196612 HIA196611:HIA196612 HRW196611:HRW196612 IBS196611:IBS196612 ILO196611:ILO196612 IVK196611:IVK196612 JFG196611:JFG196612 JPC196611:JPC196612 JYY196611:JYY196612 KIU196611:KIU196612 KSQ196611:KSQ196612 LCM196611:LCM196612 LMI196611:LMI196612 LWE196611:LWE196612 MGA196611:MGA196612 MPW196611:MPW196612 MZS196611:MZS196612 NJO196611:NJO196612 NTK196611:NTK196612 ODG196611:ODG196612 ONC196611:ONC196612 OWY196611:OWY196612 PGU196611:PGU196612 PQQ196611:PQQ196612 QAM196611:QAM196612 QKI196611:QKI196612 QUE196611:QUE196612 REA196611:REA196612 RNW196611:RNW196612 RXS196611:RXS196612 SHO196611:SHO196612 SRK196611:SRK196612 TBG196611:TBG196612 TLC196611:TLC196612 TUY196611:TUY196612 UEU196611:UEU196612 UOQ196611:UOQ196612 UYM196611:UYM196612 VII196611:VII196612 VSE196611:VSE196612 WCA196611:WCA196612 WLW196611:WLW196612 WVS196611:WVS196612 V262148:V262149 JG262147:JG262148 TC262147:TC262148 ACY262147:ACY262148 AMU262147:AMU262148 AWQ262147:AWQ262148 BGM262147:BGM262148 BQI262147:BQI262148 CAE262147:CAE262148 CKA262147:CKA262148 CTW262147:CTW262148 DDS262147:DDS262148 DNO262147:DNO262148 DXK262147:DXK262148 EHG262147:EHG262148 ERC262147:ERC262148 FAY262147:FAY262148 FKU262147:FKU262148 FUQ262147:FUQ262148 GEM262147:GEM262148 GOI262147:GOI262148 GYE262147:GYE262148 HIA262147:HIA262148 HRW262147:HRW262148 IBS262147:IBS262148 ILO262147:ILO262148 IVK262147:IVK262148 JFG262147:JFG262148 JPC262147:JPC262148 JYY262147:JYY262148 KIU262147:KIU262148 KSQ262147:KSQ262148 LCM262147:LCM262148 LMI262147:LMI262148 LWE262147:LWE262148 MGA262147:MGA262148 MPW262147:MPW262148 MZS262147:MZS262148 NJO262147:NJO262148 NTK262147:NTK262148 ODG262147:ODG262148 ONC262147:ONC262148 OWY262147:OWY262148 PGU262147:PGU262148 PQQ262147:PQQ262148 QAM262147:QAM262148 QKI262147:QKI262148 QUE262147:QUE262148 REA262147:REA262148 RNW262147:RNW262148 RXS262147:RXS262148 SHO262147:SHO262148 SRK262147:SRK262148 TBG262147:TBG262148 TLC262147:TLC262148 TUY262147:TUY262148 UEU262147:UEU262148 UOQ262147:UOQ262148 UYM262147:UYM262148 VII262147:VII262148 VSE262147:VSE262148 WCA262147:WCA262148 WLW262147:WLW262148 WVS262147:WVS262148 V327684:V327685 JG327683:JG327684 TC327683:TC327684 ACY327683:ACY327684 AMU327683:AMU327684 AWQ327683:AWQ327684 BGM327683:BGM327684 BQI327683:BQI327684 CAE327683:CAE327684 CKA327683:CKA327684 CTW327683:CTW327684 DDS327683:DDS327684 DNO327683:DNO327684 DXK327683:DXK327684 EHG327683:EHG327684 ERC327683:ERC327684 FAY327683:FAY327684 FKU327683:FKU327684 FUQ327683:FUQ327684 GEM327683:GEM327684 GOI327683:GOI327684 GYE327683:GYE327684 HIA327683:HIA327684 HRW327683:HRW327684 IBS327683:IBS327684 ILO327683:ILO327684 IVK327683:IVK327684 JFG327683:JFG327684 JPC327683:JPC327684 JYY327683:JYY327684 KIU327683:KIU327684 KSQ327683:KSQ327684 LCM327683:LCM327684 LMI327683:LMI327684 LWE327683:LWE327684 MGA327683:MGA327684 MPW327683:MPW327684 MZS327683:MZS327684 NJO327683:NJO327684 NTK327683:NTK327684 ODG327683:ODG327684 ONC327683:ONC327684 OWY327683:OWY327684 PGU327683:PGU327684 PQQ327683:PQQ327684 QAM327683:QAM327684 QKI327683:QKI327684 QUE327683:QUE327684 REA327683:REA327684 RNW327683:RNW327684 RXS327683:RXS327684 SHO327683:SHO327684 SRK327683:SRK327684 TBG327683:TBG327684 TLC327683:TLC327684 TUY327683:TUY327684 UEU327683:UEU327684 UOQ327683:UOQ327684 UYM327683:UYM327684 VII327683:VII327684 VSE327683:VSE327684 WCA327683:WCA327684 WLW327683:WLW327684 WVS327683:WVS327684 V393220:V393221 JG393219:JG393220 TC393219:TC393220 ACY393219:ACY393220 AMU393219:AMU393220 AWQ393219:AWQ393220 BGM393219:BGM393220 BQI393219:BQI393220 CAE393219:CAE393220 CKA393219:CKA393220 CTW393219:CTW393220 DDS393219:DDS393220 DNO393219:DNO393220 DXK393219:DXK393220 EHG393219:EHG393220 ERC393219:ERC393220 FAY393219:FAY393220 FKU393219:FKU393220 FUQ393219:FUQ393220 GEM393219:GEM393220 GOI393219:GOI393220 GYE393219:GYE393220 HIA393219:HIA393220 HRW393219:HRW393220 IBS393219:IBS393220 ILO393219:ILO393220 IVK393219:IVK393220 JFG393219:JFG393220 JPC393219:JPC393220 JYY393219:JYY393220 KIU393219:KIU393220 KSQ393219:KSQ393220 LCM393219:LCM393220 LMI393219:LMI393220 LWE393219:LWE393220 MGA393219:MGA393220 MPW393219:MPW393220 MZS393219:MZS393220 NJO393219:NJO393220 NTK393219:NTK393220 ODG393219:ODG393220 ONC393219:ONC393220 OWY393219:OWY393220 PGU393219:PGU393220 PQQ393219:PQQ393220 QAM393219:QAM393220 QKI393219:QKI393220 QUE393219:QUE393220 REA393219:REA393220 RNW393219:RNW393220 RXS393219:RXS393220 SHO393219:SHO393220 SRK393219:SRK393220 TBG393219:TBG393220 TLC393219:TLC393220 TUY393219:TUY393220 UEU393219:UEU393220 UOQ393219:UOQ393220 UYM393219:UYM393220 VII393219:VII393220 VSE393219:VSE393220 WCA393219:WCA393220 WLW393219:WLW393220 WVS393219:WVS393220 V458756:V458757 JG458755:JG458756 TC458755:TC458756 ACY458755:ACY458756 AMU458755:AMU458756 AWQ458755:AWQ458756 BGM458755:BGM458756 BQI458755:BQI458756 CAE458755:CAE458756 CKA458755:CKA458756 CTW458755:CTW458756 DDS458755:DDS458756 DNO458755:DNO458756 DXK458755:DXK458756 EHG458755:EHG458756 ERC458755:ERC458756 FAY458755:FAY458756 FKU458755:FKU458756 FUQ458755:FUQ458756 GEM458755:GEM458756 GOI458755:GOI458756 GYE458755:GYE458756 HIA458755:HIA458756 HRW458755:HRW458756 IBS458755:IBS458756 ILO458755:ILO458756 IVK458755:IVK458756 JFG458755:JFG458756 JPC458755:JPC458756 JYY458755:JYY458756 KIU458755:KIU458756 KSQ458755:KSQ458756 LCM458755:LCM458756 LMI458755:LMI458756 LWE458755:LWE458756 MGA458755:MGA458756 MPW458755:MPW458756 MZS458755:MZS458756 NJO458755:NJO458756 NTK458755:NTK458756 ODG458755:ODG458756 ONC458755:ONC458756 OWY458755:OWY458756 PGU458755:PGU458756 PQQ458755:PQQ458756 QAM458755:QAM458756 QKI458755:QKI458756 QUE458755:QUE458756 REA458755:REA458756 RNW458755:RNW458756 RXS458755:RXS458756 SHO458755:SHO458756 SRK458755:SRK458756 TBG458755:TBG458756 TLC458755:TLC458756 TUY458755:TUY458756 UEU458755:UEU458756 UOQ458755:UOQ458756 UYM458755:UYM458756 VII458755:VII458756 VSE458755:VSE458756 WCA458755:WCA458756 WLW458755:WLW458756 WVS458755:WVS458756 V524292:V524293 JG524291:JG524292 TC524291:TC524292 ACY524291:ACY524292 AMU524291:AMU524292 AWQ524291:AWQ524292 BGM524291:BGM524292 BQI524291:BQI524292 CAE524291:CAE524292 CKA524291:CKA524292 CTW524291:CTW524292 DDS524291:DDS524292 DNO524291:DNO524292 DXK524291:DXK524292 EHG524291:EHG524292 ERC524291:ERC524292 FAY524291:FAY524292 FKU524291:FKU524292 FUQ524291:FUQ524292 GEM524291:GEM524292 GOI524291:GOI524292 GYE524291:GYE524292 HIA524291:HIA524292 HRW524291:HRW524292 IBS524291:IBS524292 ILO524291:ILO524292 IVK524291:IVK524292 JFG524291:JFG524292 JPC524291:JPC524292 JYY524291:JYY524292 KIU524291:KIU524292 KSQ524291:KSQ524292 LCM524291:LCM524292 LMI524291:LMI524292 LWE524291:LWE524292 MGA524291:MGA524292 MPW524291:MPW524292 MZS524291:MZS524292 NJO524291:NJO524292 NTK524291:NTK524292 ODG524291:ODG524292 ONC524291:ONC524292 OWY524291:OWY524292 PGU524291:PGU524292 PQQ524291:PQQ524292 QAM524291:QAM524292 QKI524291:QKI524292 QUE524291:QUE524292 REA524291:REA524292 RNW524291:RNW524292 RXS524291:RXS524292 SHO524291:SHO524292 SRK524291:SRK524292 TBG524291:TBG524292 TLC524291:TLC524292 TUY524291:TUY524292 UEU524291:UEU524292 UOQ524291:UOQ524292 UYM524291:UYM524292 VII524291:VII524292 VSE524291:VSE524292 WCA524291:WCA524292 WLW524291:WLW524292 WVS524291:WVS524292 V589828:V589829 JG589827:JG589828 TC589827:TC589828 ACY589827:ACY589828 AMU589827:AMU589828 AWQ589827:AWQ589828 BGM589827:BGM589828 BQI589827:BQI589828 CAE589827:CAE589828 CKA589827:CKA589828 CTW589827:CTW589828 DDS589827:DDS589828 DNO589827:DNO589828 DXK589827:DXK589828 EHG589827:EHG589828 ERC589827:ERC589828 FAY589827:FAY589828 FKU589827:FKU589828 FUQ589827:FUQ589828 GEM589827:GEM589828 GOI589827:GOI589828 GYE589827:GYE589828 HIA589827:HIA589828 HRW589827:HRW589828 IBS589827:IBS589828 ILO589827:ILO589828 IVK589827:IVK589828 JFG589827:JFG589828 JPC589827:JPC589828 JYY589827:JYY589828 KIU589827:KIU589828 KSQ589827:KSQ589828 LCM589827:LCM589828 LMI589827:LMI589828 LWE589827:LWE589828 MGA589827:MGA589828 MPW589827:MPW589828 MZS589827:MZS589828 NJO589827:NJO589828 NTK589827:NTK589828 ODG589827:ODG589828 ONC589827:ONC589828 OWY589827:OWY589828 PGU589827:PGU589828 PQQ589827:PQQ589828 QAM589827:QAM589828 QKI589827:QKI589828 QUE589827:QUE589828 REA589827:REA589828 RNW589827:RNW589828 RXS589827:RXS589828 SHO589827:SHO589828 SRK589827:SRK589828 TBG589827:TBG589828 TLC589827:TLC589828 TUY589827:TUY589828 UEU589827:UEU589828 UOQ589827:UOQ589828 UYM589827:UYM589828 VII589827:VII589828 VSE589827:VSE589828 WCA589827:WCA589828 WLW589827:WLW589828 WVS589827:WVS589828 V655364:V655365 JG655363:JG655364 TC655363:TC655364 ACY655363:ACY655364 AMU655363:AMU655364 AWQ655363:AWQ655364 BGM655363:BGM655364 BQI655363:BQI655364 CAE655363:CAE655364 CKA655363:CKA655364 CTW655363:CTW655364 DDS655363:DDS655364 DNO655363:DNO655364 DXK655363:DXK655364 EHG655363:EHG655364 ERC655363:ERC655364 FAY655363:FAY655364 FKU655363:FKU655364 FUQ655363:FUQ655364 GEM655363:GEM655364 GOI655363:GOI655364 GYE655363:GYE655364 HIA655363:HIA655364 HRW655363:HRW655364 IBS655363:IBS655364 ILO655363:ILO655364 IVK655363:IVK655364 JFG655363:JFG655364 JPC655363:JPC655364 JYY655363:JYY655364 KIU655363:KIU655364 KSQ655363:KSQ655364 LCM655363:LCM655364 LMI655363:LMI655364 LWE655363:LWE655364 MGA655363:MGA655364 MPW655363:MPW655364 MZS655363:MZS655364 NJO655363:NJO655364 NTK655363:NTK655364 ODG655363:ODG655364 ONC655363:ONC655364 OWY655363:OWY655364 PGU655363:PGU655364 PQQ655363:PQQ655364 QAM655363:QAM655364 QKI655363:QKI655364 QUE655363:QUE655364 REA655363:REA655364 RNW655363:RNW655364 RXS655363:RXS655364 SHO655363:SHO655364 SRK655363:SRK655364 TBG655363:TBG655364 TLC655363:TLC655364 TUY655363:TUY655364 UEU655363:UEU655364 UOQ655363:UOQ655364 UYM655363:UYM655364 VII655363:VII655364 VSE655363:VSE655364 WCA655363:WCA655364 WLW655363:WLW655364 WVS655363:WVS655364 V720900:V720901 JG720899:JG720900 TC720899:TC720900 ACY720899:ACY720900 AMU720899:AMU720900 AWQ720899:AWQ720900 BGM720899:BGM720900 BQI720899:BQI720900 CAE720899:CAE720900 CKA720899:CKA720900 CTW720899:CTW720900 DDS720899:DDS720900 DNO720899:DNO720900 DXK720899:DXK720900 EHG720899:EHG720900 ERC720899:ERC720900 FAY720899:FAY720900 FKU720899:FKU720900 FUQ720899:FUQ720900 GEM720899:GEM720900 GOI720899:GOI720900 GYE720899:GYE720900 HIA720899:HIA720900 HRW720899:HRW720900 IBS720899:IBS720900 ILO720899:ILO720900 IVK720899:IVK720900 JFG720899:JFG720900 JPC720899:JPC720900 JYY720899:JYY720900 KIU720899:KIU720900 KSQ720899:KSQ720900 LCM720899:LCM720900 LMI720899:LMI720900 LWE720899:LWE720900 MGA720899:MGA720900 MPW720899:MPW720900 MZS720899:MZS720900 NJO720899:NJO720900 NTK720899:NTK720900 ODG720899:ODG720900 ONC720899:ONC720900 OWY720899:OWY720900 PGU720899:PGU720900 PQQ720899:PQQ720900 QAM720899:QAM720900 QKI720899:QKI720900 QUE720899:QUE720900 REA720899:REA720900 RNW720899:RNW720900 RXS720899:RXS720900 SHO720899:SHO720900 SRK720899:SRK720900 TBG720899:TBG720900 TLC720899:TLC720900 TUY720899:TUY720900 UEU720899:UEU720900 UOQ720899:UOQ720900 UYM720899:UYM720900 VII720899:VII720900 VSE720899:VSE720900 WCA720899:WCA720900 WLW720899:WLW720900 WVS720899:WVS720900 V786436:V786437 JG786435:JG786436 TC786435:TC786436 ACY786435:ACY786436 AMU786435:AMU786436 AWQ786435:AWQ786436 BGM786435:BGM786436 BQI786435:BQI786436 CAE786435:CAE786436 CKA786435:CKA786436 CTW786435:CTW786436 DDS786435:DDS786436 DNO786435:DNO786436 DXK786435:DXK786436 EHG786435:EHG786436 ERC786435:ERC786436 FAY786435:FAY786436 FKU786435:FKU786436 FUQ786435:FUQ786436 GEM786435:GEM786436 GOI786435:GOI786436 GYE786435:GYE786436 HIA786435:HIA786436 HRW786435:HRW786436 IBS786435:IBS786436 ILO786435:ILO786436 IVK786435:IVK786436 JFG786435:JFG786436 JPC786435:JPC786436 JYY786435:JYY786436 KIU786435:KIU786436 KSQ786435:KSQ786436 LCM786435:LCM786436 LMI786435:LMI786436 LWE786435:LWE786436 MGA786435:MGA786436 MPW786435:MPW786436 MZS786435:MZS786436 NJO786435:NJO786436 NTK786435:NTK786436 ODG786435:ODG786436 ONC786435:ONC786436 OWY786435:OWY786436 PGU786435:PGU786436 PQQ786435:PQQ786436 QAM786435:QAM786436 QKI786435:QKI786436 QUE786435:QUE786436 REA786435:REA786436 RNW786435:RNW786436 RXS786435:RXS786436 SHO786435:SHO786436 SRK786435:SRK786436 TBG786435:TBG786436 TLC786435:TLC786436 TUY786435:TUY786436 UEU786435:UEU786436 UOQ786435:UOQ786436 UYM786435:UYM786436 VII786435:VII786436 VSE786435:VSE786436 WCA786435:WCA786436 WLW786435:WLW786436 WVS786435:WVS786436 V851972:V851973 JG851971:JG851972 TC851971:TC851972 ACY851971:ACY851972 AMU851971:AMU851972 AWQ851971:AWQ851972 BGM851971:BGM851972 BQI851971:BQI851972 CAE851971:CAE851972 CKA851971:CKA851972 CTW851971:CTW851972 DDS851971:DDS851972 DNO851971:DNO851972 DXK851971:DXK851972 EHG851971:EHG851972 ERC851971:ERC851972 FAY851971:FAY851972 FKU851971:FKU851972 FUQ851971:FUQ851972 GEM851971:GEM851972 GOI851971:GOI851972 GYE851971:GYE851972 HIA851971:HIA851972 HRW851971:HRW851972 IBS851971:IBS851972 ILO851971:ILO851972 IVK851971:IVK851972 JFG851971:JFG851972 JPC851971:JPC851972 JYY851971:JYY851972 KIU851971:KIU851972 KSQ851971:KSQ851972 LCM851971:LCM851972 LMI851971:LMI851972 LWE851971:LWE851972 MGA851971:MGA851972 MPW851971:MPW851972 MZS851971:MZS851972 NJO851971:NJO851972 NTK851971:NTK851972 ODG851971:ODG851972 ONC851971:ONC851972 OWY851971:OWY851972 PGU851971:PGU851972 PQQ851971:PQQ851972 QAM851971:QAM851972 QKI851971:QKI851972 QUE851971:QUE851972 REA851971:REA851972 RNW851971:RNW851972 RXS851971:RXS851972 SHO851971:SHO851972 SRK851971:SRK851972 TBG851971:TBG851972 TLC851971:TLC851972 TUY851971:TUY851972 UEU851971:UEU851972 UOQ851971:UOQ851972 UYM851971:UYM851972 VII851971:VII851972 VSE851971:VSE851972 WCA851971:WCA851972 WLW851971:WLW851972 WVS851971:WVS851972 V917508:V917509 JG917507:JG917508 TC917507:TC917508 ACY917507:ACY917508 AMU917507:AMU917508 AWQ917507:AWQ917508 BGM917507:BGM917508 BQI917507:BQI917508 CAE917507:CAE917508 CKA917507:CKA917508 CTW917507:CTW917508 DDS917507:DDS917508 DNO917507:DNO917508 DXK917507:DXK917508 EHG917507:EHG917508 ERC917507:ERC917508 FAY917507:FAY917508 FKU917507:FKU917508 FUQ917507:FUQ917508 GEM917507:GEM917508 GOI917507:GOI917508 GYE917507:GYE917508 HIA917507:HIA917508 HRW917507:HRW917508 IBS917507:IBS917508 ILO917507:ILO917508 IVK917507:IVK917508 JFG917507:JFG917508 JPC917507:JPC917508 JYY917507:JYY917508 KIU917507:KIU917508 KSQ917507:KSQ917508 LCM917507:LCM917508 LMI917507:LMI917508 LWE917507:LWE917508 MGA917507:MGA917508 MPW917507:MPW917508 MZS917507:MZS917508 NJO917507:NJO917508 NTK917507:NTK917508 ODG917507:ODG917508 ONC917507:ONC917508 OWY917507:OWY917508 PGU917507:PGU917508 PQQ917507:PQQ917508 QAM917507:QAM917508 QKI917507:QKI917508 QUE917507:QUE917508 REA917507:REA917508 RNW917507:RNW917508 RXS917507:RXS917508 SHO917507:SHO917508 SRK917507:SRK917508 TBG917507:TBG917508 TLC917507:TLC917508 TUY917507:TUY917508 UEU917507:UEU917508 UOQ917507:UOQ917508 UYM917507:UYM917508 VII917507:VII917508 VSE917507:VSE917508 WCA917507:WCA917508 WLW917507:WLW917508 WVS917507:WVS917508 V983044:V983045 JG983043:JG983044 TC983043:TC983044 ACY983043:ACY983044 AMU983043:AMU983044 AWQ983043:AWQ983044 BGM983043:BGM983044 BQI983043:BQI983044 CAE983043:CAE983044 CKA983043:CKA983044 CTW983043:CTW983044 DDS983043:DDS983044 DNO983043:DNO983044 DXK983043:DXK983044 EHG983043:EHG983044 ERC983043:ERC983044 FAY983043:FAY983044 FKU983043:FKU983044 FUQ983043:FUQ983044 GEM983043:GEM983044 GOI983043:GOI983044 GYE983043:GYE983044 HIA983043:HIA983044 HRW983043:HRW983044 IBS983043:IBS983044 ILO983043:ILO983044 IVK983043:IVK983044 JFG983043:JFG983044 JPC983043:JPC983044 JYY983043:JYY983044 KIU983043:KIU983044 KSQ983043:KSQ983044 LCM983043:LCM983044 LMI983043:LMI983044 LWE983043:LWE983044 MGA983043:MGA983044 MPW983043:MPW983044 MZS983043:MZS983044 NJO983043:NJO983044 NTK983043:NTK983044 ODG983043:ODG983044 ONC983043:ONC983044 OWY983043:OWY983044 PGU983043:PGU983044 PQQ983043:PQQ983044 QAM983043:QAM983044 QKI983043:QKI983044 QUE983043:QUE983044 REA983043:REA983044 RNW983043:RNW983044 RXS983043:RXS983044 SHO983043:SHO983044 SRK983043:SRK983044 TBG983043:TBG983044 TLC983043:TLC983044 TUY983043:TUY983044 UEU983043:UEU983044 UOQ983043:UOQ983044 UYM983043:UYM983044 VII983043:VII983044 VSE983043:VSE983044 WCA983043:WCA983044 WLW983043:WLW983044 WVS983043:WVS983044 X65539:X65540 JJ65539:JJ65540 TF65539:TF65540 ADB65539:ADB65540 AMX65539:AMX65540 AWT65539:AWT65540 BGP65539:BGP65540 BQL65539:BQL65540 CAH65539:CAH65540 CKD65539:CKD65540 CTZ65539:CTZ65540 DDV65539:DDV65540 DNR65539:DNR65540 DXN65539:DXN65540 EHJ65539:EHJ65540 ERF65539:ERF65540 FBB65539:FBB65540 FKX65539:FKX65540 FUT65539:FUT65540 GEP65539:GEP65540 GOL65539:GOL65540 GYH65539:GYH65540 HID65539:HID65540 HRZ65539:HRZ65540 IBV65539:IBV65540 ILR65539:ILR65540 IVN65539:IVN65540 JFJ65539:JFJ65540 JPF65539:JPF65540 JZB65539:JZB65540 KIX65539:KIX65540 KST65539:KST65540 LCP65539:LCP65540 LML65539:LML65540 LWH65539:LWH65540 MGD65539:MGD65540 MPZ65539:MPZ65540 MZV65539:MZV65540 NJR65539:NJR65540 NTN65539:NTN65540 ODJ65539:ODJ65540 ONF65539:ONF65540 OXB65539:OXB65540 PGX65539:PGX65540 PQT65539:PQT65540 QAP65539:QAP65540 QKL65539:QKL65540 QUH65539:QUH65540 RED65539:RED65540 RNZ65539:RNZ65540 RXV65539:RXV65540 SHR65539:SHR65540 SRN65539:SRN65540 TBJ65539:TBJ65540 TLF65539:TLF65540 TVB65539:TVB65540 UEX65539:UEX65540 UOT65539:UOT65540 UYP65539:UYP65540 VIL65539:VIL65540 VSH65539:VSH65540 WCD65539:WCD65540 WLZ65539:WLZ65540 WVV65539:WVV65540 X131075:X131076 JJ131075:JJ131076 TF131075:TF131076 ADB131075:ADB131076 AMX131075:AMX131076 AWT131075:AWT131076 BGP131075:BGP131076 BQL131075:BQL131076 CAH131075:CAH131076 CKD131075:CKD131076 CTZ131075:CTZ131076 DDV131075:DDV131076 DNR131075:DNR131076 DXN131075:DXN131076 EHJ131075:EHJ131076 ERF131075:ERF131076 FBB131075:FBB131076 FKX131075:FKX131076 FUT131075:FUT131076 GEP131075:GEP131076 GOL131075:GOL131076 GYH131075:GYH131076 HID131075:HID131076 HRZ131075:HRZ131076 IBV131075:IBV131076 ILR131075:ILR131076 IVN131075:IVN131076 JFJ131075:JFJ131076 JPF131075:JPF131076 JZB131075:JZB131076 KIX131075:KIX131076 KST131075:KST131076 LCP131075:LCP131076 LML131075:LML131076 LWH131075:LWH131076 MGD131075:MGD131076 MPZ131075:MPZ131076 MZV131075:MZV131076 NJR131075:NJR131076 NTN131075:NTN131076 ODJ131075:ODJ131076 ONF131075:ONF131076 OXB131075:OXB131076 PGX131075:PGX131076 PQT131075:PQT131076 QAP131075:QAP131076 QKL131075:QKL131076 QUH131075:QUH131076 RED131075:RED131076 RNZ131075:RNZ131076 RXV131075:RXV131076 SHR131075:SHR131076 SRN131075:SRN131076 TBJ131075:TBJ131076 TLF131075:TLF131076 TVB131075:TVB131076 UEX131075:UEX131076 UOT131075:UOT131076 UYP131075:UYP131076 VIL131075:VIL131076 VSH131075:VSH131076 WCD131075:WCD131076 WLZ131075:WLZ131076 WVV131075:WVV131076 X196611:X196612 JJ196611:JJ196612 TF196611:TF196612 ADB196611:ADB196612 AMX196611:AMX196612 AWT196611:AWT196612 BGP196611:BGP196612 BQL196611:BQL196612 CAH196611:CAH196612 CKD196611:CKD196612 CTZ196611:CTZ196612 DDV196611:DDV196612 DNR196611:DNR196612 DXN196611:DXN196612 EHJ196611:EHJ196612 ERF196611:ERF196612 FBB196611:FBB196612 FKX196611:FKX196612 FUT196611:FUT196612 GEP196611:GEP196612 GOL196611:GOL196612 GYH196611:GYH196612 HID196611:HID196612 HRZ196611:HRZ196612 IBV196611:IBV196612 ILR196611:ILR196612 IVN196611:IVN196612 JFJ196611:JFJ196612 JPF196611:JPF196612 JZB196611:JZB196612 KIX196611:KIX196612 KST196611:KST196612 LCP196611:LCP196612 LML196611:LML196612 LWH196611:LWH196612 MGD196611:MGD196612 MPZ196611:MPZ196612 MZV196611:MZV196612 NJR196611:NJR196612 NTN196611:NTN196612 ODJ196611:ODJ196612 ONF196611:ONF196612 OXB196611:OXB196612 PGX196611:PGX196612 PQT196611:PQT196612 QAP196611:QAP196612 QKL196611:QKL196612 QUH196611:QUH196612 RED196611:RED196612 RNZ196611:RNZ196612 RXV196611:RXV196612 SHR196611:SHR196612 SRN196611:SRN196612 TBJ196611:TBJ196612 TLF196611:TLF196612 TVB196611:TVB196612 UEX196611:UEX196612 UOT196611:UOT196612 UYP196611:UYP196612 VIL196611:VIL196612 VSH196611:VSH196612 WCD196611:WCD196612 WLZ196611:WLZ196612 WVV196611:WVV196612 X262147:X262148 JJ262147:JJ262148 TF262147:TF262148 ADB262147:ADB262148 AMX262147:AMX262148 AWT262147:AWT262148 BGP262147:BGP262148 BQL262147:BQL262148 CAH262147:CAH262148 CKD262147:CKD262148 CTZ262147:CTZ262148 DDV262147:DDV262148 DNR262147:DNR262148 DXN262147:DXN262148 EHJ262147:EHJ262148 ERF262147:ERF262148 FBB262147:FBB262148 FKX262147:FKX262148 FUT262147:FUT262148 GEP262147:GEP262148 GOL262147:GOL262148 GYH262147:GYH262148 HID262147:HID262148 HRZ262147:HRZ262148 IBV262147:IBV262148 ILR262147:ILR262148 IVN262147:IVN262148 JFJ262147:JFJ262148 JPF262147:JPF262148 JZB262147:JZB262148 KIX262147:KIX262148 KST262147:KST262148 LCP262147:LCP262148 LML262147:LML262148 LWH262147:LWH262148 MGD262147:MGD262148 MPZ262147:MPZ262148 MZV262147:MZV262148 NJR262147:NJR262148 NTN262147:NTN262148 ODJ262147:ODJ262148 ONF262147:ONF262148 OXB262147:OXB262148 PGX262147:PGX262148 PQT262147:PQT262148 QAP262147:QAP262148 QKL262147:QKL262148 QUH262147:QUH262148 RED262147:RED262148 RNZ262147:RNZ262148 RXV262147:RXV262148 SHR262147:SHR262148 SRN262147:SRN262148 TBJ262147:TBJ262148 TLF262147:TLF262148 TVB262147:TVB262148 UEX262147:UEX262148 UOT262147:UOT262148 UYP262147:UYP262148 VIL262147:VIL262148 VSH262147:VSH262148 WCD262147:WCD262148 WLZ262147:WLZ262148 WVV262147:WVV262148 X327683:X327684 JJ327683:JJ327684 TF327683:TF327684 ADB327683:ADB327684 AMX327683:AMX327684 AWT327683:AWT327684 BGP327683:BGP327684 BQL327683:BQL327684 CAH327683:CAH327684 CKD327683:CKD327684 CTZ327683:CTZ327684 DDV327683:DDV327684 DNR327683:DNR327684 DXN327683:DXN327684 EHJ327683:EHJ327684 ERF327683:ERF327684 FBB327683:FBB327684 FKX327683:FKX327684 FUT327683:FUT327684 GEP327683:GEP327684 GOL327683:GOL327684 GYH327683:GYH327684 HID327683:HID327684 HRZ327683:HRZ327684 IBV327683:IBV327684 ILR327683:ILR327684 IVN327683:IVN327684 JFJ327683:JFJ327684 JPF327683:JPF327684 JZB327683:JZB327684 KIX327683:KIX327684 KST327683:KST327684 LCP327683:LCP327684 LML327683:LML327684 LWH327683:LWH327684 MGD327683:MGD327684 MPZ327683:MPZ327684 MZV327683:MZV327684 NJR327683:NJR327684 NTN327683:NTN327684 ODJ327683:ODJ327684 ONF327683:ONF327684 OXB327683:OXB327684 PGX327683:PGX327684 PQT327683:PQT327684 QAP327683:QAP327684 QKL327683:QKL327684 QUH327683:QUH327684 RED327683:RED327684 RNZ327683:RNZ327684 RXV327683:RXV327684 SHR327683:SHR327684 SRN327683:SRN327684 TBJ327683:TBJ327684 TLF327683:TLF327684 TVB327683:TVB327684 UEX327683:UEX327684 UOT327683:UOT327684 UYP327683:UYP327684 VIL327683:VIL327684 VSH327683:VSH327684 WCD327683:WCD327684 WLZ327683:WLZ327684 WVV327683:WVV327684 X393219:X393220 JJ393219:JJ393220 TF393219:TF393220 ADB393219:ADB393220 AMX393219:AMX393220 AWT393219:AWT393220 BGP393219:BGP393220 BQL393219:BQL393220 CAH393219:CAH393220 CKD393219:CKD393220 CTZ393219:CTZ393220 DDV393219:DDV393220 DNR393219:DNR393220 DXN393219:DXN393220 EHJ393219:EHJ393220 ERF393219:ERF393220 FBB393219:FBB393220 FKX393219:FKX393220 FUT393219:FUT393220 GEP393219:GEP393220 GOL393219:GOL393220 GYH393219:GYH393220 HID393219:HID393220 HRZ393219:HRZ393220 IBV393219:IBV393220 ILR393219:ILR393220 IVN393219:IVN393220 JFJ393219:JFJ393220 JPF393219:JPF393220 JZB393219:JZB393220 KIX393219:KIX393220 KST393219:KST393220 LCP393219:LCP393220 LML393219:LML393220 LWH393219:LWH393220 MGD393219:MGD393220 MPZ393219:MPZ393220 MZV393219:MZV393220 NJR393219:NJR393220 NTN393219:NTN393220 ODJ393219:ODJ393220 ONF393219:ONF393220 OXB393219:OXB393220 PGX393219:PGX393220 PQT393219:PQT393220 QAP393219:QAP393220 QKL393219:QKL393220 QUH393219:QUH393220 RED393219:RED393220 RNZ393219:RNZ393220 RXV393219:RXV393220 SHR393219:SHR393220 SRN393219:SRN393220 TBJ393219:TBJ393220 TLF393219:TLF393220 TVB393219:TVB393220 UEX393219:UEX393220 UOT393219:UOT393220 UYP393219:UYP393220 VIL393219:VIL393220 VSH393219:VSH393220 WCD393219:WCD393220 WLZ393219:WLZ393220 WVV393219:WVV393220 X458755:X458756 JJ458755:JJ458756 TF458755:TF458756 ADB458755:ADB458756 AMX458755:AMX458756 AWT458755:AWT458756 BGP458755:BGP458756 BQL458755:BQL458756 CAH458755:CAH458756 CKD458755:CKD458756 CTZ458755:CTZ458756 DDV458755:DDV458756 DNR458755:DNR458756 DXN458755:DXN458756 EHJ458755:EHJ458756 ERF458755:ERF458756 FBB458755:FBB458756 FKX458755:FKX458756 FUT458755:FUT458756 GEP458755:GEP458756 GOL458755:GOL458756 GYH458755:GYH458756 HID458755:HID458756 HRZ458755:HRZ458756 IBV458755:IBV458756 ILR458755:ILR458756 IVN458755:IVN458756 JFJ458755:JFJ458756 JPF458755:JPF458756 JZB458755:JZB458756 KIX458755:KIX458756 KST458755:KST458756 LCP458755:LCP458756 LML458755:LML458756 LWH458755:LWH458756 MGD458755:MGD458756 MPZ458755:MPZ458756 MZV458755:MZV458756 NJR458755:NJR458756 NTN458755:NTN458756 ODJ458755:ODJ458756 ONF458755:ONF458756 OXB458755:OXB458756 PGX458755:PGX458756 PQT458755:PQT458756 QAP458755:QAP458756 QKL458755:QKL458756 QUH458755:QUH458756 RED458755:RED458756 RNZ458755:RNZ458756 RXV458755:RXV458756 SHR458755:SHR458756 SRN458755:SRN458756 TBJ458755:TBJ458756 TLF458755:TLF458756 TVB458755:TVB458756 UEX458755:UEX458756 UOT458755:UOT458756 UYP458755:UYP458756 VIL458755:VIL458756 VSH458755:VSH458756 WCD458755:WCD458756 WLZ458755:WLZ458756 WVV458755:WVV458756 X524291:X524292 JJ524291:JJ524292 TF524291:TF524292 ADB524291:ADB524292 AMX524291:AMX524292 AWT524291:AWT524292 BGP524291:BGP524292 BQL524291:BQL524292 CAH524291:CAH524292 CKD524291:CKD524292 CTZ524291:CTZ524292 DDV524291:DDV524292 DNR524291:DNR524292 DXN524291:DXN524292 EHJ524291:EHJ524292 ERF524291:ERF524292 FBB524291:FBB524292 FKX524291:FKX524292 FUT524291:FUT524292 GEP524291:GEP524292 GOL524291:GOL524292 GYH524291:GYH524292 HID524291:HID524292 HRZ524291:HRZ524292 IBV524291:IBV524292 ILR524291:ILR524292 IVN524291:IVN524292 JFJ524291:JFJ524292 JPF524291:JPF524292 JZB524291:JZB524292 KIX524291:KIX524292 KST524291:KST524292 LCP524291:LCP524292 LML524291:LML524292 LWH524291:LWH524292 MGD524291:MGD524292 MPZ524291:MPZ524292 MZV524291:MZV524292 NJR524291:NJR524292 NTN524291:NTN524292 ODJ524291:ODJ524292 ONF524291:ONF524292 OXB524291:OXB524292 PGX524291:PGX524292 PQT524291:PQT524292 QAP524291:QAP524292 QKL524291:QKL524292 QUH524291:QUH524292 RED524291:RED524292 RNZ524291:RNZ524292 RXV524291:RXV524292 SHR524291:SHR524292 SRN524291:SRN524292 TBJ524291:TBJ524292 TLF524291:TLF524292 TVB524291:TVB524292 UEX524291:UEX524292 UOT524291:UOT524292 UYP524291:UYP524292 VIL524291:VIL524292 VSH524291:VSH524292 WCD524291:WCD524292 WLZ524291:WLZ524292 WVV524291:WVV524292 X589827:X589828 JJ589827:JJ589828 TF589827:TF589828 ADB589827:ADB589828 AMX589827:AMX589828 AWT589827:AWT589828 BGP589827:BGP589828 BQL589827:BQL589828 CAH589827:CAH589828 CKD589827:CKD589828 CTZ589827:CTZ589828 DDV589827:DDV589828 DNR589827:DNR589828 DXN589827:DXN589828 EHJ589827:EHJ589828 ERF589827:ERF589828 FBB589827:FBB589828 FKX589827:FKX589828 FUT589827:FUT589828 GEP589827:GEP589828 GOL589827:GOL589828 GYH589827:GYH589828 HID589827:HID589828 HRZ589827:HRZ589828 IBV589827:IBV589828 ILR589827:ILR589828 IVN589827:IVN589828 JFJ589827:JFJ589828 JPF589827:JPF589828 JZB589827:JZB589828 KIX589827:KIX589828 KST589827:KST589828 LCP589827:LCP589828 LML589827:LML589828 LWH589827:LWH589828 MGD589827:MGD589828 MPZ589827:MPZ589828 MZV589827:MZV589828 NJR589827:NJR589828 NTN589827:NTN589828 ODJ589827:ODJ589828 ONF589827:ONF589828 OXB589827:OXB589828 PGX589827:PGX589828 PQT589827:PQT589828 QAP589827:QAP589828 QKL589827:QKL589828 QUH589827:QUH589828 RED589827:RED589828 RNZ589827:RNZ589828 RXV589827:RXV589828 SHR589827:SHR589828 SRN589827:SRN589828 TBJ589827:TBJ589828 TLF589827:TLF589828 TVB589827:TVB589828 UEX589827:UEX589828 UOT589827:UOT589828 UYP589827:UYP589828 VIL589827:VIL589828 VSH589827:VSH589828 WCD589827:WCD589828 WLZ589827:WLZ589828 WVV589827:WVV589828 X655363:X655364 JJ655363:JJ655364 TF655363:TF655364 ADB655363:ADB655364 AMX655363:AMX655364 AWT655363:AWT655364 BGP655363:BGP655364 BQL655363:BQL655364 CAH655363:CAH655364 CKD655363:CKD655364 CTZ655363:CTZ655364 DDV655363:DDV655364 DNR655363:DNR655364 DXN655363:DXN655364 EHJ655363:EHJ655364 ERF655363:ERF655364 FBB655363:FBB655364 FKX655363:FKX655364 FUT655363:FUT655364 GEP655363:GEP655364 GOL655363:GOL655364 GYH655363:GYH655364 HID655363:HID655364 HRZ655363:HRZ655364 IBV655363:IBV655364 ILR655363:ILR655364 IVN655363:IVN655364 JFJ655363:JFJ655364 JPF655363:JPF655364 JZB655363:JZB655364 KIX655363:KIX655364 KST655363:KST655364 LCP655363:LCP655364 LML655363:LML655364 LWH655363:LWH655364 MGD655363:MGD655364 MPZ655363:MPZ655364 MZV655363:MZV655364 NJR655363:NJR655364 NTN655363:NTN655364 ODJ655363:ODJ655364 ONF655363:ONF655364 OXB655363:OXB655364 PGX655363:PGX655364 PQT655363:PQT655364 QAP655363:QAP655364 QKL655363:QKL655364 QUH655363:QUH655364 RED655363:RED655364 RNZ655363:RNZ655364 RXV655363:RXV655364 SHR655363:SHR655364 SRN655363:SRN655364 TBJ655363:TBJ655364 TLF655363:TLF655364 TVB655363:TVB655364 UEX655363:UEX655364 UOT655363:UOT655364 UYP655363:UYP655364 VIL655363:VIL655364 VSH655363:VSH655364 WCD655363:WCD655364 WLZ655363:WLZ655364 WVV655363:WVV655364 X720899:X720900 JJ720899:JJ720900 TF720899:TF720900 ADB720899:ADB720900 AMX720899:AMX720900 AWT720899:AWT720900 BGP720899:BGP720900 BQL720899:BQL720900 CAH720899:CAH720900 CKD720899:CKD720900 CTZ720899:CTZ720900 DDV720899:DDV720900 DNR720899:DNR720900 DXN720899:DXN720900 EHJ720899:EHJ720900 ERF720899:ERF720900 FBB720899:FBB720900 FKX720899:FKX720900 FUT720899:FUT720900 GEP720899:GEP720900 GOL720899:GOL720900 GYH720899:GYH720900 HID720899:HID720900 HRZ720899:HRZ720900 IBV720899:IBV720900 ILR720899:ILR720900 IVN720899:IVN720900 JFJ720899:JFJ720900 JPF720899:JPF720900 JZB720899:JZB720900 KIX720899:KIX720900 KST720899:KST720900 LCP720899:LCP720900 LML720899:LML720900 LWH720899:LWH720900 MGD720899:MGD720900 MPZ720899:MPZ720900 MZV720899:MZV720900 NJR720899:NJR720900 NTN720899:NTN720900 ODJ720899:ODJ720900 ONF720899:ONF720900 OXB720899:OXB720900 PGX720899:PGX720900 PQT720899:PQT720900 QAP720899:QAP720900 QKL720899:QKL720900 QUH720899:QUH720900 RED720899:RED720900 RNZ720899:RNZ720900 RXV720899:RXV720900 SHR720899:SHR720900 SRN720899:SRN720900 TBJ720899:TBJ720900 TLF720899:TLF720900 TVB720899:TVB720900 UEX720899:UEX720900 UOT720899:UOT720900 UYP720899:UYP720900 VIL720899:VIL720900 VSH720899:VSH720900 WCD720899:WCD720900 WLZ720899:WLZ720900 WVV720899:WVV720900 X786435:X786436 JJ786435:JJ786436 TF786435:TF786436 ADB786435:ADB786436 AMX786435:AMX786436 AWT786435:AWT786436 BGP786435:BGP786436 BQL786435:BQL786436 CAH786435:CAH786436 CKD786435:CKD786436 CTZ786435:CTZ786436 DDV786435:DDV786436 DNR786435:DNR786436 DXN786435:DXN786436 EHJ786435:EHJ786436 ERF786435:ERF786436 FBB786435:FBB786436 FKX786435:FKX786436 FUT786435:FUT786436 GEP786435:GEP786436 GOL786435:GOL786436 GYH786435:GYH786436 HID786435:HID786436 HRZ786435:HRZ786436 IBV786435:IBV786436 ILR786435:ILR786436 IVN786435:IVN786436 JFJ786435:JFJ786436 JPF786435:JPF786436 JZB786435:JZB786436 KIX786435:KIX786436 KST786435:KST786436 LCP786435:LCP786436 LML786435:LML786436 LWH786435:LWH786436 MGD786435:MGD786436 MPZ786435:MPZ786436 MZV786435:MZV786436 NJR786435:NJR786436 NTN786435:NTN786436 ODJ786435:ODJ786436 ONF786435:ONF786436 OXB786435:OXB786436 PGX786435:PGX786436 PQT786435:PQT786436 QAP786435:QAP786436 QKL786435:QKL786436 QUH786435:QUH786436 RED786435:RED786436 RNZ786435:RNZ786436 RXV786435:RXV786436 SHR786435:SHR786436 SRN786435:SRN786436 TBJ786435:TBJ786436 TLF786435:TLF786436 TVB786435:TVB786436 UEX786435:UEX786436 UOT786435:UOT786436 UYP786435:UYP786436 VIL786435:VIL786436 VSH786435:VSH786436 WCD786435:WCD786436 WLZ786435:WLZ786436 WVV786435:WVV786436 X851971:X851972 JJ851971:JJ851972 TF851971:TF851972 ADB851971:ADB851972 AMX851971:AMX851972 AWT851971:AWT851972 BGP851971:BGP851972 BQL851971:BQL851972 CAH851971:CAH851972 CKD851971:CKD851972 CTZ851971:CTZ851972 DDV851971:DDV851972 DNR851971:DNR851972 DXN851971:DXN851972 EHJ851971:EHJ851972 ERF851971:ERF851972 FBB851971:FBB851972 FKX851971:FKX851972 FUT851971:FUT851972 GEP851971:GEP851972 GOL851971:GOL851972 GYH851971:GYH851972 HID851971:HID851972 HRZ851971:HRZ851972 IBV851971:IBV851972 ILR851971:ILR851972 IVN851971:IVN851972 JFJ851971:JFJ851972 JPF851971:JPF851972 JZB851971:JZB851972 KIX851971:KIX851972 KST851971:KST851972 LCP851971:LCP851972 LML851971:LML851972 LWH851971:LWH851972 MGD851971:MGD851972 MPZ851971:MPZ851972 MZV851971:MZV851972 NJR851971:NJR851972 NTN851971:NTN851972 ODJ851971:ODJ851972 ONF851971:ONF851972 OXB851971:OXB851972 PGX851971:PGX851972 PQT851971:PQT851972 QAP851971:QAP851972 QKL851971:QKL851972 QUH851971:QUH851972 RED851971:RED851972 RNZ851971:RNZ851972 RXV851971:RXV851972 SHR851971:SHR851972 SRN851971:SRN851972 TBJ851971:TBJ851972 TLF851971:TLF851972 TVB851971:TVB851972 UEX851971:UEX851972 UOT851971:UOT851972 UYP851971:UYP851972 VIL851971:VIL851972 VSH851971:VSH851972 WCD851971:WCD851972 WLZ851971:WLZ851972 WVV851971:WVV851972 X917507:X917508 JJ917507:JJ917508 TF917507:TF917508 ADB917507:ADB917508 AMX917507:AMX917508 AWT917507:AWT917508 BGP917507:BGP917508 BQL917507:BQL917508 CAH917507:CAH917508 CKD917507:CKD917508 CTZ917507:CTZ917508 DDV917507:DDV917508 DNR917507:DNR917508 DXN917507:DXN917508 EHJ917507:EHJ917508 ERF917507:ERF917508 FBB917507:FBB917508 FKX917507:FKX917508 FUT917507:FUT917508 GEP917507:GEP917508 GOL917507:GOL917508 GYH917507:GYH917508 HID917507:HID917508 HRZ917507:HRZ917508 IBV917507:IBV917508 ILR917507:ILR917508 IVN917507:IVN917508 JFJ917507:JFJ917508 JPF917507:JPF917508 JZB917507:JZB917508 KIX917507:KIX917508 KST917507:KST917508 LCP917507:LCP917508 LML917507:LML917508 LWH917507:LWH917508 MGD917507:MGD917508 MPZ917507:MPZ917508 MZV917507:MZV917508 NJR917507:NJR917508 NTN917507:NTN917508 ODJ917507:ODJ917508 ONF917507:ONF917508 OXB917507:OXB917508 PGX917507:PGX917508 PQT917507:PQT917508 QAP917507:QAP917508 QKL917507:QKL917508 QUH917507:QUH917508 RED917507:RED917508 RNZ917507:RNZ917508 RXV917507:RXV917508 SHR917507:SHR917508 SRN917507:SRN917508 TBJ917507:TBJ917508 TLF917507:TLF917508 TVB917507:TVB917508 UEX917507:UEX917508 UOT917507:UOT917508 UYP917507:UYP917508 VIL917507:VIL917508 VSH917507:VSH917508 WCD917507:WCD917508 WLZ917507:WLZ917508 WVV917507:WVV917508 X983043:X983044 JJ983043:JJ983044 TF983043:TF983044 ADB983043:ADB983044 AMX983043:AMX983044 AWT983043:AWT983044 BGP983043:BGP983044 BQL983043:BQL983044 CAH983043:CAH983044 CKD983043:CKD983044 CTZ983043:CTZ983044 DDV983043:DDV983044 DNR983043:DNR983044 DXN983043:DXN983044 EHJ983043:EHJ983044 ERF983043:ERF983044 FBB983043:FBB983044 FKX983043:FKX983044 FUT983043:FUT983044 GEP983043:GEP983044 GOL983043:GOL983044 GYH983043:GYH983044 HID983043:HID983044 HRZ983043:HRZ983044 IBV983043:IBV983044 ILR983043:ILR983044 IVN983043:IVN983044 JFJ983043:JFJ983044 JPF983043:JPF983044 JZB983043:JZB983044 KIX983043:KIX983044 KST983043:KST983044 LCP983043:LCP983044 LML983043:LML983044 LWH983043:LWH983044 MGD983043:MGD983044 MPZ983043:MPZ983044 MZV983043:MZV983044 NJR983043:NJR983044 NTN983043:NTN983044 ODJ983043:ODJ983044 ONF983043:ONF983044 OXB983043:OXB983044 PGX983043:PGX983044 PQT983043:PQT983044 QAP983043:QAP983044 QKL983043:QKL983044 QUH983043:QUH983044 RED983043:RED983044 RNZ983043:RNZ983044 RXV983043:RXV983044 SHR983043:SHR983044 SRN983043:SRN983044 TBJ983043:TBJ983044 TLF983043:TLF983044 TVB983043:TVB983044 UEX983043:UEX983044 UOT983043:UOT983044 UYP983043:UYP983044 VIL983043:VIL983044 VSH983043:VSH983044 WCD983043:WCD983044 WLZ983043:WLZ983044 WVV983043:WVV983044 Z65539:Z65540 JM65539:JM65540 TI65539:TI65540 ADE65539:ADE65540 ANA65539:ANA65540 AWW65539:AWW65540 BGS65539:BGS65540 BQO65539:BQO65540 CAK65539:CAK65540 CKG65539:CKG65540 CUC65539:CUC65540 DDY65539:DDY65540 DNU65539:DNU65540 DXQ65539:DXQ65540 EHM65539:EHM65540 ERI65539:ERI65540 FBE65539:FBE65540 FLA65539:FLA65540 FUW65539:FUW65540 GES65539:GES65540 GOO65539:GOO65540 GYK65539:GYK65540 HIG65539:HIG65540 HSC65539:HSC65540 IBY65539:IBY65540 ILU65539:ILU65540 IVQ65539:IVQ65540 JFM65539:JFM65540 JPI65539:JPI65540 JZE65539:JZE65540 KJA65539:KJA65540 KSW65539:KSW65540 LCS65539:LCS65540 LMO65539:LMO65540 LWK65539:LWK65540 MGG65539:MGG65540 MQC65539:MQC65540 MZY65539:MZY65540 NJU65539:NJU65540 NTQ65539:NTQ65540 ODM65539:ODM65540 ONI65539:ONI65540 OXE65539:OXE65540 PHA65539:PHA65540 PQW65539:PQW65540 QAS65539:QAS65540 QKO65539:QKO65540 QUK65539:QUK65540 REG65539:REG65540 ROC65539:ROC65540 RXY65539:RXY65540 SHU65539:SHU65540 SRQ65539:SRQ65540 TBM65539:TBM65540 TLI65539:TLI65540 TVE65539:TVE65540 UFA65539:UFA65540 UOW65539:UOW65540 UYS65539:UYS65540 VIO65539:VIO65540 VSK65539:VSK65540 WCG65539:WCG65540 WMC65539:WMC65540 WVY65539:WVY65540 Z131075:Z131076 JM131075:JM131076 TI131075:TI131076 ADE131075:ADE131076 ANA131075:ANA131076 AWW131075:AWW131076 BGS131075:BGS131076 BQO131075:BQO131076 CAK131075:CAK131076 CKG131075:CKG131076 CUC131075:CUC131076 DDY131075:DDY131076 DNU131075:DNU131076 DXQ131075:DXQ131076 EHM131075:EHM131076 ERI131075:ERI131076 FBE131075:FBE131076 FLA131075:FLA131076 FUW131075:FUW131076 GES131075:GES131076 GOO131075:GOO131076 GYK131075:GYK131076 HIG131075:HIG131076 HSC131075:HSC131076 IBY131075:IBY131076 ILU131075:ILU131076 IVQ131075:IVQ131076 JFM131075:JFM131076 JPI131075:JPI131076 JZE131075:JZE131076 KJA131075:KJA131076 KSW131075:KSW131076 LCS131075:LCS131076 LMO131075:LMO131076 LWK131075:LWK131076 MGG131075:MGG131076 MQC131075:MQC131076 MZY131075:MZY131076 NJU131075:NJU131076 NTQ131075:NTQ131076 ODM131075:ODM131076 ONI131075:ONI131076 OXE131075:OXE131076 PHA131075:PHA131076 PQW131075:PQW131076 QAS131075:QAS131076 QKO131075:QKO131076 QUK131075:QUK131076 REG131075:REG131076 ROC131075:ROC131076 RXY131075:RXY131076 SHU131075:SHU131076 SRQ131075:SRQ131076 TBM131075:TBM131076 TLI131075:TLI131076 TVE131075:TVE131076 UFA131075:UFA131076 UOW131075:UOW131076 UYS131075:UYS131076 VIO131075:VIO131076 VSK131075:VSK131076 WCG131075:WCG131076 WMC131075:WMC131076 WVY131075:WVY131076 Z196611:Z196612 JM196611:JM196612 TI196611:TI196612 ADE196611:ADE196612 ANA196611:ANA196612 AWW196611:AWW196612 BGS196611:BGS196612 BQO196611:BQO196612 CAK196611:CAK196612 CKG196611:CKG196612 CUC196611:CUC196612 DDY196611:DDY196612 DNU196611:DNU196612 DXQ196611:DXQ196612 EHM196611:EHM196612 ERI196611:ERI196612 FBE196611:FBE196612 FLA196611:FLA196612 FUW196611:FUW196612 GES196611:GES196612 GOO196611:GOO196612 GYK196611:GYK196612 HIG196611:HIG196612 HSC196611:HSC196612 IBY196611:IBY196612 ILU196611:ILU196612 IVQ196611:IVQ196612 JFM196611:JFM196612 JPI196611:JPI196612 JZE196611:JZE196612 KJA196611:KJA196612 KSW196611:KSW196612 LCS196611:LCS196612 LMO196611:LMO196612 LWK196611:LWK196612 MGG196611:MGG196612 MQC196611:MQC196612 MZY196611:MZY196612 NJU196611:NJU196612 NTQ196611:NTQ196612 ODM196611:ODM196612 ONI196611:ONI196612 OXE196611:OXE196612 PHA196611:PHA196612 PQW196611:PQW196612 QAS196611:QAS196612 QKO196611:QKO196612 QUK196611:QUK196612 REG196611:REG196612 ROC196611:ROC196612 RXY196611:RXY196612 SHU196611:SHU196612 SRQ196611:SRQ196612 TBM196611:TBM196612 TLI196611:TLI196612 TVE196611:TVE196612 UFA196611:UFA196612 UOW196611:UOW196612 UYS196611:UYS196612 VIO196611:VIO196612 VSK196611:VSK196612 WCG196611:WCG196612 WMC196611:WMC196612 WVY196611:WVY196612 Z262147:Z262148 JM262147:JM262148 TI262147:TI262148 ADE262147:ADE262148 ANA262147:ANA262148 AWW262147:AWW262148 BGS262147:BGS262148 BQO262147:BQO262148 CAK262147:CAK262148 CKG262147:CKG262148 CUC262147:CUC262148 DDY262147:DDY262148 DNU262147:DNU262148 DXQ262147:DXQ262148 EHM262147:EHM262148 ERI262147:ERI262148 FBE262147:FBE262148 FLA262147:FLA262148 FUW262147:FUW262148 GES262147:GES262148 GOO262147:GOO262148 GYK262147:GYK262148 HIG262147:HIG262148 HSC262147:HSC262148 IBY262147:IBY262148 ILU262147:ILU262148 IVQ262147:IVQ262148 JFM262147:JFM262148 JPI262147:JPI262148 JZE262147:JZE262148 KJA262147:KJA262148 KSW262147:KSW262148 LCS262147:LCS262148 LMO262147:LMO262148 LWK262147:LWK262148 MGG262147:MGG262148 MQC262147:MQC262148 MZY262147:MZY262148 NJU262147:NJU262148 NTQ262147:NTQ262148 ODM262147:ODM262148 ONI262147:ONI262148 OXE262147:OXE262148 PHA262147:PHA262148 PQW262147:PQW262148 QAS262147:QAS262148 QKO262147:QKO262148 QUK262147:QUK262148 REG262147:REG262148 ROC262147:ROC262148 RXY262147:RXY262148 SHU262147:SHU262148 SRQ262147:SRQ262148 TBM262147:TBM262148 TLI262147:TLI262148 TVE262147:TVE262148 UFA262147:UFA262148 UOW262147:UOW262148 UYS262147:UYS262148 VIO262147:VIO262148 VSK262147:VSK262148 WCG262147:WCG262148 WMC262147:WMC262148 WVY262147:WVY262148 Z327683:Z327684 JM327683:JM327684 TI327683:TI327684 ADE327683:ADE327684 ANA327683:ANA327684 AWW327683:AWW327684 BGS327683:BGS327684 BQO327683:BQO327684 CAK327683:CAK327684 CKG327683:CKG327684 CUC327683:CUC327684 DDY327683:DDY327684 DNU327683:DNU327684 DXQ327683:DXQ327684 EHM327683:EHM327684 ERI327683:ERI327684 FBE327683:FBE327684 FLA327683:FLA327684 FUW327683:FUW327684 GES327683:GES327684 GOO327683:GOO327684 GYK327683:GYK327684 HIG327683:HIG327684 HSC327683:HSC327684 IBY327683:IBY327684 ILU327683:ILU327684 IVQ327683:IVQ327684 JFM327683:JFM327684 JPI327683:JPI327684 JZE327683:JZE327684 KJA327683:KJA327684 KSW327683:KSW327684 LCS327683:LCS327684 LMO327683:LMO327684 LWK327683:LWK327684 MGG327683:MGG327684 MQC327683:MQC327684 MZY327683:MZY327684 NJU327683:NJU327684 NTQ327683:NTQ327684 ODM327683:ODM327684 ONI327683:ONI327684 OXE327683:OXE327684 PHA327683:PHA327684 PQW327683:PQW327684 QAS327683:QAS327684 QKO327683:QKO327684 QUK327683:QUK327684 REG327683:REG327684 ROC327683:ROC327684 RXY327683:RXY327684 SHU327683:SHU327684 SRQ327683:SRQ327684 TBM327683:TBM327684 TLI327683:TLI327684 TVE327683:TVE327684 UFA327683:UFA327684 UOW327683:UOW327684 UYS327683:UYS327684 VIO327683:VIO327684 VSK327683:VSK327684 WCG327683:WCG327684 WMC327683:WMC327684 WVY327683:WVY327684 Z393219:Z393220 JM393219:JM393220 TI393219:TI393220 ADE393219:ADE393220 ANA393219:ANA393220 AWW393219:AWW393220 BGS393219:BGS393220 BQO393219:BQO393220 CAK393219:CAK393220 CKG393219:CKG393220 CUC393219:CUC393220 DDY393219:DDY393220 DNU393219:DNU393220 DXQ393219:DXQ393220 EHM393219:EHM393220 ERI393219:ERI393220 FBE393219:FBE393220 FLA393219:FLA393220 FUW393219:FUW393220 GES393219:GES393220 GOO393219:GOO393220 GYK393219:GYK393220 HIG393219:HIG393220 HSC393219:HSC393220 IBY393219:IBY393220 ILU393219:ILU393220 IVQ393219:IVQ393220 JFM393219:JFM393220 JPI393219:JPI393220 JZE393219:JZE393220 KJA393219:KJA393220 KSW393219:KSW393220 LCS393219:LCS393220 LMO393219:LMO393220 LWK393219:LWK393220 MGG393219:MGG393220 MQC393219:MQC393220 MZY393219:MZY393220 NJU393219:NJU393220 NTQ393219:NTQ393220 ODM393219:ODM393220 ONI393219:ONI393220 OXE393219:OXE393220 PHA393219:PHA393220 PQW393219:PQW393220 QAS393219:QAS393220 QKO393219:QKO393220 QUK393219:QUK393220 REG393219:REG393220 ROC393219:ROC393220 RXY393219:RXY393220 SHU393219:SHU393220 SRQ393219:SRQ393220 TBM393219:TBM393220 TLI393219:TLI393220 TVE393219:TVE393220 UFA393219:UFA393220 UOW393219:UOW393220 UYS393219:UYS393220 VIO393219:VIO393220 VSK393219:VSK393220 WCG393219:WCG393220 WMC393219:WMC393220 WVY393219:WVY393220 Z458755:Z458756 JM458755:JM458756 TI458755:TI458756 ADE458755:ADE458756 ANA458755:ANA458756 AWW458755:AWW458756 BGS458755:BGS458756 BQO458755:BQO458756 CAK458755:CAK458756 CKG458755:CKG458756 CUC458755:CUC458756 DDY458755:DDY458756 DNU458755:DNU458756 DXQ458755:DXQ458756 EHM458755:EHM458756 ERI458755:ERI458756 FBE458755:FBE458756 FLA458755:FLA458756 FUW458755:FUW458756 GES458755:GES458756 GOO458755:GOO458756 GYK458755:GYK458756 HIG458755:HIG458756 HSC458755:HSC458756 IBY458755:IBY458756 ILU458755:ILU458756 IVQ458755:IVQ458756 JFM458755:JFM458756 JPI458755:JPI458756 JZE458755:JZE458756 KJA458755:KJA458756 KSW458755:KSW458756 LCS458755:LCS458756 LMO458755:LMO458756 LWK458755:LWK458756 MGG458755:MGG458756 MQC458755:MQC458756 MZY458755:MZY458756 NJU458755:NJU458756 NTQ458755:NTQ458756 ODM458755:ODM458756 ONI458755:ONI458756 OXE458755:OXE458756 PHA458755:PHA458756 PQW458755:PQW458756 QAS458755:QAS458756 QKO458755:QKO458756 QUK458755:QUK458756 REG458755:REG458756 ROC458755:ROC458756 RXY458755:RXY458756 SHU458755:SHU458756 SRQ458755:SRQ458756 TBM458755:TBM458756 TLI458755:TLI458756 TVE458755:TVE458756 UFA458755:UFA458756 UOW458755:UOW458756 UYS458755:UYS458756 VIO458755:VIO458756 VSK458755:VSK458756 WCG458755:WCG458756 WMC458755:WMC458756 WVY458755:WVY458756 Z524291:Z524292 JM524291:JM524292 TI524291:TI524292 ADE524291:ADE524292 ANA524291:ANA524292 AWW524291:AWW524292 BGS524291:BGS524292 BQO524291:BQO524292 CAK524291:CAK524292 CKG524291:CKG524292 CUC524291:CUC524292 DDY524291:DDY524292 DNU524291:DNU524292 DXQ524291:DXQ524292 EHM524291:EHM524292 ERI524291:ERI524292 FBE524291:FBE524292 FLA524291:FLA524292 FUW524291:FUW524292 GES524291:GES524292 GOO524291:GOO524292 GYK524291:GYK524292 HIG524291:HIG524292 HSC524291:HSC524292 IBY524291:IBY524292 ILU524291:ILU524292 IVQ524291:IVQ524292 JFM524291:JFM524292 JPI524291:JPI524292 JZE524291:JZE524292 KJA524291:KJA524292 KSW524291:KSW524292 LCS524291:LCS524292 LMO524291:LMO524292 LWK524291:LWK524292 MGG524291:MGG524292 MQC524291:MQC524292 MZY524291:MZY524292 NJU524291:NJU524292 NTQ524291:NTQ524292 ODM524291:ODM524292 ONI524291:ONI524292 OXE524291:OXE524292 PHA524291:PHA524292 PQW524291:PQW524292 QAS524291:QAS524292 QKO524291:QKO524292 QUK524291:QUK524292 REG524291:REG524292 ROC524291:ROC524292 RXY524291:RXY524292 SHU524291:SHU524292 SRQ524291:SRQ524292 TBM524291:TBM524292 TLI524291:TLI524292 TVE524291:TVE524292 UFA524291:UFA524292 UOW524291:UOW524292 UYS524291:UYS524292 VIO524291:VIO524292 VSK524291:VSK524292 WCG524291:WCG524292 WMC524291:WMC524292 WVY524291:WVY524292 Z589827:Z589828 JM589827:JM589828 TI589827:TI589828 ADE589827:ADE589828 ANA589827:ANA589828 AWW589827:AWW589828 BGS589827:BGS589828 BQO589827:BQO589828 CAK589827:CAK589828 CKG589827:CKG589828 CUC589827:CUC589828 DDY589827:DDY589828 DNU589827:DNU589828 DXQ589827:DXQ589828 EHM589827:EHM589828 ERI589827:ERI589828 FBE589827:FBE589828 FLA589827:FLA589828 FUW589827:FUW589828 GES589827:GES589828 GOO589827:GOO589828 GYK589827:GYK589828 HIG589827:HIG589828 HSC589827:HSC589828 IBY589827:IBY589828 ILU589827:ILU589828 IVQ589827:IVQ589828 JFM589827:JFM589828 JPI589827:JPI589828 JZE589827:JZE589828 KJA589827:KJA589828 KSW589827:KSW589828 LCS589827:LCS589828 LMO589827:LMO589828 LWK589827:LWK589828 MGG589827:MGG589828 MQC589827:MQC589828 MZY589827:MZY589828 NJU589827:NJU589828 NTQ589827:NTQ589828 ODM589827:ODM589828 ONI589827:ONI589828 OXE589827:OXE589828 PHA589827:PHA589828 PQW589827:PQW589828 QAS589827:QAS589828 QKO589827:QKO589828 QUK589827:QUK589828 REG589827:REG589828 ROC589827:ROC589828 RXY589827:RXY589828 SHU589827:SHU589828 SRQ589827:SRQ589828 TBM589827:TBM589828 TLI589827:TLI589828 TVE589827:TVE589828 UFA589827:UFA589828 UOW589827:UOW589828 UYS589827:UYS589828 VIO589827:VIO589828 VSK589827:VSK589828 WCG589827:WCG589828 WMC589827:WMC589828 WVY589827:WVY589828 Z655363:Z655364 JM655363:JM655364 TI655363:TI655364 ADE655363:ADE655364 ANA655363:ANA655364 AWW655363:AWW655364 BGS655363:BGS655364 BQO655363:BQO655364 CAK655363:CAK655364 CKG655363:CKG655364 CUC655363:CUC655364 DDY655363:DDY655364 DNU655363:DNU655364 DXQ655363:DXQ655364 EHM655363:EHM655364 ERI655363:ERI655364 FBE655363:FBE655364 FLA655363:FLA655364 FUW655363:FUW655364 GES655363:GES655364 GOO655363:GOO655364 GYK655363:GYK655364 HIG655363:HIG655364 HSC655363:HSC655364 IBY655363:IBY655364 ILU655363:ILU655364 IVQ655363:IVQ655364 JFM655363:JFM655364 JPI655363:JPI655364 JZE655363:JZE655364 KJA655363:KJA655364 KSW655363:KSW655364 LCS655363:LCS655364 LMO655363:LMO655364 LWK655363:LWK655364 MGG655363:MGG655364 MQC655363:MQC655364 MZY655363:MZY655364 NJU655363:NJU655364 NTQ655363:NTQ655364 ODM655363:ODM655364 ONI655363:ONI655364 OXE655363:OXE655364 PHA655363:PHA655364 PQW655363:PQW655364 QAS655363:QAS655364 QKO655363:QKO655364 QUK655363:QUK655364 REG655363:REG655364 ROC655363:ROC655364 RXY655363:RXY655364 SHU655363:SHU655364 SRQ655363:SRQ655364 TBM655363:TBM655364 TLI655363:TLI655364 TVE655363:TVE655364 UFA655363:UFA655364 UOW655363:UOW655364 UYS655363:UYS655364 VIO655363:VIO655364 VSK655363:VSK655364 WCG655363:WCG655364 WMC655363:WMC655364 WVY655363:WVY655364 Z720899:Z720900 JM720899:JM720900 TI720899:TI720900 ADE720899:ADE720900 ANA720899:ANA720900 AWW720899:AWW720900 BGS720899:BGS720900 BQO720899:BQO720900 CAK720899:CAK720900 CKG720899:CKG720900 CUC720899:CUC720900 DDY720899:DDY720900 DNU720899:DNU720900 DXQ720899:DXQ720900 EHM720899:EHM720900 ERI720899:ERI720900 FBE720899:FBE720900 FLA720899:FLA720900 FUW720899:FUW720900 GES720899:GES720900 GOO720899:GOO720900 GYK720899:GYK720900 HIG720899:HIG720900 HSC720899:HSC720900 IBY720899:IBY720900 ILU720899:ILU720900 IVQ720899:IVQ720900 JFM720899:JFM720900 JPI720899:JPI720900 JZE720899:JZE720900 KJA720899:KJA720900 KSW720899:KSW720900 LCS720899:LCS720900 LMO720899:LMO720900 LWK720899:LWK720900 MGG720899:MGG720900 MQC720899:MQC720900 MZY720899:MZY720900 NJU720899:NJU720900 NTQ720899:NTQ720900 ODM720899:ODM720900 ONI720899:ONI720900 OXE720899:OXE720900 PHA720899:PHA720900 PQW720899:PQW720900 QAS720899:QAS720900 QKO720899:QKO720900 QUK720899:QUK720900 REG720899:REG720900 ROC720899:ROC720900 RXY720899:RXY720900 SHU720899:SHU720900 SRQ720899:SRQ720900 TBM720899:TBM720900 TLI720899:TLI720900 TVE720899:TVE720900 UFA720899:UFA720900 UOW720899:UOW720900 UYS720899:UYS720900 VIO720899:VIO720900 VSK720899:VSK720900 WCG720899:WCG720900 WMC720899:WMC720900 WVY720899:WVY720900 Z786435:Z786436 JM786435:JM786436 TI786435:TI786436 ADE786435:ADE786436 ANA786435:ANA786436 AWW786435:AWW786436 BGS786435:BGS786436 BQO786435:BQO786436 CAK786435:CAK786436 CKG786435:CKG786436 CUC786435:CUC786436 DDY786435:DDY786436 DNU786435:DNU786436 DXQ786435:DXQ786436 EHM786435:EHM786436 ERI786435:ERI786436 FBE786435:FBE786436 FLA786435:FLA786436 FUW786435:FUW786436 GES786435:GES786436 GOO786435:GOO786436 GYK786435:GYK786436 HIG786435:HIG786436 HSC786435:HSC786436 IBY786435:IBY786436 ILU786435:ILU786436 IVQ786435:IVQ786436 JFM786435:JFM786436 JPI786435:JPI786436 JZE786435:JZE786436 KJA786435:KJA786436 KSW786435:KSW786436 LCS786435:LCS786436 LMO786435:LMO786436 LWK786435:LWK786436 MGG786435:MGG786436 MQC786435:MQC786436 MZY786435:MZY786436 NJU786435:NJU786436 NTQ786435:NTQ786436 ODM786435:ODM786436 ONI786435:ONI786436 OXE786435:OXE786436 PHA786435:PHA786436 PQW786435:PQW786436 QAS786435:QAS786436 QKO786435:QKO786436 QUK786435:QUK786436 REG786435:REG786436 ROC786435:ROC786436 RXY786435:RXY786436 SHU786435:SHU786436 SRQ786435:SRQ786436 TBM786435:TBM786436 TLI786435:TLI786436 TVE786435:TVE786436 UFA786435:UFA786436 UOW786435:UOW786436 UYS786435:UYS786436 VIO786435:VIO786436 VSK786435:VSK786436 WCG786435:WCG786436 WMC786435:WMC786436 WVY786435:WVY786436 Z851971:Z851972 JM851971:JM851972 TI851971:TI851972 ADE851971:ADE851972 ANA851971:ANA851972 AWW851971:AWW851972 BGS851971:BGS851972 BQO851971:BQO851972 CAK851971:CAK851972 CKG851971:CKG851972 CUC851971:CUC851972 DDY851971:DDY851972 DNU851971:DNU851972 DXQ851971:DXQ851972 EHM851971:EHM851972 ERI851971:ERI851972 FBE851971:FBE851972 FLA851971:FLA851972 FUW851971:FUW851972 GES851971:GES851972 GOO851971:GOO851972 GYK851971:GYK851972 HIG851971:HIG851972 HSC851971:HSC851972 IBY851971:IBY851972 ILU851971:ILU851972 IVQ851971:IVQ851972 JFM851971:JFM851972 JPI851971:JPI851972 JZE851971:JZE851972 KJA851971:KJA851972 KSW851971:KSW851972 LCS851971:LCS851972 LMO851971:LMO851972 LWK851971:LWK851972 MGG851971:MGG851972 MQC851971:MQC851972 MZY851971:MZY851972 NJU851971:NJU851972 NTQ851971:NTQ851972 ODM851971:ODM851972 ONI851971:ONI851972 OXE851971:OXE851972 PHA851971:PHA851972 PQW851971:PQW851972 QAS851971:QAS851972 QKO851971:QKO851972 QUK851971:QUK851972 REG851971:REG851972 ROC851971:ROC851972 RXY851971:RXY851972 SHU851971:SHU851972 SRQ851971:SRQ851972 TBM851971:TBM851972 TLI851971:TLI851972 TVE851971:TVE851972 UFA851971:UFA851972 UOW851971:UOW851972 UYS851971:UYS851972 VIO851971:VIO851972 VSK851971:VSK851972 WCG851971:WCG851972 WMC851971:WMC851972 WVY851971:WVY851972 Z917507:Z917508 JM917507:JM917508 TI917507:TI917508 ADE917507:ADE917508 ANA917507:ANA917508 AWW917507:AWW917508 BGS917507:BGS917508 BQO917507:BQO917508 CAK917507:CAK917508 CKG917507:CKG917508 CUC917507:CUC917508 DDY917507:DDY917508 DNU917507:DNU917508 DXQ917507:DXQ917508 EHM917507:EHM917508 ERI917507:ERI917508 FBE917507:FBE917508 FLA917507:FLA917508 FUW917507:FUW917508 GES917507:GES917508 GOO917507:GOO917508 GYK917507:GYK917508 HIG917507:HIG917508 HSC917507:HSC917508 IBY917507:IBY917508 ILU917507:ILU917508 IVQ917507:IVQ917508 JFM917507:JFM917508 JPI917507:JPI917508 JZE917507:JZE917508 KJA917507:KJA917508 KSW917507:KSW917508 LCS917507:LCS917508 LMO917507:LMO917508 LWK917507:LWK917508 MGG917507:MGG917508 MQC917507:MQC917508 MZY917507:MZY917508 NJU917507:NJU917508 NTQ917507:NTQ917508 ODM917507:ODM917508 ONI917507:ONI917508 OXE917507:OXE917508 PHA917507:PHA917508 PQW917507:PQW917508 QAS917507:QAS917508 QKO917507:QKO917508 QUK917507:QUK917508 REG917507:REG917508 ROC917507:ROC917508 RXY917507:RXY917508 SHU917507:SHU917508 SRQ917507:SRQ917508 TBM917507:TBM917508 TLI917507:TLI917508 TVE917507:TVE917508 UFA917507:UFA917508 UOW917507:UOW917508 UYS917507:UYS917508 VIO917507:VIO917508 VSK917507:VSK917508 WCG917507:WCG917508 WMC917507:WMC917508 WVY917507:WVY917508 Z983043:Z983044 JM983043:JM983044 TI983043:TI983044 ADE983043:ADE983044 ANA983043:ANA983044 AWW983043:AWW983044 BGS983043:BGS983044 BQO983043:BQO983044 CAK983043:CAK983044 CKG983043:CKG983044 CUC983043:CUC983044 DDY983043:DDY983044 DNU983043:DNU983044 DXQ983043:DXQ983044 EHM983043:EHM983044 ERI983043:ERI983044 FBE983043:FBE983044 FLA983043:FLA983044 FUW983043:FUW983044 GES983043:GES983044 GOO983043:GOO983044 GYK983043:GYK983044 HIG983043:HIG983044 HSC983043:HSC983044 IBY983043:IBY983044 ILU983043:ILU983044 IVQ983043:IVQ983044 JFM983043:JFM983044 JPI983043:JPI983044 JZE983043:JZE983044 KJA983043:KJA983044 KSW983043:KSW983044 LCS983043:LCS983044 LMO983043:LMO983044 LWK983043:LWK983044 MGG983043:MGG983044 MQC983043:MQC983044 MZY983043:MZY983044 NJU983043:NJU983044 NTQ983043:NTQ983044 ODM983043:ODM983044 ONI983043:ONI983044 OXE983043:OXE983044 PHA983043:PHA983044 PQW983043:PQW983044 QAS983043:QAS983044 QKO983043:QKO983044 QUK983043:QUK983044 REG983043:REG983044 ROC983043:ROC983044 RXY983043:RXY983044 SHU983043:SHU983044 SRQ983043:SRQ983044 TBM983043:TBM983044 TLI983043:TLI983044 TVE983043:TVE983044 UFA983043:UFA983044 UOW983043:UOW983044 UYS983043:UYS983044 VIO983043:VIO983044 VSK983043:VSK983044 WCG983043:WCG983044 WMC983043:WMC983044 WVY983043:WVY983044 AB65539:AB65540 JP65539:JP65540 TL65539:TL65540 ADH65539:ADH65540 AND65539:AND65540 AWZ65539:AWZ65540 BGV65539:BGV65540 BQR65539:BQR65540 CAN65539:CAN65540 CKJ65539:CKJ65540 CUF65539:CUF65540 DEB65539:DEB65540 DNX65539:DNX65540 DXT65539:DXT65540 EHP65539:EHP65540 ERL65539:ERL65540 FBH65539:FBH65540 FLD65539:FLD65540 FUZ65539:FUZ65540 GEV65539:GEV65540 GOR65539:GOR65540 GYN65539:GYN65540 HIJ65539:HIJ65540 HSF65539:HSF65540 ICB65539:ICB65540 ILX65539:ILX65540 IVT65539:IVT65540 JFP65539:JFP65540 JPL65539:JPL65540 JZH65539:JZH65540 KJD65539:KJD65540 KSZ65539:KSZ65540 LCV65539:LCV65540 LMR65539:LMR65540 LWN65539:LWN65540 MGJ65539:MGJ65540 MQF65539:MQF65540 NAB65539:NAB65540 NJX65539:NJX65540 NTT65539:NTT65540 ODP65539:ODP65540 ONL65539:ONL65540 OXH65539:OXH65540 PHD65539:PHD65540 PQZ65539:PQZ65540 QAV65539:QAV65540 QKR65539:QKR65540 QUN65539:QUN65540 REJ65539:REJ65540 ROF65539:ROF65540 RYB65539:RYB65540 SHX65539:SHX65540 SRT65539:SRT65540 TBP65539:TBP65540 TLL65539:TLL65540 TVH65539:TVH65540 UFD65539:UFD65540 UOZ65539:UOZ65540 UYV65539:UYV65540 VIR65539:VIR65540 VSN65539:VSN65540 WCJ65539:WCJ65540 WMF65539:WMF65540 WWB65539:WWB65540 AB131075:AB131076 JP131075:JP131076 TL131075:TL131076 ADH131075:ADH131076 AND131075:AND131076 AWZ131075:AWZ131076 BGV131075:BGV131076 BQR131075:BQR131076 CAN131075:CAN131076 CKJ131075:CKJ131076 CUF131075:CUF131076 DEB131075:DEB131076 DNX131075:DNX131076 DXT131075:DXT131076 EHP131075:EHP131076 ERL131075:ERL131076 FBH131075:FBH131076 FLD131075:FLD131076 FUZ131075:FUZ131076 GEV131075:GEV131076 GOR131075:GOR131076 GYN131075:GYN131076 HIJ131075:HIJ131076 HSF131075:HSF131076 ICB131075:ICB131076 ILX131075:ILX131076 IVT131075:IVT131076 JFP131075:JFP131076 JPL131075:JPL131076 JZH131075:JZH131076 KJD131075:KJD131076 KSZ131075:KSZ131076 LCV131075:LCV131076 LMR131075:LMR131076 LWN131075:LWN131076 MGJ131075:MGJ131076 MQF131075:MQF131076 NAB131075:NAB131076 NJX131075:NJX131076 NTT131075:NTT131076 ODP131075:ODP131076 ONL131075:ONL131076 OXH131075:OXH131076 PHD131075:PHD131076 PQZ131075:PQZ131076 QAV131075:QAV131076 QKR131075:QKR131076 QUN131075:QUN131076 REJ131075:REJ131076 ROF131075:ROF131076 RYB131075:RYB131076 SHX131075:SHX131076 SRT131075:SRT131076 TBP131075:TBP131076 TLL131075:TLL131076 TVH131075:TVH131076 UFD131075:UFD131076 UOZ131075:UOZ131076 UYV131075:UYV131076 VIR131075:VIR131076 VSN131075:VSN131076 WCJ131075:WCJ131076 WMF131075:WMF131076 WWB131075:WWB131076 AB196611:AB196612 JP196611:JP196612 TL196611:TL196612 ADH196611:ADH196612 AND196611:AND196612 AWZ196611:AWZ196612 BGV196611:BGV196612 BQR196611:BQR196612 CAN196611:CAN196612 CKJ196611:CKJ196612 CUF196611:CUF196612 DEB196611:DEB196612 DNX196611:DNX196612 DXT196611:DXT196612 EHP196611:EHP196612 ERL196611:ERL196612 FBH196611:FBH196612 FLD196611:FLD196612 FUZ196611:FUZ196612 GEV196611:GEV196612 GOR196611:GOR196612 GYN196611:GYN196612 HIJ196611:HIJ196612 HSF196611:HSF196612 ICB196611:ICB196612 ILX196611:ILX196612 IVT196611:IVT196612 JFP196611:JFP196612 JPL196611:JPL196612 JZH196611:JZH196612 KJD196611:KJD196612 KSZ196611:KSZ196612 LCV196611:LCV196612 LMR196611:LMR196612 LWN196611:LWN196612 MGJ196611:MGJ196612 MQF196611:MQF196612 NAB196611:NAB196612 NJX196611:NJX196612 NTT196611:NTT196612 ODP196611:ODP196612 ONL196611:ONL196612 OXH196611:OXH196612 PHD196611:PHD196612 PQZ196611:PQZ196612 QAV196611:QAV196612 QKR196611:QKR196612 QUN196611:QUN196612 REJ196611:REJ196612 ROF196611:ROF196612 RYB196611:RYB196612 SHX196611:SHX196612 SRT196611:SRT196612 TBP196611:TBP196612 TLL196611:TLL196612 TVH196611:TVH196612 UFD196611:UFD196612 UOZ196611:UOZ196612 UYV196611:UYV196612 VIR196611:VIR196612 VSN196611:VSN196612 WCJ196611:WCJ196612 WMF196611:WMF196612 WWB196611:WWB196612 AB262147:AB262148 JP262147:JP262148 TL262147:TL262148 ADH262147:ADH262148 AND262147:AND262148 AWZ262147:AWZ262148 BGV262147:BGV262148 BQR262147:BQR262148 CAN262147:CAN262148 CKJ262147:CKJ262148 CUF262147:CUF262148 DEB262147:DEB262148 DNX262147:DNX262148 DXT262147:DXT262148 EHP262147:EHP262148 ERL262147:ERL262148 FBH262147:FBH262148 FLD262147:FLD262148 FUZ262147:FUZ262148 GEV262147:GEV262148 GOR262147:GOR262148 GYN262147:GYN262148 HIJ262147:HIJ262148 HSF262147:HSF262148 ICB262147:ICB262148 ILX262147:ILX262148 IVT262147:IVT262148 JFP262147:JFP262148 JPL262147:JPL262148 JZH262147:JZH262148 KJD262147:KJD262148 KSZ262147:KSZ262148 LCV262147:LCV262148 LMR262147:LMR262148 LWN262147:LWN262148 MGJ262147:MGJ262148 MQF262147:MQF262148 NAB262147:NAB262148 NJX262147:NJX262148 NTT262147:NTT262148 ODP262147:ODP262148 ONL262147:ONL262148 OXH262147:OXH262148 PHD262147:PHD262148 PQZ262147:PQZ262148 QAV262147:QAV262148 QKR262147:QKR262148 QUN262147:QUN262148 REJ262147:REJ262148 ROF262147:ROF262148 RYB262147:RYB262148 SHX262147:SHX262148 SRT262147:SRT262148 TBP262147:TBP262148 TLL262147:TLL262148 TVH262147:TVH262148 UFD262147:UFD262148 UOZ262147:UOZ262148 UYV262147:UYV262148 VIR262147:VIR262148 VSN262147:VSN262148 WCJ262147:WCJ262148 WMF262147:WMF262148 WWB262147:WWB262148 AB327683:AB327684 JP327683:JP327684 TL327683:TL327684 ADH327683:ADH327684 AND327683:AND327684 AWZ327683:AWZ327684 BGV327683:BGV327684 BQR327683:BQR327684 CAN327683:CAN327684 CKJ327683:CKJ327684 CUF327683:CUF327684 DEB327683:DEB327684 DNX327683:DNX327684 DXT327683:DXT327684 EHP327683:EHP327684 ERL327683:ERL327684 FBH327683:FBH327684 FLD327683:FLD327684 FUZ327683:FUZ327684 GEV327683:GEV327684 GOR327683:GOR327684 GYN327683:GYN327684 HIJ327683:HIJ327684 HSF327683:HSF327684 ICB327683:ICB327684 ILX327683:ILX327684 IVT327683:IVT327684 JFP327683:JFP327684 JPL327683:JPL327684 JZH327683:JZH327684 KJD327683:KJD327684 KSZ327683:KSZ327684 LCV327683:LCV327684 LMR327683:LMR327684 LWN327683:LWN327684 MGJ327683:MGJ327684 MQF327683:MQF327684 NAB327683:NAB327684 NJX327683:NJX327684 NTT327683:NTT327684 ODP327683:ODP327684 ONL327683:ONL327684 OXH327683:OXH327684 PHD327683:PHD327684 PQZ327683:PQZ327684 QAV327683:QAV327684 QKR327683:QKR327684 QUN327683:QUN327684 REJ327683:REJ327684 ROF327683:ROF327684 RYB327683:RYB327684 SHX327683:SHX327684 SRT327683:SRT327684 TBP327683:TBP327684 TLL327683:TLL327684 TVH327683:TVH327684 UFD327683:UFD327684 UOZ327683:UOZ327684 UYV327683:UYV327684 VIR327683:VIR327684 VSN327683:VSN327684 WCJ327683:WCJ327684 WMF327683:WMF327684 WWB327683:WWB327684 AB393219:AB393220 JP393219:JP393220 TL393219:TL393220 ADH393219:ADH393220 AND393219:AND393220 AWZ393219:AWZ393220 BGV393219:BGV393220 BQR393219:BQR393220 CAN393219:CAN393220 CKJ393219:CKJ393220 CUF393219:CUF393220 DEB393219:DEB393220 DNX393219:DNX393220 DXT393219:DXT393220 EHP393219:EHP393220 ERL393219:ERL393220 FBH393219:FBH393220 FLD393219:FLD393220 FUZ393219:FUZ393220 GEV393219:GEV393220 GOR393219:GOR393220 GYN393219:GYN393220 HIJ393219:HIJ393220 HSF393219:HSF393220 ICB393219:ICB393220 ILX393219:ILX393220 IVT393219:IVT393220 JFP393219:JFP393220 JPL393219:JPL393220 JZH393219:JZH393220 KJD393219:KJD393220 KSZ393219:KSZ393220 LCV393219:LCV393220 LMR393219:LMR393220 LWN393219:LWN393220 MGJ393219:MGJ393220 MQF393219:MQF393220 NAB393219:NAB393220 NJX393219:NJX393220 NTT393219:NTT393220 ODP393219:ODP393220 ONL393219:ONL393220 OXH393219:OXH393220 PHD393219:PHD393220 PQZ393219:PQZ393220 QAV393219:QAV393220 QKR393219:QKR393220 QUN393219:QUN393220 REJ393219:REJ393220 ROF393219:ROF393220 RYB393219:RYB393220 SHX393219:SHX393220 SRT393219:SRT393220 TBP393219:TBP393220 TLL393219:TLL393220 TVH393219:TVH393220 UFD393219:UFD393220 UOZ393219:UOZ393220 UYV393219:UYV393220 VIR393219:VIR393220 VSN393219:VSN393220 WCJ393219:WCJ393220 WMF393219:WMF393220 WWB393219:WWB393220 AB458755:AB458756 JP458755:JP458756 TL458755:TL458756 ADH458755:ADH458756 AND458755:AND458756 AWZ458755:AWZ458756 BGV458755:BGV458756 BQR458755:BQR458756 CAN458755:CAN458756 CKJ458755:CKJ458756 CUF458755:CUF458756 DEB458755:DEB458756 DNX458755:DNX458756 DXT458755:DXT458756 EHP458755:EHP458756 ERL458755:ERL458756 FBH458755:FBH458756 FLD458755:FLD458756 FUZ458755:FUZ458756 GEV458755:GEV458756 GOR458755:GOR458756 GYN458755:GYN458756 HIJ458755:HIJ458756 HSF458755:HSF458756 ICB458755:ICB458756 ILX458755:ILX458756 IVT458755:IVT458756 JFP458755:JFP458756 JPL458755:JPL458756 JZH458755:JZH458756 KJD458755:KJD458756 KSZ458755:KSZ458756 LCV458755:LCV458756 LMR458755:LMR458756 LWN458755:LWN458756 MGJ458755:MGJ458756 MQF458755:MQF458756 NAB458755:NAB458756 NJX458755:NJX458756 NTT458755:NTT458756 ODP458755:ODP458756 ONL458755:ONL458756 OXH458755:OXH458756 PHD458755:PHD458756 PQZ458755:PQZ458756 QAV458755:QAV458756 QKR458755:QKR458756 QUN458755:QUN458756 REJ458755:REJ458756 ROF458755:ROF458756 RYB458755:RYB458756 SHX458755:SHX458756 SRT458755:SRT458756 TBP458755:TBP458756 TLL458755:TLL458756 TVH458755:TVH458756 UFD458755:UFD458756 UOZ458755:UOZ458756 UYV458755:UYV458756 VIR458755:VIR458756 VSN458755:VSN458756 WCJ458755:WCJ458756 WMF458755:WMF458756 WWB458755:WWB458756 AB524291:AB524292 JP524291:JP524292 TL524291:TL524292 ADH524291:ADH524292 AND524291:AND524292 AWZ524291:AWZ524292 BGV524291:BGV524292 BQR524291:BQR524292 CAN524291:CAN524292 CKJ524291:CKJ524292 CUF524291:CUF524292 DEB524291:DEB524292 DNX524291:DNX524292 DXT524291:DXT524292 EHP524291:EHP524292 ERL524291:ERL524292 FBH524291:FBH524292 FLD524291:FLD524292 FUZ524291:FUZ524292 GEV524291:GEV524292 GOR524291:GOR524292 GYN524291:GYN524292 HIJ524291:HIJ524292 HSF524291:HSF524292 ICB524291:ICB524292 ILX524291:ILX524292 IVT524291:IVT524292 JFP524291:JFP524292 JPL524291:JPL524292 JZH524291:JZH524292 KJD524291:KJD524292 KSZ524291:KSZ524292 LCV524291:LCV524292 LMR524291:LMR524292 LWN524291:LWN524292 MGJ524291:MGJ524292 MQF524291:MQF524292 NAB524291:NAB524292 NJX524291:NJX524292 NTT524291:NTT524292 ODP524291:ODP524292 ONL524291:ONL524292 OXH524291:OXH524292 PHD524291:PHD524292 PQZ524291:PQZ524292 QAV524291:QAV524292 QKR524291:QKR524292 QUN524291:QUN524292 REJ524291:REJ524292 ROF524291:ROF524292 RYB524291:RYB524292 SHX524291:SHX524292 SRT524291:SRT524292 TBP524291:TBP524292 TLL524291:TLL524292 TVH524291:TVH524292 UFD524291:UFD524292 UOZ524291:UOZ524292 UYV524291:UYV524292 VIR524291:VIR524292 VSN524291:VSN524292 WCJ524291:WCJ524292 WMF524291:WMF524292 WWB524291:WWB524292 AB589827:AB589828 JP589827:JP589828 TL589827:TL589828 ADH589827:ADH589828 AND589827:AND589828 AWZ589827:AWZ589828 BGV589827:BGV589828 BQR589827:BQR589828 CAN589827:CAN589828 CKJ589827:CKJ589828 CUF589827:CUF589828 DEB589827:DEB589828 DNX589827:DNX589828 DXT589827:DXT589828 EHP589827:EHP589828 ERL589827:ERL589828 FBH589827:FBH589828 FLD589827:FLD589828 FUZ589827:FUZ589828 GEV589827:GEV589828 GOR589827:GOR589828 GYN589827:GYN589828 HIJ589827:HIJ589828 HSF589827:HSF589828 ICB589827:ICB589828 ILX589827:ILX589828 IVT589827:IVT589828 JFP589827:JFP589828 JPL589827:JPL589828 JZH589827:JZH589828 KJD589827:KJD589828 KSZ589827:KSZ589828 LCV589827:LCV589828 LMR589827:LMR589828 LWN589827:LWN589828 MGJ589827:MGJ589828 MQF589827:MQF589828 NAB589827:NAB589828 NJX589827:NJX589828 NTT589827:NTT589828 ODP589827:ODP589828 ONL589827:ONL589828 OXH589827:OXH589828 PHD589827:PHD589828 PQZ589827:PQZ589828 QAV589827:QAV589828 QKR589827:QKR589828 QUN589827:QUN589828 REJ589827:REJ589828 ROF589827:ROF589828 RYB589827:RYB589828 SHX589827:SHX589828 SRT589827:SRT589828 TBP589827:TBP589828 TLL589827:TLL589828 TVH589827:TVH589828 UFD589827:UFD589828 UOZ589827:UOZ589828 UYV589827:UYV589828 VIR589827:VIR589828 VSN589827:VSN589828 WCJ589827:WCJ589828 WMF589827:WMF589828 WWB589827:WWB589828 AB655363:AB655364 JP655363:JP655364 TL655363:TL655364 ADH655363:ADH655364 AND655363:AND655364 AWZ655363:AWZ655364 BGV655363:BGV655364 BQR655363:BQR655364 CAN655363:CAN655364 CKJ655363:CKJ655364 CUF655363:CUF655364 DEB655363:DEB655364 DNX655363:DNX655364 DXT655363:DXT655364 EHP655363:EHP655364 ERL655363:ERL655364 FBH655363:FBH655364 FLD655363:FLD655364 FUZ655363:FUZ655364 GEV655363:GEV655364 GOR655363:GOR655364 GYN655363:GYN655364 HIJ655363:HIJ655364 HSF655363:HSF655364 ICB655363:ICB655364 ILX655363:ILX655364 IVT655363:IVT655364 JFP655363:JFP655364 JPL655363:JPL655364 JZH655363:JZH655364 KJD655363:KJD655364 KSZ655363:KSZ655364 LCV655363:LCV655364 LMR655363:LMR655364 LWN655363:LWN655364 MGJ655363:MGJ655364 MQF655363:MQF655364 NAB655363:NAB655364 NJX655363:NJX655364 NTT655363:NTT655364 ODP655363:ODP655364 ONL655363:ONL655364 OXH655363:OXH655364 PHD655363:PHD655364 PQZ655363:PQZ655364 QAV655363:QAV655364 QKR655363:QKR655364 QUN655363:QUN655364 REJ655363:REJ655364 ROF655363:ROF655364 RYB655363:RYB655364 SHX655363:SHX655364 SRT655363:SRT655364 TBP655363:TBP655364 TLL655363:TLL655364 TVH655363:TVH655364 UFD655363:UFD655364 UOZ655363:UOZ655364 UYV655363:UYV655364 VIR655363:VIR655364 VSN655363:VSN655364 WCJ655363:WCJ655364 WMF655363:WMF655364 WWB655363:WWB655364 AB720899:AB720900 JP720899:JP720900 TL720899:TL720900 ADH720899:ADH720900 AND720899:AND720900 AWZ720899:AWZ720900 BGV720899:BGV720900 BQR720899:BQR720900 CAN720899:CAN720900 CKJ720899:CKJ720900 CUF720899:CUF720900 DEB720899:DEB720900 DNX720899:DNX720900 DXT720899:DXT720900 EHP720899:EHP720900 ERL720899:ERL720900 FBH720899:FBH720900 FLD720899:FLD720900 FUZ720899:FUZ720900 GEV720899:GEV720900 GOR720899:GOR720900 GYN720899:GYN720900 HIJ720899:HIJ720900 HSF720899:HSF720900 ICB720899:ICB720900 ILX720899:ILX720900 IVT720899:IVT720900 JFP720899:JFP720900 JPL720899:JPL720900 JZH720899:JZH720900 KJD720899:KJD720900 KSZ720899:KSZ720900 LCV720899:LCV720900 LMR720899:LMR720900 LWN720899:LWN720900 MGJ720899:MGJ720900 MQF720899:MQF720900 NAB720899:NAB720900 NJX720899:NJX720900 NTT720899:NTT720900 ODP720899:ODP720900 ONL720899:ONL720900 OXH720899:OXH720900 PHD720899:PHD720900 PQZ720899:PQZ720900 QAV720899:QAV720900 QKR720899:QKR720900 QUN720899:QUN720900 REJ720899:REJ720900 ROF720899:ROF720900 RYB720899:RYB720900 SHX720899:SHX720900 SRT720899:SRT720900 TBP720899:TBP720900 TLL720899:TLL720900 TVH720899:TVH720900 UFD720899:UFD720900 UOZ720899:UOZ720900 UYV720899:UYV720900 VIR720899:VIR720900 VSN720899:VSN720900 WCJ720899:WCJ720900 WMF720899:WMF720900 WWB720899:WWB720900 AB786435:AB786436 JP786435:JP786436 TL786435:TL786436 ADH786435:ADH786436 AND786435:AND786436 AWZ786435:AWZ786436 BGV786435:BGV786436 BQR786435:BQR786436 CAN786435:CAN786436 CKJ786435:CKJ786436 CUF786435:CUF786436 DEB786435:DEB786436 DNX786435:DNX786436 DXT786435:DXT786436 EHP786435:EHP786436 ERL786435:ERL786436 FBH786435:FBH786436 FLD786435:FLD786436 FUZ786435:FUZ786436 GEV786435:GEV786436 GOR786435:GOR786436 GYN786435:GYN786436 HIJ786435:HIJ786436 HSF786435:HSF786436 ICB786435:ICB786436 ILX786435:ILX786436 IVT786435:IVT786436 JFP786435:JFP786436 JPL786435:JPL786436 JZH786435:JZH786436 KJD786435:KJD786436 KSZ786435:KSZ786436 LCV786435:LCV786436 LMR786435:LMR786436 LWN786435:LWN786436 MGJ786435:MGJ786436 MQF786435:MQF786436 NAB786435:NAB786436 NJX786435:NJX786436 NTT786435:NTT786436 ODP786435:ODP786436 ONL786435:ONL786436 OXH786435:OXH786436 PHD786435:PHD786436 PQZ786435:PQZ786436 QAV786435:QAV786436 QKR786435:QKR786436 QUN786435:QUN786436 REJ786435:REJ786436 ROF786435:ROF786436 RYB786435:RYB786436 SHX786435:SHX786436 SRT786435:SRT786436 TBP786435:TBP786436 TLL786435:TLL786436 TVH786435:TVH786436 UFD786435:UFD786436 UOZ786435:UOZ786436 UYV786435:UYV786436 VIR786435:VIR786436 VSN786435:VSN786436 WCJ786435:WCJ786436 WMF786435:WMF786436 WWB786435:WWB786436 AB851971:AB851972 JP851971:JP851972 TL851971:TL851972 ADH851971:ADH851972 AND851971:AND851972 AWZ851971:AWZ851972 BGV851971:BGV851972 BQR851971:BQR851972 CAN851971:CAN851972 CKJ851971:CKJ851972 CUF851971:CUF851972 DEB851971:DEB851972 DNX851971:DNX851972 DXT851971:DXT851972 EHP851971:EHP851972 ERL851971:ERL851972 FBH851971:FBH851972 FLD851971:FLD851972 FUZ851971:FUZ851972 GEV851971:GEV851972 GOR851971:GOR851972 GYN851971:GYN851972 HIJ851971:HIJ851972 HSF851971:HSF851972 ICB851971:ICB851972 ILX851971:ILX851972 IVT851971:IVT851972 JFP851971:JFP851972 JPL851971:JPL851972 JZH851971:JZH851972 KJD851971:KJD851972 KSZ851971:KSZ851972 LCV851971:LCV851972 LMR851971:LMR851972 LWN851971:LWN851972 MGJ851971:MGJ851972 MQF851971:MQF851972 NAB851971:NAB851972 NJX851971:NJX851972 NTT851971:NTT851972 ODP851971:ODP851972 ONL851971:ONL851972 OXH851971:OXH851972 PHD851971:PHD851972 PQZ851971:PQZ851972 QAV851971:QAV851972 QKR851971:QKR851972 QUN851971:QUN851972 REJ851971:REJ851972 ROF851971:ROF851972 RYB851971:RYB851972 SHX851971:SHX851972 SRT851971:SRT851972 TBP851971:TBP851972 TLL851971:TLL851972 TVH851971:TVH851972 UFD851971:UFD851972 UOZ851971:UOZ851972 UYV851971:UYV851972 VIR851971:VIR851972 VSN851971:VSN851972 WCJ851971:WCJ851972 WMF851971:WMF851972 WWB851971:WWB851972 AB917507:AB917508 JP917507:JP917508 TL917507:TL917508 ADH917507:ADH917508 AND917507:AND917508 AWZ917507:AWZ917508 BGV917507:BGV917508 BQR917507:BQR917508 CAN917507:CAN917508 CKJ917507:CKJ917508 CUF917507:CUF917508 DEB917507:DEB917508 DNX917507:DNX917508 DXT917507:DXT917508 EHP917507:EHP917508 ERL917507:ERL917508 FBH917507:FBH917508 FLD917507:FLD917508 FUZ917507:FUZ917508 GEV917507:GEV917508 GOR917507:GOR917508 GYN917507:GYN917508 HIJ917507:HIJ917508 HSF917507:HSF917508 ICB917507:ICB917508 ILX917507:ILX917508 IVT917507:IVT917508 JFP917507:JFP917508 JPL917507:JPL917508 JZH917507:JZH917508 KJD917507:KJD917508 KSZ917507:KSZ917508 LCV917507:LCV917508 LMR917507:LMR917508 LWN917507:LWN917508 MGJ917507:MGJ917508 MQF917507:MQF917508 NAB917507:NAB917508 NJX917507:NJX917508 NTT917507:NTT917508 ODP917507:ODP917508 ONL917507:ONL917508 OXH917507:OXH917508 PHD917507:PHD917508 PQZ917507:PQZ917508 QAV917507:QAV917508 QKR917507:QKR917508 QUN917507:QUN917508 REJ917507:REJ917508 ROF917507:ROF917508 RYB917507:RYB917508 SHX917507:SHX917508 SRT917507:SRT917508 TBP917507:TBP917508 TLL917507:TLL917508 TVH917507:TVH917508 UFD917507:UFD917508 UOZ917507:UOZ917508 UYV917507:UYV917508 VIR917507:VIR917508 VSN917507:VSN917508 WCJ917507:WCJ917508 WMF917507:WMF917508 WWB917507:WWB917508 AB983043:AB983044 JP983043:JP983044 TL983043:TL983044 ADH983043:ADH983044 AND983043:AND983044 AWZ983043:AWZ983044 BGV983043:BGV983044 BQR983043:BQR983044 CAN983043:CAN983044 CKJ983043:CKJ983044 CUF983043:CUF983044 DEB983043:DEB983044 DNX983043:DNX983044 DXT983043:DXT983044 EHP983043:EHP983044 ERL983043:ERL983044 FBH983043:FBH983044 FLD983043:FLD983044 FUZ983043:FUZ983044 GEV983043:GEV983044 GOR983043:GOR983044 GYN983043:GYN983044 HIJ983043:HIJ983044 HSF983043:HSF983044 ICB983043:ICB983044 ILX983043:ILX983044 IVT983043:IVT983044 JFP983043:JFP983044 JPL983043:JPL983044 JZH983043:JZH983044 KJD983043:KJD983044 KSZ983043:KSZ983044 LCV983043:LCV983044 LMR983043:LMR983044 LWN983043:LWN983044 MGJ983043:MGJ983044 MQF983043:MQF983044 NAB983043:NAB983044 NJX983043:NJX983044 NTT983043:NTT983044 ODP983043:ODP983044 ONL983043:ONL983044 OXH983043:OXH983044 PHD983043:PHD983044 PQZ983043:PQZ983044 QAV983043:QAV983044 QKR983043:QKR983044 QUN983043:QUN983044 REJ983043:REJ983044 ROF983043:ROF983044 RYB983043:RYB983044 SHX983043:SHX983044 SRT983043:SRT983044 TBP983043:TBP983044 TLL983043:TLL983044 TVH983043:TVH983044 UFD983043:UFD983044 UOZ983043:UOZ983044 UYV983043:UYV983044 VIR983043:VIR983044 VSN983043:VSN983044 WCJ983043:WCJ983044 WMF983043:WMF983044 WWB983043:WWB983044 AD65539:AD65540 JS65539:JS65540 TO65539:TO65540 ADK65539:ADK65540 ANG65539:ANG65540 AXC65539:AXC65540 BGY65539:BGY65540 BQU65539:BQU65540 CAQ65539:CAQ65540 CKM65539:CKM65540 CUI65539:CUI65540 DEE65539:DEE65540 DOA65539:DOA65540 DXW65539:DXW65540 EHS65539:EHS65540 ERO65539:ERO65540 FBK65539:FBK65540 FLG65539:FLG65540 FVC65539:FVC65540 GEY65539:GEY65540 GOU65539:GOU65540 GYQ65539:GYQ65540 HIM65539:HIM65540 HSI65539:HSI65540 ICE65539:ICE65540 IMA65539:IMA65540 IVW65539:IVW65540 JFS65539:JFS65540 JPO65539:JPO65540 JZK65539:JZK65540 KJG65539:KJG65540 KTC65539:KTC65540 LCY65539:LCY65540 LMU65539:LMU65540 LWQ65539:LWQ65540 MGM65539:MGM65540 MQI65539:MQI65540 NAE65539:NAE65540 NKA65539:NKA65540 NTW65539:NTW65540 ODS65539:ODS65540 ONO65539:ONO65540 OXK65539:OXK65540 PHG65539:PHG65540 PRC65539:PRC65540 QAY65539:QAY65540 QKU65539:QKU65540 QUQ65539:QUQ65540 REM65539:REM65540 ROI65539:ROI65540 RYE65539:RYE65540 SIA65539:SIA65540 SRW65539:SRW65540 TBS65539:TBS65540 TLO65539:TLO65540 TVK65539:TVK65540 UFG65539:UFG65540 UPC65539:UPC65540 UYY65539:UYY65540 VIU65539:VIU65540 VSQ65539:VSQ65540 WCM65539:WCM65540 WMI65539:WMI65540 WWE65539:WWE65540 AD131075:AD131076 JS131075:JS131076 TO131075:TO131076 ADK131075:ADK131076 ANG131075:ANG131076 AXC131075:AXC131076 BGY131075:BGY131076 BQU131075:BQU131076 CAQ131075:CAQ131076 CKM131075:CKM131076 CUI131075:CUI131076 DEE131075:DEE131076 DOA131075:DOA131076 DXW131075:DXW131076 EHS131075:EHS131076 ERO131075:ERO131076 FBK131075:FBK131076 FLG131075:FLG131076 FVC131075:FVC131076 GEY131075:GEY131076 GOU131075:GOU131076 GYQ131075:GYQ131076 HIM131075:HIM131076 HSI131075:HSI131076 ICE131075:ICE131076 IMA131075:IMA131076 IVW131075:IVW131076 JFS131075:JFS131076 JPO131075:JPO131076 JZK131075:JZK131076 KJG131075:KJG131076 KTC131075:KTC131076 LCY131075:LCY131076 LMU131075:LMU131076 LWQ131075:LWQ131076 MGM131075:MGM131076 MQI131075:MQI131076 NAE131075:NAE131076 NKA131075:NKA131076 NTW131075:NTW131076 ODS131075:ODS131076 ONO131075:ONO131076 OXK131075:OXK131076 PHG131075:PHG131076 PRC131075:PRC131076 QAY131075:QAY131076 QKU131075:QKU131076 QUQ131075:QUQ131076 REM131075:REM131076 ROI131075:ROI131076 RYE131075:RYE131076 SIA131075:SIA131076 SRW131075:SRW131076 TBS131075:TBS131076 TLO131075:TLO131076 TVK131075:TVK131076 UFG131075:UFG131076 UPC131075:UPC131076 UYY131075:UYY131076 VIU131075:VIU131076 VSQ131075:VSQ131076 WCM131075:WCM131076 WMI131075:WMI131076 WWE131075:WWE131076 AD196611:AD196612 JS196611:JS196612 TO196611:TO196612 ADK196611:ADK196612 ANG196611:ANG196612 AXC196611:AXC196612 BGY196611:BGY196612 BQU196611:BQU196612 CAQ196611:CAQ196612 CKM196611:CKM196612 CUI196611:CUI196612 DEE196611:DEE196612 DOA196611:DOA196612 DXW196611:DXW196612 EHS196611:EHS196612 ERO196611:ERO196612 FBK196611:FBK196612 FLG196611:FLG196612 FVC196611:FVC196612 GEY196611:GEY196612 GOU196611:GOU196612 GYQ196611:GYQ196612 HIM196611:HIM196612 HSI196611:HSI196612 ICE196611:ICE196612 IMA196611:IMA196612 IVW196611:IVW196612 JFS196611:JFS196612 JPO196611:JPO196612 JZK196611:JZK196612 KJG196611:KJG196612 KTC196611:KTC196612 LCY196611:LCY196612 LMU196611:LMU196612 LWQ196611:LWQ196612 MGM196611:MGM196612 MQI196611:MQI196612 NAE196611:NAE196612 NKA196611:NKA196612 NTW196611:NTW196612 ODS196611:ODS196612 ONO196611:ONO196612 OXK196611:OXK196612 PHG196611:PHG196612 PRC196611:PRC196612 QAY196611:QAY196612 QKU196611:QKU196612 QUQ196611:QUQ196612 REM196611:REM196612 ROI196611:ROI196612 RYE196611:RYE196612 SIA196611:SIA196612 SRW196611:SRW196612 TBS196611:TBS196612 TLO196611:TLO196612 TVK196611:TVK196612 UFG196611:UFG196612 UPC196611:UPC196612 UYY196611:UYY196612 VIU196611:VIU196612 VSQ196611:VSQ196612 WCM196611:WCM196612 WMI196611:WMI196612 WWE196611:WWE196612 AD262147:AD262148 JS262147:JS262148 TO262147:TO262148 ADK262147:ADK262148 ANG262147:ANG262148 AXC262147:AXC262148 BGY262147:BGY262148 BQU262147:BQU262148 CAQ262147:CAQ262148 CKM262147:CKM262148 CUI262147:CUI262148 DEE262147:DEE262148 DOA262147:DOA262148 DXW262147:DXW262148 EHS262147:EHS262148 ERO262147:ERO262148 FBK262147:FBK262148 FLG262147:FLG262148 FVC262147:FVC262148 GEY262147:GEY262148 GOU262147:GOU262148 GYQ262147:GYQ262148 HIM262147:HIM262148 HSI262147:HSI262148 ICE262147:ICE262148 IMA262147:IMA262148 IVW262147:IVW262148 JFS262147:JFS262148 JPO262147:JPO262148 JZK262147:JZK262148 KJG262147:KJG262148 KTC262147:KTC262148 LCY262147:LCY262148 LMU262147:LMU262148 LWQ262147:LWQ262148 MGM262147:MGM262148 MQI262147:MQI262148 NAE262147:NAE262148 NKA262147:NKA262148 NTW262147:NTW262148 ODS262147:ODS262148 ONO262147:ONO262148 OXK262147:OXK262148 PHG262147:PHG262148 PRC262147:PRC262148 QAY262147:QAY262148 QKU262147:QKU262148 QUQ262147:QUQ262148 REM262147:REM262148 ROI262147:ROI262148 RYE262147:RYE262148 SIA262147:SIA262148 SRW262147:SRW262148 TBS262147:TBS262148 TLO262147:TLO262148 TVK262147:TVK262148 UFG262147:UFG262148 UPC262147:UPC262148 UYY262147:UYY262148 VIU262147:VIU262148 VSQ262147:VSQ262148 WCM262147:WCM262148 WMI262147:WMI262148 WWE262147:WWE262148 AD327683:AD327684 JS327683:JS327684 TO327683:TO327684 ADK327683:ADK327684 ANG327683:ANG327684 AXC327683:AXC327684 BGY327683:BGY327684 BQU327683:BQU327684 CAQ327683:CAQ327684 CKM327683:CKM327684 CUI327683:CUI327684 DEE327683:DEE327684 DOA327683:DOA327684 DXW327683:DXW327684 EHS327683:EHS327684 ERO327683:ERO327684 FBK327683:FBK327684 FLG327683:FLG327684 FVC327683:FVC327684 GEY327683:GEY327684 GOU327683:GOU327684 GYQ327683:GYQ327684 HIM327683:HIM327684 HSI327683:HSI327684 ICE327683:ICE327684 IMA327683:IMA327684 IVW327683:IVW327684 JFS327683:JFS327684 JPO327683:JPO327684 JZK327683:JZK327684 KJG327683:KJG327684 KTC327683:KTC327684 LCY327683:LCY327684 LMU327683:LMU327684 LWQ327683:LWQ327684 MGM327683:MGM327684 MQI327683:MQI327684 NAE327683:NAE327684 NKA327683:NKA327684 NTW327683:NTW327684 ODS327683:ODS327684 ONO327683:ONO327684 OXK327683:OXK327684 PHG327683:PHG327684 PRC327683:PRC327684 QAY327683:QAY327684 QKU327683:QKU327684 QUQ327683:QUQ327684 REM327683:REM327684 ROI327683:ROI327684 RYE327683:RYE327684 SIA327683:SIA327684 SRW327683:SRW327684 TBS327683:TBS327684 TLO327683:TLO327684 TVK327683:TVK327684 UFG327683:UFG327684 UPC327683:UPC327684 UYY327683:UYY327684 VIU327683:VIU327684 VSQ327683:VSQ327684 WCM327683:WCM327684 WMI327683:WMI327684 WWE327683:WWE327684 AD393219:AD393220 JS393219:JS393220 TO393219:TO393220 ADK393219:ADK393220 ANG393219:ANG393220 AXC393219:AXC393220 BGY393219:BGY393220 BQU393219:BQU393220 CAQ393219:CAQ393220 CKM393219:CKM393220 CUI393219:CUI393220 DEE393219:DEE393220 DOA393219:DOA393220 DXW393219:DXW393220 EHS393219:EHS393220 ERO393219:ERO393220 FBK393219:FBK393220 FLG393219:FLG393220 FVC393219:FVC393220 GEY393219:GEY393220 GOU393219:GOU393220 GYQ393219:GYQ393220 HIM393219:HIM393220 HSI393219:HSI393220 ICE393219:ICE393220 IMA393219:IMA393220 IVW393219:IVW393220 JFS393219:JFS393220 JPO393219:JPO393220 JZK393219:JZK393220 KJG393219:KJG393220 KTC393219:KTC393220 LCY393219:LCY393220 LMU393219:LMU393220 LWQ393219:LWQ393220 MGM393219:MGM393220 MQI393219:MQI393220 NAE393219:NAE393220 NKA393219:NKA393220 NTW393219:NTW393220 ODS393219:ODS393220 ONO393219:ONO393220 OXK393219:OXK393220 PHG393219:PHG393220 PRC393219:PRC393220 QAY393219:QAY393220 QKU393219:QKU393220 QUQ393219:QUQ393220 REM393219:REM393220 ROI393219:ROI393220 RYE393219:RYE393220 SIA393219:SIA393220 SRW393219:SRW393220 TBS393219:TBS393220 TLO393219:TLO393220 TVK393219:TVK393220 UFG393219:UFG393220 UPC393219:UPC393220 UYY393219:UYY393220 VIU393219:VIU393220 VSQ393219:VSQ393220 WCM393219:WCM393220 WMI393219:WMI393220 WWE393219:WWE393220 AD458755:AD458756 JS458755:JS458756 TO458755:TO458756 ADK458755:ADK458756 ANG458755:ANG458756 AXC458755:AXC458756 BGY458755:BGY458756 BQU458755:BQU458756 CAQ458755:CAQ458756 CKM458755:CKM458756 CUI458755:CUI458756 DEE458755:DEE458756 DOA458755:DOA458756 DXW458755:DXW458756 EHS458755:EHS458756 ERO458755:ERO458756 FBK458755:FBK458756 FLG458755:FLG458756 FVC458755:FVC458756 GEY458755:GEY458756 GOU458755:GOU458756 GYQ458755:GYQ458756 HIM458755:HIM458756 HSI458755:HSI458756 ICE458755:ICE458756 IMA458755:IMA458756 IVW458755:IVW458756 JFS458755:JFS458756 JPO458755:JPO458756 JZK458755:JZK458756 KJG458755:KJG458756 KTC458755:KTC458756 LCY458755:LCY458756 LMU458755:LMU458756 LWQ458755:LWQ458756 MGM458755:MGM458756 MQI458755:MQI458756 NAE458755:NAE458756 NKA458755:NKA458756 NTW458755:NTW458756 ODS458755:ODS458756 ONO458755:ONO458756 OXK458755:OXK458756 PHG458755:PHG458756 PRC458755:PRC458756 QAY458755:QAY458756 QKU458755:QKU458756 QUQ458755:QUQ458756 REM458755:REM458756 ROI458755:ROI458756 RYE458755:RYE458756 SIA458755:SIA458756 SRW458755:SRW458756 TBS458755:TBS458756 TLO458755:TLO458756 TVK458755:TVK458756 UFG458755:UFG458756 UPC458755:UPC458756 UYY458755:UYY458756 VIU458755:VIU458756 VSQ458755:VSQ458756 WCM458755:WCM458756 WMI458755:WMI458756 WWE458755:WWE458756 AD524291:AD524292 JS524291:JS524292 TO524291:TO524292 ADK524291:ADK524292 ANG524291:ANG524292 AXC524291:AXC524292 BGY524291:BGY524292 BQU524291:BQU524292 CAQ524291:CAQ524292 CKM524291:CKM524292 CUI524291:CUI524292 DEE524291:DEE524292 DOA524291:DOA524292 DXW524291:DXW524292 EHS524291:EHS524292 ERO524291:ERO524292 FBK524291:FBK524292 FLG524291:FLG524292 FVC524291:FVC524292 GEY524291:GEY524292 GOU524291:GOU524292 GYQ524291:GYQ524292 HIM524291:HIM524292 HSI524291:HSI524292 ICE524291:ICE524292 IMA524291:IMA524292 IVW524291:IVW524292 JFS524291:JFS524292 JPO524291:JPO524292 JZK524291:JZK524292 KJG524291:KJG524292 KTC524291:KTC524292 LCY524291:LCY524292 LMU524291:LMU524292 LWQ524291:LWQ524292 MGM524291:MGM524292 MQI524291:MQI524292 NAE524291:NAE524292 NKA524291:NKA524292 NTW524291:NTW524292 ODS524291:ODS524292 ONO524291:ONO524292 OXK524291:OXK524292 PHG524291:PHG524292 PRC524291:PRC524292 QAY524291:QAY524292 QKU524291:QKU524292 QUQ524291:QUQ524292 REM524291:REM524292 ROI524291:ROI524292 RYE524291:RYE524292 SIA524291:SIA524292 SRW524291:SRW524292 TBS524291:TBS524292 TLO524291:TLO524292 TVK524291:TVK524292 UFG524291:UFG524292 UPC524291:UPC524292 UYY524291:UYY524292 VIU524291:VIU524292 VSQ524291:VSQ524292 WCM524291:WCM524292 WMI524291:WMI524292 WWE524291:WWE524292 AD589827:AD589828 JS589827:JS589828 TO589827:TO589828 ADK589827:ADK589828 ANG589827:ANG589828 AXC589827:AXC589828 BGY589827:BGY589828 BQU589827:BQU589828 CAQ589827:CAQ589828 CKM589827:CKM589828 CUI589827:CUI589828 DEE589827:DEE589828 DOA589827:DOA589828 DXW589827:DXW589828 EHS589827:EHS589828 ERO589827:ERO589828 FBK589827:FBK589828 FLG589827:FLG589828 FVC589827:FVC589828 GEY589827:GEY589828 GOU589827:GOU589828 GYQ589827:GYQ589828 HIM589827:HIM589828 HSI589827:HSI589828 ICE589827:ICE589828 IMA589827:IMA589828 IVW589827:IVW589828 JFS589827:JFS589828 JPO589827:JPO589828 JZK589827:JZK589828 KJG589827:KJG589828 KTC589827:KTC589828 LCY589827:LCY589828 LMU589827:LMU589828 LWQ589827:LWQ589828 MGM589827:MGM589828 MQI589827:MQI589828 NAE589827:NAE589828 NKA589827:NKA589828 NTW589827:NTW589828 ODS589827:ODS589828 ONO589827:ONO589828 OXK589827:OXK589828 PHG589827:PHG589828 PRC589827:PRC589828 QAY589827:QAY589828 QKU589827:QKU589828 QUQ589827:QUQ589828 REM589827:REM589828 ROI589827:ROI589828 RYE589827:RYE589828 SIA589827:SIA589828 SRW589827:SRW589828 TBS589827:TBS589828 TLO589827:TLO589828 TVK589827:TVK589828 UFG589827:UFG589828 UPC589827:UPC589828 UYY589827:UYY589828 VIU589827:VIU589828 VSQ589827:VSQ589828 WCM589827:WCM589828 WMI589827:WMI589828 WWE589827:WWE589828 AD655363:AD655364 JS655363:JS655364 TO655363:TO655364 ADK655363:ADK655364 ANG655363:ANG655364 AXC655363:AXC655364 BGY655363:BGY655364 BQU655363:BQU655364 CAQ655363:CAQ655364 CKM655363:CKM655364 CUI655363:CUI655364 DEE655363:DEE655364 DOA655363:DOA655364 DXW655363:DXW655364 EHS655363:EHS655364 ERO655363:ERO655364 FBK655363:FBK655364 FLG655363:FLG655364 FVC655363:FVC655364 GEY655363:GEY655364 GOU655363:GOU655364 GYQ655363:GYQ655364 HIM655363:HIM655364 HSI655363:HSI655364 ICE655363:ICE655364 IMA655363:IMA655364 IVW655363:IVW655364 JFS655363:JFS655364 JPO655363:JPO655364 JZK655363:JZK655364 KJG655363:KJG655364 KTC655363:KTC655364 LCY655363:LCY655364 LMU655363:LMU655364 LWQ655363:LWQ655364 MGM655363:MGM655364 MQI655363:MQI655364 NAE655363:NAE655364 NKA655363:NKA655364 NTW655363:NTW655364 ODS655363:ODS655364 ONO655363:ONO655364 OXK655363:OXK655364 PHG655363:PHG655364 PRC655363:PRC655364 QAY655363:QAY655364 QKU655363:QKU655364 QUQ655363:QUQ655364 REM655363:REM655364 ROI655363:ROI655364 RYE655363:RYE655364 SIA655363:SIA655364 SRW655363:SRW655364 TBS655363:TBS655364 TLO655363:TLO655364 TVK655363:TVK655364 UFG655363:UFG655364 UPC655363:UPC655364 UYY655363:UYY655364 VIU655363:VIU655364 VSQ655363:VSQ655364 WCM655363:WCM655364 WMI655363:WMI655364 WWE655363:WWE655364 AD720899:AD720900 JS720899:JS720900 TO720899:TO720900 ADK720899:ADK720900 ANG720899:ANG720900 AXC720899:AXC720900 BGY720899:BGY720900 BQU720899:BQU720900 CAQ720899:CAQ720900 CKM720899:CKM720900 CUI720899:CUI720900 DEE720899:DEE720900 DOA720899:DOA720900 DXW720899:DXW720900 EHS720899:EHS720900 ERO720899:ERO720900 FBK720899:FBK720900 FLG720899:FLG720900 FVC720899:FVC720900 GEY720899:GEY720900 GOU720899:GOU720900 GYQ720899:GYQ720900 HIM720899:HIM720900 HSI720899:HSI720900 ICE720899:ICE720900 IMA720899:IMA720900 IVW720899:IVW720900 JFS720899:JFS720900 JPO720899:JPO720900 JZK720899:JZK720900 KJG720899:KJG720900 KTC720899:KTC720900 LCY720899:LCY720900 LMU720899:LMU720900 LWQ720899:LWQ720900 MGM720899:MGM720900 MQI720899:MQI720900 NAE720899:NAE720900 NKA720899:NKA720900 NTW720899:NTW720900 ODS720899:ODS720900 ONO720899:ONO720900 OXK720899:OXK720900 PHG720899:PHG720900 PRC720899:PRC720900 QAY720899:QAY720900 QKU720899:QKU720900 QUQ720899:QUQ720900 REM720899:REM720900 ROI720899:ROI720900 RYE720899:RYE720900 SIA720899:SIA720900 SRW720899:SRW720900 TBS720899:TBS720900 TLO720899:TLO720900 TVK720899:TVK720900 UFG720899:UFG720900 UPC720899:UPC720900 UYY720899:UYY720900 VIU720899:VIU720900 VSQ720899:VSQ720900 WCM720899:WCM720900 WMI720899:WMI720900 WWE720899:WWE720900 AD786435:AD786436 JS786435:JS786436 TO786435:TO786436 ADK786435:ADK786436 ANG786435:ANG786436 AXC786435:AXC786436 BGY786435:BGY786436 BQU786435:BQU786436 CAQ786435:CAQ786436 CKM786435:CKM786436 CUI786435:CUI786436 DEE786435:DEE786436 DOA786435:DOA786436 DXW786435:DXW786436 EHS786435:EHS786436 ERO786435:ERO786436 FBK786435:FBK786436 FLG786435:FLG786436 FVC786435:FVC786436 GEY786435:GEY786436 GOU786435:GOU786436 GYQ786435:GYQ786436 HIM786435:HIM786436 HSI786435:HSI786436 ICE786435:ICE786436 IMA786435:IMA786436 IVW786435:IVW786436 JFS786435:JFS786436 JPO786435:JPO786436 JZK786435:JZK786436 KJG786435:KJG786436 KTC786435:KTC786436 LCY786435:LCY786436 LMU786435:LMU786436 LWQ786435:LWQ786436 MGM786435:MGM786436 MQI786435:MQI786436 NAE786435:NAE786436 NKA786435:NKA786436 NTW786435:NTW786436 ODS786435:ODS786436 ONO786435:ONO786436 OXK786435:OXK786436 PHG786435:PHG786436 PRC786435:PRC786436 QAY786435:QAY786436 QKU786435:QKU786436 QUQ786435:QUQ786436 REM786435:REM786436 ROI786435:ROI786436 RYE786435:RYE786436 SIA786435:SIA786436 SRW786435:SRW786436 TBS786435:TBS786436 TLO786435:TLO786436 TVK786435:TVK786436 UFG786435:UFG786436 UPC786435:UPC786436 UYY786435:UYY786436 VIU786435:VIU786436 VSQ786435:VSQ786436 WCM786435:WCM786436 WMI786435:WMI786436 WWE786435:WWE786436 AD851971:AD851972 JS851971:JS851972 TO851971:TO851972 ADK851971:ADK851972 ANG851971:ANG851972 AXC851971:AXC851972 BGY851971:BGY851972 BQU851971:BQU851972 CAQ851971:CAQ851972 CKM851971:CKM851972 CUI851971:CUI851972 DEE851971:DEE851972 DOA851971:DOA851972 DXW851971:DXW851972 EHS851971:EHS851972 ERO851971:ERO851972 FBK851971:FBK851972 FLG851971:FLG851972 FVC851971:FVC851972 GEY851971:GEY851972 GOU851971:GOU851972 GYQ851971:GYQ851972 HIM851971:HIM851972 HSI851971:HSI851972 ICE851971:ICE851972 IMA851971:IMA851972 IVW851971:IVW851972 JFS851971:JFS851972 JPO851971:JPO851972 JZK851971:JZK851972 KJG851971:KJG851972 KTC851971:KTC851972 LCY851971:LCY851972 LMU851971:LMU851972 LWQ851971:LWQ851972 MGM851971:MGM851972 MQI851971:MQI851972 NAE851971:NAE851972 NKA851971:NKA851972 NTW851971:NTW851972 ODS851971:ODS851972 ONO851971:ONO851972 OXK851971:OXK851972 PHG851971:PHG851972 PRC851971:PRC851972 QAY851971:QAY851972 QKU851971:QKU851972 QUQ851971:QUQ851972 REM851971:REM851972 ROI851971:ROI851972 RYE851971:RYE851972 SIA851971:SIA851972 SRW851971:SRW851972 TBS851971:TBS851972 TLO851971:TLO851972 TVK851971:TVK851972 UFG851971:UFG851972 UPC851971:UPC851972 UYY851971:UYY851972 VIU851971:VIU851972 VSQ851971:VSQ851972 WCM851971:WCM851972 WMI851971:WMI851972 WWE851971:WWE851972 AD917507:AD917508 JS917507:JS917508 TO917507:TO917508 ADK917507:ADK917508 ANG917507:ANG917508 AXC917507:AXC917508 BGY917507:BGY917508 BQU917507:BQU917508 CAQ917507:CAQ917508 CKM917507:CKM917508 CUI917507:CUI917508 DEE917507:DEE917508 DOA917507:DOA917508 DXW917507:DXW917508 EHS917507:EHS917508 ERO917507:ERO917508 FBK917507:FBK917508 FLG917507:FLG917508 FVC917507:FVC917508 GEY917507:GEY917508 GOU917507:GOU917508 GYQ917507:GYQ917508 HIM917507:HIM917508 HSI917507:HSI917508 ICE917507:ICE917508 IMA917507:IMA917508 IVW917507:IVW917508 JFS917507:JFS917508 JPO917507:JPO917508 JZK917507:JZK917508 KJG917507:KJG917508 KTC917507:KTC917508 LCY917507:LCY917508 LMU917507:LMU917508 LWQ917507:LWQ917508 MGM917507:MGM917508 MQI917507:MQI917508 NAE917507:NAE917508 NKA917507:NKA917508 NTW917507:NTW917508 ODS917507:ODS917508 ONO917507:ONO917508 OXK917507:OXK917508 PHG917507:PHG917508 PRC917507:PRC917508 QAY917507:QAY917508 QKU917507:QKU917508 QUQ917507:QUQ917508 REM917507:REM917508 ROI917507:ROI917508 RYE917507:RYE917508 SIA917507:SIA917508 SRW917507:SRW917508 TBS917507:TBS917508 TLO917507:TLO917508 TVK917507:TVK917508 UFG917507:UFG917508 UPC917507:UPC917508 UYY917507:UYY917508 VIU917507:VIU917508 VSQ917507:VSQ917508 WCM917507:WCM917508 WMI917507:WMI917508 WWE917507:WWE917508 AD983043:AD983044 JS983043:JS983044 TO983043:TO983044 ADK983043:ADK983044 ANG983043:ANG983044 AXC983043:AXC983044 BGY983043:BGY983044 BQU983043:BQU983044 CAQ983043:CAQ983044 CKM983043:CKM983044 CUI983043:CUI983044 DEE983043:DEE983044 DOA983043:DOA983044 DXW983043:DXW983044 EHS983043:EHS983044 ERO983043:ERO983044 FBK983043:FBK983044 FLG983043:FLG983044 FVC983043:FVC983044 GEY983043:GEY983044 GOU983043:GOU983044 GYQ983043:GYQ983044 HIM983043:HIM983044 HSI983043:HSI983044 ICE983043:ICE983044 IMA983043:IMA983044 IVW983043:IVW983044 JFS983043:JFS983044 JPO983043:JPO983044 JZK983043:JZK983044 KJG983043:KJG983044 KTC983043:KTC983044 LCY983043:LCY983044 LMU983043:LMU983044 LWQ983043:LWQ983044 MGM983043:MGM983044 MQI983043:MQI983044 NAE983043:NAE983044 NKA983043:NKA983044 NTW983043:NTW983044 ODS983043:ODS983044 ONO983043:ONO983044 OXK983043:OXK983044 PHG983043:PHG983044 PRC983043:PRC983044 QAY983043:QAY983044 QKU983043:QKU983044 QUQ983043:QUQ983044 REM983043:REM983044 ROI983043:ROI983044 RYE983043:RYE983044 SIA983043:SIA983044 SRW983043:SRW983044 TBS983043:TBS983044 TLO983043:TLO983044 TVK983043:TVK983044 UFG983043:UFG983044 UPC983043:UPC983044 UYY983043:UYY983044 VIU983043:VIU983044 VSQ983043:VSQ983044 WCM983043:WCM983044 WMI983043:WMI983044 WWE983043:WWE983044 JV65539:JV65540 TR65539:TR65540 ADN65539:ADN65540 ANJ65539:ANJ65540 AXF65539:AXF65540 BHB65539:BHB65540 BQX65539:BQX65540 CAT65539:CAT65540 CKP65539:CKP65540 CUL65539:CUL65540 DEH65539:DEH65540 DOD65539:DOD65540 DXZ65539:DXZ65540 EHV65539:EHV65540 ERR65539:ERR65540 FBN65539:FBN65540 FLJ65539:FLJ65540 FVF65539:FVF65540 GFB65539:GFB65540 GOX65539:GOX65540 GYT65539:GYT65540 HIP65539:HIP65540 HSL65539:HSL65540 ICH65539:ICH65540 IMD65539:IMD65540 IVZ65539:IVZ65540 JFV65539:JFV65540 JPR65539:JPR65540 JZN65539:JZN65540 KJJ65539:KJJ65540 KTF65539:KTF65540 LDB65539:LDB65540 LMX65539:LMX65540 LWT65539:LWT65540 MGP65539:MGP65540 MQL65539:MQL65540 NAH65539:NAH65540 NKD65539:NKD65540 NTZ65539:NTZ65540 ODV65539:ODV65540 ONR65539:ONR65540 OXN65539:OXN65540 PHJ65539:PHJ65540 PRF65539:PRF65540 QBB65539:QBB65540 QKX65539:QKX65540 QUT65539:QUT65540 REP65539:REP65540 ROL65539:ROL65540 RYH65539:RYH65540 SID65539:SID65540 SRZ65539:SRZ65540 TBV65539:TBV65540 TLR65539:TLR65540 TVN65539:TVN65540 UFJ65539:UFJ65540 UPF65539:UPF65540 UZB65539:UZB65540 VIX65539:VIX65540 VST65539:VST65540 WCP65539:WCP65540 WML65539:WML65540 WWH65539:WWH65540 JV131075:JV131076 TR131075:TR131076 ADN131075:ADN131076 ANJ131075:ANJ131076 AXF131075:AXF131076 BHB131075:BHB131076 BQX131075:BQX131076 CAT131075:CAT131076 CKP131075:CKP131076 CUL131075:CUL131076 DEH131075:DEH131076 DOD131075:DOD131076 DXZ131075:DXZ131076 EHV131075:EHV131076 ERR131075:ERR131076 FBN131075:FBN131076 FLJ131075:FLJ131076 FVF131075:FVF131076 GFB131075:GFB131076 GOX131075:GOX131076 GYT131075:GYT131076 HIP131075:HIP131076 HSL131075:HSL131076 ICH131075:ICH131076 IMD131075:IMD131076 IVZ131075:IVZ131076 JFV131075:JFV131076 JPR131075:JPR131076 JZN131075:JZN131076 KJJ131075:KJJ131076 KTF131075:KTF131076 LDB131075:LDB131076 LMX131075:LMX131076 LWT131075:LWT131076 MGP131075:MGP131076 MQL131075:MQL131076 NAH131075:NAH131076 NKD131075:NKD131076 NTZ131075:NTZ131076 ODV131075:ODV131076 ONR131075:ONR131076 OXN131075:OXN131076 PHJ131075:PHJ131076 PRF131075:PRF131076 QBB131075:QBB131076 QKX131075:QKX131076 QUT131075:QUT131076 REP131075:REP131076 ROL131075:ROL131076 RYH131075:RYH131076 SID131075:SID131076 SRZ131075:SRZ131076 TBV131075:TBV131076 TLR131075:TLR131076 TVN131075:TVN131076 UFJ131075:UFJ131076 UPF131075:UPF131076 UZB131075:UZB131076 VIX131075:VIX131076 VST131075:VST131076 WCP131075:WCP131076 WML131075:WML131076 WWH131075:WWH131076 JV196611:JV196612 TR196611:TR196612 ADN196611:ADN196612 ANJ196611:ANJ196612 AXF196611:AXF196612 BHB196611:BHB196612 BQX196611:BQX196612 CAT196611:CAT196612 CKP196611:CKP196612 CUL196611:CUL196612 DEH196611:DEH196612 DOD196611:DOD196612 DXZ196611:DXZ196612 EHV196611:EHV196612 ERR196611:ERR196612 FBN196611:FBN196612 FLJ196611:FLJ196612 FVF196611:FVF196612 GFB196611:GFB196612 GOX196611:GOX196612 GYT196611:GYT196612 HIP196611:HIP196612 HSL196611:HSL196612 ICH196611:ICH196612 IMD196611:IMD196612 IVZ196611:IVZ196612 JFV196611:JFV196612 JPR196611:JPR196612 JZN196611:JZN196612 KJJ196611:KJJ196612 KTF196611:KTF196612 LDB196611:LDB196612 LMX196611:LMX196612 LWT196611:LWT196612 MGP196611:MGP196612 MQL196611:MQL196612 NAH196611:NAH196612 NKD196611:NKD196612 NTZ196611:NTZ196612 ODV196611:ODV196612 ONR196611:ONR196612 OXN196611:OXN196612 PHJ196611:PHJ196612 PRF196611:PRF196612 QBB196611:QBB196612 QKX196611:QKX196612 QUT196611:QUT196612 REP196611:REP196612 ROL196611:ROL196612 RYH196611:RYH196612 SID196611:SID196612 SRZ196611:SRZ196612 TBV196611:TBV196612 TLR196611:TLR196612 TVN196611:TVN196612 UFJ196611:UFJ196612 UPF196611:UPF196612 UZB196611:UZB196612 VIX196611:VIX196612 VST196611:VST196612 WCP196611:WCP196612 WML196611:WML196612 WWH196611:WWH196612 JV262147:JV262148 TR262147:TR262148 ADN262147:ADN262148 ANJ262147:ANJ262148 AXF262147:AXF262148 BHB262147:BHB262148 BQX262147:BQX262148 CAT262147:CAT262148 CKP262147:CKP262148 CUL262147:CUL262148 DEH262147:DEH262148 DOD262147:DOD262148 DXZ262147:DXZ262148 EHV262147:EHV262148 ERR262147:ERR262148 FBN262147:FBN262148 FLJ262147:FLJ262148 FVF262147:FVF262148 GFB262147:GFB262148 GOX262147:GOX262148 GYT262147:GYT262148 HIP262147:HIP262148 HSL262147:HSL262148 ICH262147:ICH262148 IMD262147:IMD262148 IVZ262147:IVZ262148 JFV262147:JFV262148 JPR262147:JPR262148 JZN262147:JZN262148 KJJ262147:KJJ262148 KTF262147:KTF262148 LDB262147:LDB262148 LMX262147:LMX262148 LWT262147:LWT262148 MGP262147:MGP262148 MQL262147:MQL262148 NAH262147:NAH262148 NKD262147:NKD262148 NTZ262147:NTZ262148 ODV262147:ODV262148 ONR262147:ONR262148 OXN262147:OXN262148 PHJ262147:PHJ262148 PRF262147:PRF262148 QBB262147:QBB262148 QKX262147:QKX262148 QUT262147:QUT262148 REP262147:REP262148 ROL262147:ROL262148 RYH262147:RYH262148 SID262147:SID262148 SRZ262147:SRZ262148 TBV262147:TBV262148 TLR262147:TLR262148 TVN262147:TVN262148 UFJ262147:UFJ262148 UPF262147:UPF262148 UZB262147:UZB262148 VIX262147:VIX262148 VST262147:VST262148 WCP262147:WCP262148 WML262147:WML262148 WWH262147:WWH262148 JV327683:JV327684 TR327683:TR327684 ADN327683:ADN327684 ANJ327683:ANJ327684 AXF327683:AXF327684 BHB327683:BHB327684 BQX327683:BQX327684 CAT327683:CAT327684 CKP327683:CKP327684 CUL327683:CUL327684 DEH327683:DEH327684 DOD327683:DOD327684 DXZ327683:DXZ327684 EHV327683:EHV327684 ERR327683:ERR327684 FBN327683:FBN327684 FLJ327683:FLJ327684 FVF327683:FVF327684 GFB327683:GFB327684 GOX327683:GOX327684 GYT327683:GYT327684 HIP327683:HIP327684 HSL327683:HSL327684 ICH327683:ICH327684 IMD327683:IMD327684 IVZ327683:IVZ327684 JFV327683:JFV327684 JPR327683:JPR327684 JZN327683:JZN327684 KJJ327683:KJJ327684 KTF327683:KTF327684 LDB327683:LDB327684 LMX327683:LMX327684 LWT327683:LWT327684 MGP327683:MGP327684 MQL327683:MQL327684 NAH327683:NAH327684 NKD327683:NKD327684 NTZ327683:NTZ327684 ODV327683:ODV327684 ONR327683:ONR327684 OXN327683:OXN327684 PHJ327683:PHJ327684 PRF327683:PRF327684 QBB327683:QBB327684 QKX327683:QKX327684 QUT327683:QUT327684 REP327683:REP327684 ROL327683:ROL327684 RYH327683:RYH327684 SID327683:SID327684 SRZ327683:SRZ327684 TBV327683:TBV327684 TLR327683:TLR327684 TVN327683:TVN327684 UFJ327683:UFJ327684 UPF327683:UPF327684 UZB327683:UZB327684 VIX327683:VIX327684 VST327683:VST327684 WCP327683:WCP327684 WML327683:WML327684 WWH327683:WWH327684 JV393219:JV393220 TR393219:TR393220 ADN393219:ADN393220 ANJ393219:ANJ393220 AXF393219:AXF393220 BHB393219:BHB393220 BQX393219:BQX393220 CAT393219:CAT393220 CKP393219:CKP393220 CUL393219:CUL393220 DEH393219:DEH393220 DOD393219:DOD393220 DXZ393219:DXZ393220 EHV393219:EHV393220 ERR393219:ERR393220 FBN393219:FBN393220 FLJ393219:FLJ393220 FVF393219:FVF393220 GFB393219:GFB393220 GOX393219:GOX393220 GYT393219:GYT393220 HIP393219:HIP393220 HSL393219:HSL393220 ICH393219:ICH393220 IMD393219:IMD393220 IVZ393219:IVZ393220 JFV393219:JFV393220 JPR393219:JPR393220 JZN393219:JZN393220 KJJ393219:KJJ393220 KTF393219:KTF393220 LDB393219:LDB393220 LMX393219:LMX393220 LWT393219:LWT393220 MGP393219:MGP393220 MQL393219:MQL393220 NAH393219:NAH393220 NKD393219:NKD393220 NTZ393219:NTZ393220 ODV393219:ODV393220 ONR393219:ONR393220 OXN393219:OXN393220 PHJ393219:PHJ393220 PRF393219:PRF393220 QBB393219:QBB393220 QKX393219:QKX393220 QUT393219:QUT393220 REP393219:REP393220 ROL393219:ROL393220 RYH393219:RYH393220 SID393219:SID393220 SRZ393219:SRZ393220 TBV393219:TBV393220 TLR393219:TLR393220 TVN393219:TVN393220 UFJ393219:UFJ393220 UPF393219:UPF393220 UZB393219:UZB393220 VIX393219:VIX393220 VST393219:VST393220 WCP393219:WCP393220 WML393219:WML393220 WWH393219:WWH393220 JV458755:JV458756 TR458755:TR458756 ADN458755:ADN458756 ANJ458755:ANJ458756 AXF458755:AXF458756 BHB458755:BHB458756 BQX458755:BQX458756 CAT458755:CAT458756 CKP458755:CKP458756 CUL458755:CUL458756 DEH458755:DEH458756 DOD458755:DOD458756 DXZ458755:DXZ458756 EHV458755:EHV458756 ERR458755:ERR458756 FBN458755:FBN458756 FLJ458755:FLJ458756 FVF458755:FVF458756 GFB458755:GFB458756 GOX458755:GOX458756 GYT458755:GYT458756 HIP458755:HIP458756 HSL458755:HSL458756 ICH458755:ICH458756 IMD458755:IMD458756 IVZ458755:IVZ458756 JFV458755:JFV458756 JPR458755:JPR458756 JZN458755:JZN458756 KJJ458755:KJJ458756 KTF458755:KTF458756 LDB458755:LDB458756 LMX458755:LMX458756 LWT458755:LWT458756 MGP458755:MGP458756 MQL458755:MQL458756 NAH458755:NAH458756 NKD458755:NKD458756 NTZ458755:NTZ458756 ODV458755:ODV458756 ONR458755:ONR458756 OXN458755:OXN458756 PHJ458755:PHJ458756 PRF458755:PRF458756 QBB458755:QBB458756 QKX458755:QKX458756 QUT458755:QUT458756 REP458755:REP458756 ROL458755:ROL458756 RYH458755:RYH458756 SID458755:SID458756 SRZ458755:SRZ458756 TBV458755:TBV458756 TLR458755:TLR458756 TVN458755:TVN458756 UFJ458755:UFJ458756 UPF458755:UPF458756 UZB458755:UZB458756 VIX458755:VIX458756 VST458755:VST458756 WCP458755:WCP458756 WML458755:WML458756 WWH458755:WWH458756 JV524291:JV524292 TR524291:TR524292 ADN524291:ADN524292 ANJ524291:ANJ524292 AXF524291:AXF524292 BHB524291:BHB524292 BQX524291:BQX524292 CAT524291:CAT524292 CKP524291:CKP524292 CUL524291:CUL524292 DEH524291:DEH524292 DOD524291:DOD524292 DXZ524291:DXZ524292 EHV524291:EHV524292 ERR524291:ERR524292 FBN524291:FBN524292 FLJ524291:FLJ524292 FVF524291:FVF524292 GFB524291:GFB524292 GOX524291:GOX524292 GYT524291:GYT524292 HIP524291:HIP524292 HSL524291:HSL524292 ICH524291:ICH524292 IMD524291:IMD524292 IVZ524291:IVZ524292 JFV524291:JFV524292 JPR524291:JPR524292 JZN524291:JZN524292 KJJ524291:KJJ524292 KTF524291:KTF524292 LDB524291:LDB524292 LMX524291:LMX524292 LWT524291:LWT524292 MGP524291:MGP524292 MQL524291:MQL524292 NAH524291:NAH524292 NKD524291:NKD524292 NTZ524291:NTZ524292 ODV524291:ODV524292 ONR524291:ONR524292 OXN524291:OXN524292 PHJ524291:PHJ524292 PRF524291:PRF524292 QBB524291:QBB524292 QKX524291:QKX524292 QUT524291:QUT524292 REP524291:REP524292 ROL524291:ROL524292 RYH524291:RYH524292 SID524291:SID524292 SRZ524291:SRZ524292 TBV524291:TBV524292 TLR524291:TLR524292 TVN524291:TVN524292 UFJ524291:UFJ524292 UPF524291:UPF524292 UZB524291:UZB524292 VIX524291:VIX524292 VST524291:VST524292 WCP524291:WCP524292 WML524291:WML524292 WWH524291:WWH524292 JV589827:JV589828 TR589827:TR589828 ADN589827:ADN589828 ANJ589827:ANJ589828 AXF589827:AXF589828 BHB589827:BHB589828 BQX589827:BQX589828 CAT589827:CAT589828 CKP589827:CKP589828 CUL589827:CUL589828 DEH589827:DEH589828 DOD589827:DOD589828 DXZ589827:DXZ589828 EHV589827:EHV589828 ERR589827:ERR589828 FBN589827:FBN589828 FLJ589827:FLJ589828 FVF589827:FVF589828 GFB589827:GFB589828 GOX589827:GOX589828 GYT589827:GYT589828 HIP589827:HIP589828 HSL589827:HSL589828 ICH589827:ICH589828 IMD589827:IMD589828 IVZ589827:IVZ589828 JFV589827:JFV589828 JPR589827:JPR589828 JZN589827:JZN589828 KJJ589827:KJJ589828 KTF589827:KTF589828 LDB589827:LDB589828 LMX589827:LMX589828 LWT589827:LWT589828 MGP589827:MGP589828 MQL589827:MQL589828 NAH589827:NAH589828 NKD589827:NKD589828 NTZ589827:NTZ589828 ODV589827:ODV589828 ONR589827:ONR589828 OXN589827:OXN589828 PHJ589827:PHJ589828 PRF589827:PRF589828 QBB589827:QBB589828 QKX589827:QKX589828 QUT589827:QUT589828 REP589827:REP589828 ROL589827:ROL589828 RYH589827:RYH589828 SID589827:SID589828 SRZ589827:SRZ589828 TBV589827:TBV589828 TLR589827:TLR589828 TVN589827:TVN589828 UFJ589827:UFJ589828 UPF589827:UPF589828 UZB589827:UZB589828 VIX589827:VIX589828 VST589827:VST589828 WCP589827:WCP589828 WML589827:WML589828 WWH589827:WWH589828 JV655363:JV655364 TR655363:TR655364 ADN655363:ADN655364 ANJ655363:ANJ655364 AXF655363:AXF655364 BHB655363:BHB655364 BQX655363:BQX655364 CAT655363:CAT655364 CKP655363:CKP655364 CUL655363:CUL655364 DEH655363:DEH655364 DOD655363:DOD655364 DXZ655363:DXZ655364 EHV655363:EHV655364 ERR655363:ERR655364 FBN655363:FBN655364 FLJ655363:FLJ655364 FVF655363:FVF655364 GFB655363:GFB655364 GOX655363:GOX655364 GYT655363:GYT655364 HIP655363:HIP655364 HSL655363:HSL655364 ICH655363:ICH655364 IMD655363:IMD655364 IVZ655363:IVZ655364 JFV655363:JFV655364 JPR655363:JPR655364 JZN655363:JZN655364 KJJ655363:KJJ655364 KTF655363:KTF655364 LDB655363:LDB655364 LMX655363:LMX655364 LWT655363:LWT655364 MGP655363:MGP655364 MQL655363:MQL655364 NAH655363:NAH655364 NKD655363:NKD655364 NTZ655363:NTZ655364 ODV655363:ODV655364 ONR655363:ONR655364 OXN655363:OXN655364 PHJ655363:PHJ655364 PRF655363:PRF655364 QBB655363:QBB655364 QKX655363:QKX655364 QUT655363:QUT655364 REP655363:REP655364 ROL655363:ROL655364 RYH655363:RYH655364 SID655363:SID655364 SRZ655363:SRZ655364 TBV655363:TBV655364 TLR655363:TLR655364 TVN655363:TVN655364 UFJ655363:UFJ655364 UPF655363:UPF655364 UZB655363:UZB655364 VIX655363:VIX655364 VST655363:VST655364 WCP655363:WCP655364 WML655363:WML655364 WWH655363:WWH655364 JV720899:JV720900 TR720899:TR720900 ADN720899:ADN720900 ANJ720899:ANJ720900 AXF720899:AXF720900 BHB720899:BHB720900 BQX720899:BQX720900 CAT720899:CAT720900 CKP720899:CKP720900 CUL720899:CUL720900 DEH720899:DEH720900 DOD720899:DOD720900 DXZ720899:DXZ720900 EHV720899:EHV720900 ERR720899:ERR720900 FBN720899:FBN720900 FLJ720899:FLJ720900 FVF720899:FVF720900 GFB720899:GFB720900 GOX720899:GOX720900 GYT720899:GYT720900 HIP720899:HIP720900 HSL720899:HSL720900 ICH720899:ICH720900 IMD720899:IMD720900 IVZ720899:IVZ720900 JFV720899:JFV720900 JPR720899:JPR720900 JZN720899:JZN720900 KJJ720899:KJJ720900 KTF720899:KTF720900 LDB720899:LDB720900 LMX720899:LMX720900 LWT720899:LWT720900 MGP720899:MGP720900 MQL720899:MQL720900 NAH720899:NAH720900 NKD720899:NKD720900 NTZ720899:NTZ720900 ODV720899:ODV720900 ONR720899:ONR720900 OXN720899:OXN720900 PHJ720899:PHJ720900 PRF720899:PRF720900 QBB720899:QBB720900 QKX720899:QKX720900 QUT720899:QUT720900 REP720899:REP720900 ROL720899:ROL720900 RYH720899:RYH720900 SID720899:SID720900 SRZ720899:SRZ720900 TBV720899:TBV720900 TLR720899:TLR720900 TVN720899:TVN720900 UFJ720899:UFJ720900 UPF720899:UPF720900 UZB720899:UZB720900 VIX720899:VIX720900 VST720899:VST720900 WCP720899:WCP720900 WML720899:WML720900 WWH720899:WWH720900 JV786435:JV786436 TR786435:TR786436 ADN786435:ADN786436 ANJ786435:ANJ786436 AXF786435:AXF786436 BHB786435:BHB786436 BQX786435:BQX786436 CAT786435:CAT786436 CKP786435:CKP786436 CUL786435:CUL786436 DEH786435:DEH786436 DOD786435:DOD786436 DXZ786435:DXZ786436 EHV786435:EHV786436 ERR786435:ERR786436 FBN786435:FBN786436 FLJ786435:FLJ786436 FVF786435:FVF786436 GFB786435:GFB786436 GOX786435:GOX786436 GYT786435:GYT786436 HIP786435:HIP786436 HSL786435:HSL786436 ICH786435:ICH786436 IMD786435:IMD786436 IVZ786435:IVZ786436 JFV786435:JFV786436 JPR786435:JPR786436 JZN786435:JZN786436 KJJ786435:KJJ786436 KTF786435:KTF786436 LDB786435:LDB786436 LMX786435:LMX786436 LWT786435:LWT786436 MGP786435:MGP786436 MQL786435:MQL786436 NAH786435:NAH786436 NKD786435:NKD786436 NTZ786435:NTZ786436 ODV786435:ODV786436 ONR786435:ONR786436 OXN786435:OXN786436 PHJ786435:PHJ786436 PRF786435:PRF786436 QBB786435:QBB786436 QKX786435:QKX786436 QUT786435:QUT786436 REP786435:REP786436 ROL786435:ROL786436 RYH786435:RYH786436 SID786435:SID786436 SRZ786435:SRZ786436 TBV786435:TBV786436 TLR786435:TLR786436 TVN786435:TVN786436 UFJ786435:UFJ786436 UPF786435:UPF786436 UZB786435:UZB786436 VIX786435:VIX786436 VST786435:VST786436 WCP786435:WCP786436 WML786435:WML786436 WWH786435:WWH786436 JV851971:JV851972 TR851971:TR851972 ADN851971:ADN851972 ANJ851971:ANJ851972 AXF851971:AXF851972 BHB851971:BHB851972 BQX851971:BQX851972 CAT851971:CAT851972 CKP851971:CKP851972 CUL851971:CUL851972 DEH851971:DEH851972 DOD851971:DOD851972 DXZ851971:DXZ851972 EHV851971:EHV851972 ERR851971:ERR851972 FBN851971:FBN851972 FLJ851971:FLJ851972 FVF851971:FVF851972 GFB851971:GFB851972 GOX851971:GOX851972 GYT851971:GYT851972 HIP851971:HIP851972 HSL851971:HSL851972 ICH851971:ICH851972 IMD851971:IMD851972 IVZ851971:IVZ851972 JFV851971:JFV851972 JPR851971:JPR851972 JZN851971:JZN851972 KJJ851971:KJJ851972 KTF851971:KTF851972 LDB851971:LDB851972 LMX851971:LMX851972 LWT851971:LWT851972 MGP851971:MGP851972 MQL851971:MQL851972 NAH851971:NAH851972 NKD851971:NKD851972 NTZ851971:NTZ851972 ODV851971:ODV851972 ONR851971:ONR851972 OXN851971:OXN851972 PHJ851971:PHJ851972 PRF851971:PRF851972 QBB851971:QBB851972 QKX851971:QKX851972 QUT851971:QUT851972 REP851971:REP851972 ROL851971:ROL851972 RYH851971:RYH851972 SID851971:SID851972 SRZ851971:SRZ851972 TBV851971:TBV851972 TLR851971:TLR851972 TVN851971:TVN851972 UFJ851971:UFJ851972 UPF851971:UPF851972 UZB851971:UZB851972 VIX851971:VIX851972 VST851971:VST851972 WCP851971:WCP851972 WML851971:WML851972 WWH851971:WWH851972 JV917507:JV917508 TR917507:TR917508 ADN917507:ADN917508 ANJ917507:ANJ917508 AXF917507:AXF917508 BHB917507:BHB917508 BQX917507:BQX917508 CAT917507:CAT917508 CKP917507:CKP917508 CUL917507:CUL917508 DEH917507:DEH917508 DOD917507:DOD917508 DXZ917507:DXZ917508 EHV917507:EHV917508 ERR917507:ERR917508 FBN917507:FBN917508 FLJ917507:FLJ917508 FVF917507:FVF917508 GFB917507:GFB917508 GOX917507:GOX917508 GYT917507:GYT917508 HIP917507:HIP917508 HSL917507:HSL917508 ICH917507:ICH917508 IMD917507:IMD917508 IVZ917507:IVZ917508 JFV917507:JFV917508 JPR917507:JPR917508 JZN917507:JZN917508 KJJ917507:KJJ917508 KTF917507:KTF917508 LDB917507:LDB917508 LMX917507:LMX917508 LWT917507:LWT917508 MGP917507:MGP917508 MQL917507:MQL917508 NAH917507:NAH917508 NKD917507:NKD917508 NTZ917507:NTZ917508 ODV917507:ODV917508 ONR917507:ONR917508 OXN917507:OXN917508 PHJ917507:PHJ917508 PRF917507:PRF917508 QBB917507:QBB917508 QKX917507:QKX917508 QUT917507:QUT917508 REP917507:REP917508 ROL917507:ROL917508 RYH917507:RYH917508 SID917507:SID917508 SRZ917507:SRZ917508 TBV917507:TBV917508 TLR917507:TLR917508 TVN917507:TVN917508 UFJ917507:UFJ917508 UPF917507:UPF917508 UZB917507:UZB917508 VIX917507:VIX917508 VST917507:VST917508 WCP917507:WCP917508 WML917507:WML917508 WWH917507:WWH917508 JV983043:JV983044 TR983043:TR983044 ADN983043:ADN983044 ANJ983043:ANJ983044 AXF983043:AXF983044 BHB983043:BHB983044 BQX983043:BQX983044 CAT983043:CAT983044 CKP983043:CKP983044 CUL983043:CUL983044 DEH983043:DEH983044 DOD983043:DOD983044 DXZ983043:DXZ983044 EHV983043:EHV983044 ERR983043:ERR983044 FBN983043:FBN983044 FLJ983043:FLJ983044 FVF983043:FVF983044 GFB983043:GFB983044 GOX983043:GOX983044 GYT983043:GYT983044 HIP983043:HIP983044 HSL983043:HSL983044 ICH983043:ICH983044 IMD983043:IMD983044 IVZ983043:IVZ983044 JFV983043:JFV983044 JPR983043:JPR983044 JZN983043:JZN983044 KJJ983043:KJJ983044 KTF983043:KTF983044 LDB983043:LDB983044 LMX983043:LMX983044 LWT983043:LWT983044 MGP983043:MGP983044 MQL983043:MQL983044 NAH983043:NAH983044 NKD983043:NKD983044 NTZ983043:NTZ983044 ODV983043:ODV983044 ONR983043:ONR983044 OXN983043:OXN983044 PHJ983043:PHJ983044 PRF983043:PRF983044 QBB983043:QBB983044 QKX983043:QKX983044 QUT983043:QUT983044 REP983043:REP983044 ROL983043:ROL983044 RYH983043:RYH983044 SID983043:SID983044 SRZ983043:SRZ983044 TBV983043:TBV983044 TLR983043:TLR983044 TVN983043:TVN983044 UFJ983043:UFJ983044 UPF983043:UPF983044 UZB983043:UZB983044 VIX983043:VIX983044 VST983043:VST983044 WCP983043:WCP983044 WML983043:WML983044 WWH983043:WWH983044 SRW5:SRW6 SIA5:SIA6 RYE5:RYE6 ROI5:ROI6 REM5:REM6 QUQ5:QUQ6 QKU5:QKU6 QAY5:QAY6 PRC5:PRC6 PHG5:PHG6 OXK5:OXK6 ONO5:ONO6 ODS5:ODS6 NTW5:NTW6 NKA5:NKA6 NAE5:NAE6 MQI5:MQI6 MGM5:MGM6 LWQ5:LWQ6 LMU5:LMU6 LCY5:LCY6 KTC5:KTC6 KJG5:KJG6 JZK5:JZK6 JPO5:JPO6 JFS5:JFS6 IVW5:IVW6 IMA5:IMA6 ICE5:ICE6 HSI5:HSI6 HIM5:HIM6 GYQ5:GYQ6 GOU5:GOU6 GEY5:GEY6 FVC5:FVC6 FLG5:FLG6 FBK5:FBK6 ERO5:ERO6 EHS5:EHS6 DXW5:DXW6 DOA5:DOA6 DEE5:DEE6 CUI5:CUI6 CKM5:CKM6 CAQ5:CAQ6 BQU5:BQU6 BGY5:BGY6 AXC5:AXC6 ANG5:ANG6 ADK5:ADK6 TO5:TO6 JS5:JS6 WWE5:WWE6 WWB5:WWB6 WMF5:WMF6 WCJ5:WCJ6 VSN5:VSN6 VIR5:VIR6 UYV5:UYV6 UOZ5:UOZ6 UFD5:UFD6 TVH5:TVH6 TLL5:TLL6 TBP5:TBP6 SRT5:SRT6 SHX5:SHX6 RYB5:RYB6 ROF5:ROF6 REJ5:REJ6 QUN5:QUN6 QKR5:QKR6 QAV5:QAV6 PQZ5:PQZ6 PHD5:PHD6 OXH5:OXH6 ONL5:ONL6 ODP5:ODP6 NTT5:NTT6 NJX5:NJX6 NAB5:NAB6 MQF5:MQF6 MGJ5:MGJ6 LWN5:LWN6 LMR5:LMR6 LCV5:LCV6 KSZ5:KSZ6 KJD5:KJD6 JZH5:JZH6 JPL5:JPL6 JFP5:JFP6 IVT5:IVT6 ILX5:ILX6 ICB5:ICB6 HSF5:HSF6 HIJ5:HIJ6 GYN5:GYN6 GOR5:GOR6 GEV5:GEV6 FUZ5:FUZ6 FLD5:FLD6 FBH5:FBH6 ERL5:ERL6 EHP5:EHP6 DXT5:DXT6 DNX5:DNX6 DEB5:DEB6 CUF5:CUF6 CKJ5:CKJ6 CAN5:CAN6 BQR5:BQR6 BGV5:BGV6 AWZ5:AWZ6 AND5:AND6 ADH5:ADH6 TL5:TL6 JP5:JP6 WMI5:WMI6 WVY5:WVY6 WMC5:WMC6 WCG5:WCG6 VSK5:VSK6 VIO5:VIO6 UYS5:UYS6 UOW5:UOW6 UFA5:UFA6 TVE5:TVE6 TLI5:TLI6 TBM5:TBM6 SRQ5:SRQ6 SHU5:SHU6 RXY5:RXY6 ROC5:ROC6 REG5:REG6 QUK5:QUK6 QKO5:QKO6 QAS5:QAS6 PQW5:PQW6 PHA5:PHA6 OXE5:OXE6 ONI5:ONI6 ODM5:ODM6 NTQ5:NTQ6 NJU5:NJU6 MZY5:MZY6 MQC5:MQC6 MGG5:MGG6 LWK5:LWK6 LMO5:LMO6 LCS5:LCS6 KSW5:KSW6 KJA5:KJA6 JZE5:JZE6 JPI5:JPI6 JFM5:JFM6 IVQ5:IVQ6 ILU5:ILU6 IBY5:IBY6 HSC5:HSC6 HIG5:HIG6 GYK5:GYK6 GOO5:GOO6 GES5:GES6 FUW5:FUW6 FLA5:FLA6 FBE5:FBE6 ERI5:ERI6 EHM5:EHM6 DXQ5:DXQ6 DNU5:DNU6 DDY5:DDY6 CUC5:CUC6 CKG5:CKG6 CAK5:CAK6 BQO5:BQO6 BGS5:BGS6 AWW5:AWW6 ANA5:ANA6 ADE5:ADE6 TI5:TI6 JM5:JM6 WCM5:WCM6 WVV5:WVV6 WLZ5:WLZ6 WCD5:WCD6 VSH5:VSH6 VIL5:VIL6 UYP5:UYP6 UOT5:UOT6 UEX5:UEX6 TVB5:TVB6 TLF5:TLF6 TBJ5:TBJ6 SRN5:SRN6 SHR5:SHR6 RXV5:RXV6 RNZ5:RNZ6 RED5:RED6 QUH5:QUH6 QKL5:QKL6 QAP5:QAP6 PQT5:PQT6 PGX5:PGX6 OXB5:OXB6 ONF5:ONF6 ODJ5:ODJ6 NTN5:NTN6 NJR5:NJR6 MZV5:MZV6 MPZ5:MPZ6 MGD5:MGD6 LWH5:LWH6 LML5:LML6 LCP5:LCP6 KST5:KST6 KIX5:KIX6 JZB5:JZB6 JPF5:JPF6 JFJ5:JFJ6 IVN5:IVN6 ILR5:ILR6 IBV5:IBV6 HRZ5:HRZ6 HID5:HID6 GYH5:GYH6 GOL5:GOL6 GEP5:GEP6 FUT5:FUT6 FKX5:FKX6 FBB5:FBB6 ERF5:ERF6 EHJ5:EHJ6 DXN5:DXN6 DNR5:DNR6 DDV5:DDV6 CTZ5:CTZ6 CKD5:CKD6 CAH5:CAH6 BQL5:BQL6 BGP5:BGP6 AWT5:AWT6 AMX5:AMX6 ADB5:ADB6 TF5:TF6 JJ5:JJ6 VSQ5:VSQ6 WVS5:WVS6 WLW5:WLW6 WCA5:WCA6 VSE5:VSE6 VII5:VII6 UYM5:UYM6 UOQ5:UOQ6 UEU5:UEU6 TUY5:TUY6 TLC5:TLC6 TBG5:TBG6 SRK5:SRK6 SHO5:SHO6 RXS5:RXS6 RNW5:RNW6 REA5:REA6 QUE5:QUE6 QKI5:QKI6 QAM5:QAM6 PQQ5:PQQ6 PGU5:PGU6 OWY5:OWY6 ONC5:ONC6 ODG5:ODG6 NTK5:NTK6 NJO5:NJO6 MZS5:MZS6 MPW5:MPW6 MGA5:MGA6 LWE5:LWE6 LMI5:LMI6 LCM5:LCM6 KSQ5:KSQ6 KIU5:KIU6 JYY5:JYY6 JPC5:JPC6 JFG5:JFG6 IVK5:IVK6 ILO5:ILO6 IBS5:IBS6 HRW5:HRW6 HIA5:HIA6 GYE5:GYE6 GOI5:GOI6 GEM5:GEM6 FUQ5:FUQ6 FKU5:FKU6 FAY5:FAY6 ERC5:ERC6 EHG5:EHG6 DXK5:DXK6 DNO5:DNO6 DDS5:DDS6 CTW5:CTW6 CKA5:CKA6 CAE5:CAE6 BQI5:BQI6 BGM5:BGM6 AWQ5:AWQ6 AMU5:AMU6 ACY5:ACY6 TC5:TC6 JG5:JG6 VIU5:VIU6 WVP5:WVP6 WLT5:WLT6 WBX5:WBX6 VSB5:VSB6 VIF5:VIF6 UYJ5:UYJ6 UON5:UON6 UER5:UER6 TUV5:TUV6 TKZ5:TKZ6 TBD5:TBD6 SRH5:SRH6 SHL5:SHL6 RXP5:RXP6 RNT5:RNT6 RDX5:RDX6 QUB5:QUB6 QKF5:QKF6 QAJ5:QAJ6 PQN5:PQN6 PGR5:PGR6 OWV5:OWV6 OMZ5:OMZ6 ODD5:ODD6 NTH5:NTH6 NJL5:NJL6 MZP5:MZP6 MPT5:MPT6 MFX5:MFX6 LWB5:LWB6 LMF5:LMF6 LCJ5:LCJ6 KSN5:KSN6 KIR5:KIR6 JYV5:JYV6 JOZ5:JOZ6 JFD5:JFD6 IVH5:IVH6 ILL5:ILL6 IBP5:IBP6 HRT5:HRT6 HHX5:HHX6 GYB5:GYB6 GOF5:GOF6 GEJ5:GEJ6 FUN5:FUN6 FKR5:FKR6 FAV5:FAV6 EQZ5:EQZ6 EHD5:EHD6 DXH5:DXH6 DNL5:DNL6 DDP5:DDP6 CTT5:CTT6 CJX5:CJX6 CAB5:CAB6 BQF5:BQF6 BGJ5:BGJ6 AWN5:AWN6 AMR5:AMR6 ACV5:ACV6 SZ5:SZ6 JD5:JD6 UYY5:UYY6 WVM5:WVM6 WLQ5:WLQ6 WBU5:WBU6 VRY5:VRY6 VIC5:VIC6 UYG5:UYG6 UOK5:UOK6 UEO5:UEO6 TUS5:TUS6 TKW5:TKW6 TBA5:TBA6 SRE5:SRE6 SHI5:SHI6 RXM5:RXM6 RNQ5:RNQ6 RDU5:RDU6 QTY5:QTY6 QKC5:QKC6 QAG5:QAG6 PQK5:PQK6 PGO5:PGO6 OWS5:OWS6 OMW5:OMW6 ODA5:ODA6 NTE5:NTE6 NJI5:NJI6 MZM5:MZM6 MPQ5:MPQ6 MFU5:MFU6 LVY5:LVY6 LMC5:LMC6 LCG5:LCG6 KSK5:KSK6 KIO5:KIO6 JYS5:JYS6 JOW5:JOW6 JFA5:JFA6 IVE5:IVE6 ILI5:ILI6 IBM5:IBM6 HRQ5:HRQ6 HHU5:HHU6 GXY5:GXY6 GOC5:GOC6 GEG5:GEG6 FUK5:FUK6 FKO5:FKO6 FAS5:FAS6 EQW5:EQW6 EHA5:EHA6 DXE5:DXE6 DNI5:DNI6 DDM5:DDM6 CTQ5:CTQ6 CJU5:CJU6 BZY5:BZY6 BQC5:BQC6 BGG5:BGG6 AWK5:AWK6 AMO5:AMO6 ACS5:ACS6 SW5:SW6 JA5:JA6 UPC5:UPC6 WVJ5:WVJ6 WLN5:WLN6 WBR5:WBR6 VRV5:VRV6 VHZ5:VHZ6 UYD5:UYD6 UOH5:UOH6 UEL5:UEL6 TUP5:TUP6 TKT5:TKT6 TAX5:TAX6 SRB5:SRB6 SHF5:SHF6 RXJ5:RXJ6 RNN5:RNN6 RDR5:RDR6 QTV5:QTV6 QJZ5:QJZ6 QAD5:QAD6 PQH5:PQH6 PGL5:PGL6 OWP5:OWP6 OMT5:OMT6 OCX5:OCX6 NTB5:NTB6 NJF5:NJF6 MZJ5:MZJ6 MPN5:MPN6 MFR5:MFR6 LVV5:LVV6 LLZ5:LLZ6 LCD5:LCD6 KSH5:KSH6 KIL5:KIL6 JYP5:JYP6 JOT5:JOT6 JEX5:JEX6 IVB5:IVB6 ILF5:ILF6 IBJ5:IBJ6 HRN5:HRN6 HHR5:HHR6 GXV5:GXV6 GNZ5:GNZ6 GED5:GED6 FUH5:FUH6 FKL5:FKL6 FAP5:FAP6 EQT5:EQT6 EGX5:EGX6 DXB5:DXB6 DNF5:DNF6 DDJ5:DDJ6 CTN5:CTN6 CJR5:CJR6 BZV5:BZV6 BPZ5:BPZ6 BGD5:BGD6 AWH5:AWH6 AML5:AML6 ACP5:ACP6 ST5:ST6 IX5:IX6 UFG5:UFG6 WVG5:WVG6 WLK5:WLK6 WBO5:WBO6 VRS5:VRS6 VHW5:VHW6 UYA5:UYA6 UOE5:UOE6 UEI5:UEI6 TUM5:TUM6 TKQ5:TKQ6 TAU5:TAU6 SQY5:SQY6 SHC5:SHC6 RXG5:RXG6 RNK5:RNK6 RDO5:RDO6 QTS5:QTS6 QJW5:QJW6 QAA5:QAA6 PQE5:PQE6 PGI5:PGI6 OWM5:OWM6 OMQ5:OMQ6 OCU5:OCU6 NSY5:NSY6 NJC5:NJC6 MZG5:MZG6 MPK5:MPK6 MFO5:MFO6 LVS5:LVS6 LLW5:LLW6 LCA5:LCA6 KSE5:KSE6 KII5:KII6 JYM5:JYM6 JOQ5:JOQ6 JEU5:JEU6 IUY5:IUY6 ILC5:ILC6 IBG5:IBG6 HRK5:HRK6 HHO5:HHO6 GXS5:GXS6 GNW5:GNW6 GEA5:GEA6 FUE5:FUE6 FKI5:FKI6 FAM5:FAM6 EQQ5:EQQ6 EGU5:EGU6 DWY5:DWY6 DNC5:DNC6 DDG5:DDG6 CTK5:CTK6 CJO5:CJO6 BZS5:BZS6 BPW5:BPW6 BGA5:BGA6 AWE5:AWE6 AMI5:AMI6 ACM5:ACM6 SQ5:SQ6 IU5:IU6 TVK5:TVK6 WVD5:WVD6 WLH5:WLH6 WBL5:WBL6 VRP5:VRP6 VHT5:VHT6 UXX5:UXX6 UOB5:UOB6 UEF5:UEF6 TUJ5:TUJ6 TKN5:TKN6 TAR5:TAR6 SQV5:SQV6 SGZ5:SGZ6 RXD5:RXD6 RNH5:RNH6 RDL5:RDL6 QTP5:QTP6 QJT5:QJT6 PZX5:PZX6 PQB5:PQB6 PGF5:PGF6 OWJ5:OWJ6 OMN5:OMN6 OCR5:OCR6 NSV5:NSV6 NIZ5:NIZ6 MZD5:MZD6 MPH5:MPH6 MFL5:MFL6 LVP5:LVP6 LLT5:LLT6 LBX5:LBX6 KSB5:KSB6 KIF5:KIF6 JYJ5:JYJ6 JON5:JON6 JER5:JER6 IUV5:IUV6 IKZ5:IKZ6 IBD5:IBD6 HRH5:HRH6 HHL5:HHL6 GXP5:GXP6 GNT5:GNT6 GDX5:GDX6 FUB5:FUB6 FKF5:FKF6 FAJ5:FAJ6 EQN5:EQN6 EGR5:EGR6 DWV5:DWV6 DMZ5:DMZ6 DDD5:DDD6 CTH5:CTH6 CJL5:CJL6 BZP5:BZP6 BPT5:BPT6 BFX5:BFX6 AWB5:AWB6 AMF5:AMF6 ACJ5:ACJ6 SN5:SN6 IR5:IR6 TLO5:TLO6 WVA5:WVA6 WLE5:WLE6 WBI5:WBI6 VRM5:VRM6 VHQ5:VHQ6 UXU5:UXU6 UNY5:UNY6 UEC5:UEC6 TUG5:TUG6 TKK5:TKK6 TAO5:TAO6 SQS5:SQS6 SGW5:SGW6 RXA5:RXA6 RNE5:RNE6 RDI5:RDI6 QTM5:QTM6 QJQ5:QJQ6 PZU5:PZU6 PPY5:PPY6 PGC5:PGC6 OWG5:OWG6 OMK5:OMK6 OCO5:OCO6 NSS5:NSS6 NIW5:NIW6 MZA5:MZA6 MPE5:MPE6 MFI5:MFI6 LVM5:LVM6 LLQ5:LLQ6 LBU5:LBU6 KRY5:KRY6 KIC5:KIC6 JYG5:JYG6 JOK5:JOK6 JEO5:JEO6 IUS5:IUS6 IKW5:IKW6 IBA5:IBA6 HRE5:HRE6 HHI5:HHI6 GXM5:GXM6 GNQ5:GNQ6 GDU5:GDU6 FTY5:FTY6 FKC5:FKC6 FAG5:FAG6 EQK5:EQK6 EGO5:EGO6 DWS5:DWS6 DMW5:DMW6 DDA5:DDA6 CTE5:CTE6 CJI5:CJI6 BZM5:BZM6 BPQ5:BPQ6 BFU5:BFU6 AVY5:AVY6 AMC5:AMC6 ACG5:ACG6 SK5:SK6 IO5:IO6 TBS5:TBS6 WUX5:WUX6 WLB5:WLB6 WBF5:WBF6 VRJ5:VRJ6 VHN5:VHN6 UXR5:UXR6 UNV5:UNV6 UDZ5:UDZ6 TUD5:TUD6 TKH5:TKH6 TAL5:TAL6 SQP5:SQP6 SGT5:SGT6 RWX5:RWX6 RNB5:RNB6 RDF5:RDF6 QTJ5:QTJ6 QJN5:QJN6 PZR5:PZR6 PPV5:PPV6 PFZ5:PFZ6 OWD5:OWD6 OMH5:OMH6 OCL5:OCL6 NSP5:NSP6 NIT5:NIT6 MYX5:MYX6 MPB5:MPB6 MFF5:MFF6 LVJ5:LVJ6 LLN5:LLN6 LBR5:LBR6 KRV5:KRV6 KHZ5:KHZ6 JYD5:JYD6 JOH5:JOH6 JEL5:JEL6 IUP5:IUP6 IKT5:IKT6 IAX5:IAX6 HRB5:HRB6 HHF5:HHF6 GXJ5:GXJ6 GNN5:GNN6 GDR5:GDR6 FTV5:FTV6 FJZ5:FJZ6 FAD5:FAD6 EQH5:EQH6 EGL5:EGL6 DWP5:DWP6 DMT5:DMT6 DCX5:DCX6 CTB5:CTB6 CJF5:CJF6 BZJ5:BZJ6 BPN5:BPN6 BFR5:BFR6 AVV5:AVV6 ALZ5:ALZ6 ACD5:ACD6 SH5:SH6 IL5:IL6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AA22"/>
  <sheetViews>
    <sheetView workbookViewId="0">
      <selection activeCell="E12" sqref="E12"/>
    </sheetView>
  </sheetViews>
  <sheetFormatPr defaultRowHeight="15"/>
  <cols>
    <col min="1" max="1" width="17.5703125" customWidth="1"/>
    <col min="4" max="4" width="8.85546875" customWidth="1"/>
    <col min="5" max="5" width="17" customWidth="1"/>
    <col min="6" max="6" width="18.140625" customWidth="1"/>
    <col min="7" max="7" width="9.42578125" customWidth="1"/>
    <col min="10" max="10" width="15.28515625" customWidth="1"/>
    <col min="11" max="11" width="20.28515625" customWidth="1"/>
    <col min="15" max="15" width="14.5703125" customWidth="1"/>
    <col min="16" max="16" width="19" customWidth="1"/>
    <col min="20" max="20" width="15.7109375" customWidth="1"/>
    <col min="21" max="21" width="19" customWidth="1"/>
    <col min="25" max="25" width="15.42578125" customWidth="1"/>
    <col min="26" max="26" width="17.5703125" customWidth="1"/>
  </cols>
  <sheetData>
    <row r="1" spans="1:27" ht="15.75" thickBot="1">
      <c r="A1" s="927" t="s">
        <v>937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  <c r="N1" s="927"/>
      <c r="O1" s="927"/>
      <c r="P1" s="927"/>
      <c r="Q1" s="927"/>
      <c r="R1" s="927"/>
      <c r="S1" s="927"/>
      <c r="T1" s="927"/>
      <c r="U1" s="927"/>
      <c r="V1" s="927"/>
      <c r="W1" s="927"/>
      <c r="X1" s="927"/>
      <c r="Y1" s="927"/>
      <c r="Z1" s="927"/>
    </row>
    <row r="2" spans="1:27" ht="22.5" customHeight="1">
      <c r="A2" s="92" t="s">
        <v>152</v>
      </c>
      <c r="B2" s="900" t="s">
        <v>1179</v>
      </c>
      <c r="C2" s="901"/>
      <c r="D2" s="901"/>
      <c r="E2" s="901"/>
      <c r="F2" s="902"/>
      <c r="G2" s="900" t="s">
        <v>153</v>
      </c>
      <c r="H2" s="901"/>
      <c r="I2" s="901"/>
      <c r="J2" s="901"/>
      <c r="K2" s="902"/>
      <c r="L2" s="900" t="s">
        <v>153</v>
      </c>
      <c r="M2" s="901"/>
      <c r="N2" s="901"/>
      <c r="O2" s="901"/>
      <c r="P2" s="902"/>
      <c r="Q2" s="900" t="s">
        <v>153</v>
      </c>
      <c r="R2" s="901"/>
      <c r="S2" s="901"/>
      <c r="T2" s="901"/>
      <c r="U2" s="902"/>
      <c r="V2" s="898" t="s">
        <v>153</v>
      </c>
      <c r="W2" s="898"/>
      <c r="X2" s="898"/>
      <c r="Y2" s="898"/>
      <c r="Z2" s="899"/>
      <c r="AA2" s="37"/>
    </row>
    <row r="3" spans="1:27">
      <c r="A3" s="93" t="s">
        <v>146</v>
      </c>
      <c r="B3" s="903"/>
      <c r="C3" s="904"/>
      <c r="D3" s="904"/>
      <c r="E3" s="904"/>
      <c r="F3" s="905"/>
      <c r="G3" s="903"/>
      <c r="H3" s="904"/>
      <c r="I3" s="904"/>
      <c r="J3" s="904"/>
      <c r="K3" s="905"/>
      <c r="L3" s="903"/>
      <c r="M3" s="904"/>
      <c r="N3" s="904"/>
      <c r="O3" s="904"/>
      <c r="P3" s="905"/>
      <c r="Q3" s="903"/>
      <c r="R3" s="904"/>
      <c r="S3" s="904"/>
      <c r="T3" s="904"/>
      <c r="U3" s="905"/>
      <c r="V3" s="906"/>
      <c r="W3" s="906"/>
      <c r="X3" s="906"/>
      <c r="Y3" s="906"/>
      <c r="Z3" s="907"/>
    </row>
    <row r="4" spans="1:27">
      <c r="A4" s="93" t="s">
        <v>147</v>
      </c>
      <c r="B4" s="903"/>
      <c r="C4" s="904"/>
      <c r="D4" s="904"/>
      <c r="E4" s="904"/>
      <c r="F4" s="905"/>
      <c r="G4" s="903"/>
      <c r="H4" s="904"/>
      <c r="I4" s="904"/>
      <c r="J4" s="904"/>
      <c r="K4" s="905"/>
      <c r="L4" s="903"/>
      <c r="M4" s="904"/>
      <c r="N4" s="904"/>
      <c r="O4" s="904"/>
      <c r="P4" s="905"/>
      <c r="Q4" s="903"/>
      <c r="R4" s="904"/>
      <c r="S4" s="904"/>
      <c r="T4" s="904"/>
      <c r="U4" s="905"/>
      <c r="V4" s="906"/>
      <c r="W4" s="906"/>
      <c r="X4" s="906"/>
      <c r="Y4" s="906"/>
      <c r="Z4" s="907"/>
    </row>
    <row r="5" spans="1:27" s="36" customFormat="1" ht="42.75" customHeight="1">
      <c r="A5" s="928" t="s">
        <v>144</v>
      </c>
      <c r="B5" s="912" t="s">
        <v>150</v>
      </c>
      <c r="C5" s="913"/>
      <c r="D5" s="914"/>
      <c r="E5" s="94" t="s">
        <v>89</v>
      </c>
      <c r="F5" s="94" t="s">
        <v>154</v>
      </c>
      <c r="G5" s="912" t="s">
        <v>150</v>
      </c>
      <c r="H5" s="913"/>
      <c r="I5" s="914"/>
      <c r="J5" s="95" t="s">
        <v>89</v>
      </c>
      <c r="K5" s="94" t="str">
        <f>IF(G2="Additional Current Account","No of Business Credits","No of Transactions (Debit+Credit)")</f>
        <v>No of Transactions (Debit+Credit)</v>
      </c>
      <c r="L5" s="912" t="s">
        <v>150</v>
      </c>
      <c r="M5" s="913"/>
      <c r="N5" s="914"/>
      <c r="O5" s="95" t="s">
        <v>89</v>
      </c>
      <c r="P5" s="94" t="str">
        <f>IF(L2="Additional Current Account","No of Business Credits","No of Transactions (Debit+Credit)")</f>
        <v>No of Transactions (Debit+Credit)</v>
      </c>
      <c r="Q5" s="912" t="s">
        <v>150</v>
      </c>
      <c r="R5" s="913"/>
      <c r="S5" s="914"/>
      <c r="T5" s="95" t="s">
        <v>89</v>
      </c>
      <c r="U5" s="94" t="str">
        <f>IF(Q2="Additional Current Account","No of Business Credits","No of Transactions (Debit+Credit)")</f>
        <v>No of Transactions (Debit+Credit)</v>
      </c>
      <c r="V5" s="912" t="s">
        <v>150</v>
      </c>
      <c r="W5" s="913"/>
      <c r="X5" s="914"/>
      <c r="Y5" s="95" t="s">
        <v>89</v>
      </c>
      <c r="Z5" s="96" t="str">
        <f>IF(V2="Additional Current Account","No of Business Credits","No of Transactions (Debit+Credit)")</f>
        <v>No of Transactions (Debit+Credit)</v>
      </c>
    </row>
    <row r="6" spans="1:27">
      <c r="A6" s="929"/>
      <c r="B6" s="97" t="s">
        <v>635</v>
      </c>
      <c r="C6" s="97" t="s">
        <v>636</v>
      </c>
      <c r="D6" s="97" t="s">
        <v>637</v>
      </c>
      <c r="E6" s="910" t="s">
        <v>155</v>
      </c>
      <c r="F6" s="911"/>
      <c r="G6" s="97" t="s">
        <v>635</v>
      </c>
      <c r="H6" s="97" t="s">
        <v>636</v>
      </c>
      <c r="I6" s="97" t="s">
        <v>637</v>
      </c>
      <c r="J6" s="910" t="s">
        <v>155</v>
      </c>
      <c r="K6" s="911"/>
      <c r="L6" s="97" t="s">
        <v>635</v>
      </c>
      <c r="M6" s="97" t="s">
        <v>636</v>
      </c>
      <c r="N6" s="97" t="s">
        <v>637</v>
      </c>
      <c r="O6" s="910" t="s">
        <v>155</v>
      </c>
      <c r="P6" s="911"/>
      <c r="Q6" s="97" t="s">
        <v>635</v>
      </c>
      <c r="R6" s="97" t="s">
        <v>636</v>
      </c>
      <c r="S6" s="97" t="s">
        <v>637</v>
      </c>
      <c r="T6" s="910" t="s">
        <v>155</v>
      </c>
      <c r="U6" s="911"/>
      <c r="V6" s="97" t="s">
        <v>635</v>
      </c>
      <c r="W6" s="97" t="s">
        <v>636</v>
      </c>
      <c r="X6" s="97" t="s">
        <v>637</v>
      </c>
      <c r="Y6" s="910" t="s">
        <v>155</v>
      </c>
      <c r="Z6" s="933"/>
    </row>
    <row r="7" spans="1:27">
      <c r="A7" s="214">
        <f t="shared" ref="A7:A16" si="0">EDATE(A8,-1)</f>
        <v>44166</v>
      </c>
      <c r="B7" s="35"/>
      <c r="C7" s="35"/>
      <c r="D7" s="35"/>
      <c r="E7" s="35" t="str" cm="1">
        <f t="array" ref="E7:E18">IF(('Credit Summation'!B5:B16-'Credit Summation'!J5:J16)=0,"",('Credit Summation'!B5:B16-'Credit Summation'!J5:J16))</f>
        <v/>
      </c>
      <c r="F7" s="35"/>
      <c r="G7" s="35"/>
      <c r="H7" s="35"/>
      <c r="I7" s="35"/>
      <c r="J7" s="35" t="str" cm="1">
        <f t="array" ref="J7:J18">IF(('Credit Summation'!C5:C16-'Credit Summation'!K5:K16)=0,"",('Credit Summation'!C5:C16-'Credit Summation'!K5:K16))</f>
        <v/>
      </c>
      <c r="K7" s="35"/>
      <c r="L7" s="35"/>
      <c r="M7" s="35"/>
      <c r="N7" s="35"/>
      <c r="O7" s="35" t="str" cm="1">
        <f t="array" ref="O7:O18">IF(('Credit Summation'!D5:D16-'Credit Summation'!L5:L16)=0,"",('Credit Summation'!D5:D16-'Credit Summation'!L5:L16))</f>
        <v/>
      </c>
      <c r="P7" s="35"/>
      <c r="Q7" s="35"/>
      <c r="R7" s="35"/>
      <c r="S7" s="35"/>
      <c r="T7" s="35" t="str" cm="1">
        <f t="array" ref="T7:T18">IF(('Credit Summation'!E5:E16-'Credit Summation'!M5:M16)=0,"",('Credit Summation'!E5:E16-'Credit Summation'!M5:M16))</f>
        <v/>
      </c>
      <c r="U7" s="35"/>
      <c r="V7" s="35"/>
      <c r="W7" s="35"/>
      <c r="X7" s="35"/>
      <c r="Y7" s="35" t="str" cm="1">
        <f t="array" ref="Y7:Y18">IF(('Credit Summation'!F5:F16-'Credit Summation'!N5:N16)=0,"",('Credit Summation'!F5:F16-'Credit Summation'!N5:N16))</f>
        <v/>
      </c>
      <c r="Z7" s="38"/>
    </row>
    <row r="8" spans="1:27">
      <c r="A8" s="214">
        <f t="shared" si="0"/>
        <v>44197</v>
      </c>
      <c r="B8" s="35"/>
      <c r="C8" s="35"/>
      <c r="D8" s="35"/>
      <c r="E8" s="35" t="str">
        <v/>
      </c>
      <c r="F8" s="35"/>
      <c r="G8" s="35"/>
      <c r="H8" s="35"/>
      <c r="I8" s="35"/>
      <c r="J8" s="35" t="str">
        <v/>
      </c>
      <c r="K8" s="35"/>
      <c r="L8" s="35"/>
      <c r="M8" s="35"/>
      <c r="N8" s="35"/>
      <c r="O8" s="35" t="str">
        <v/>
      </c>
      <c r="P8" s="35"/>
      <c r="Q8" s="35"/>
      <c r="R8" s="35"/>
      <c r="S8" s="35"/>
      <c r="T8" s="35" t="str">
        <v/>
      </c>
      <c r="U8" s="35"/>
      <c r="V8" s="35"/>
      <c r="W8" s="35"/>
      <c r="X8" s="35"/>
      <c r="Y8" s="35" t="str">
        <v/>
      </c>
      <c r="Z8" s="38"/>
    </row>
    <row r="9" spans="1:27">
      <c r="A9" s="214">
        <f t="shared" si="0"/>
        <v>44228</v>
      </c>
      <c r="B9" s="35"/>
      <c r="C9" s="35"/>
      <c r="D9" s="35"/>
      <c r="E9" s="35" t="str">
        <v/>
      </c>
      <c r="F9" s="35"/>
      <c r="G9" s="35"/>
      <c r="H9" s="35"/>
      <c r="I9" s="35"/>
      <c r="J9" s="35" t="str">
        <v/>
      </c>
      <c r="K9" s="35"/>
      <c r="L9" s="35"/>
      <c r="M9" s="35"/>
      <c r="N9" s="35"/>
      <c r="O9" s="35" t="str">
        <v/>
      </c>
      <c r="P9" s="35"/>
      <c r="Q9" s="35"/>
      <c r="R9" s="35"/>
      <c r="S9" s="35"/>
      <c r="T9" s="35" t="str">
        <v/>
      </c>
      <c r="U9" s="35"/>
      <c r="V9" s="35"/>
      <c r="W9" s="35"/>
      <c r="X9" s="35"/>
      <c r="Y9" s="35" t="str">
        <v/>
      </c>
      <c r="Z9" s="38"/>
    </row>
    <row r="10" spans="1:27">
      <c r="A10" s="214">
        <f t="shared" si="0"/>
        <v>44256</v>
      </c>
      <c r="B10" s="35"/>
      <c r="C10" s="35"/>
      <c r="D10" s="35"/>
      <c r="E10" s="35" t="str">
        <v/>
      </c>
      <c r="F10" s="35"/>
      <c r="G10" s="35"/>
      <c r="H10" s="35"/>
      <c r="I10" s="35"/>
      <c r="J10" s="35" t="str">
        <v/>
      </c>
      <c r="K10" s="35"/>
      <c r="L10" s="35"/>
      <c r="M10" s="35"/>
      <c r="N10" s="35"/>
      <c r="O10" s="35" t="str">
        <v/>
      </c>
      <c r="P10" s="35"/>
      <c r="Q10" s="35"/>
      <c r="R10" s="35"/>
      <c r="S10" s="35"/>
      <c r="T10" s="35" t="str">
        <v/>
      </c>
      <c r="U10" s="35"/>
      <c r="V10" s="35"/>
      <c r="W10" s="35"/>
      <c r="X10" s="35"/>
      <c r="Y10" s="35" t="str">
        <v/>
      </c>
      <c r="Z10" s="38"/>
    </row>
    <row r="11" spans="1:27">
      <c r="A11" s="214">
        <f t="shared" si="0"/>
        <v>44287</v>
      </c>
      <c r="B11" s="35"/>
      <c r="C11" s="35"/>
      <c r="D11" s="35"/>
      <c r="E11" s="35" t="str">
        <v/>
      </c>
      <c r="F11" s="35"/>
      <c r="G11" s="35"/>
      <c r="H11" s="35"/>
      <c r="I11" s="35"/>
      <c r="J11" s="35" t="str">
        <v/>
      </c>
      <c r="K11" s="35"/>
      <c r="L11" s="35"/>
      <c r="M11" s="35"/>
      <c r="N11" s="35"/>
      <c r="O11" s="35" t="str">
        <v/>
      </c>
      <c r="P11" s="35"/>
      <c r="Q11" s="35"/>
      <c r="R11" s="35"/>
      <c r="S11" s="35"/>
      <c r="T11" s="35" t="str">
        <v/>
      </c>
      <c r="U11" s="35"/>
      <c r="V11" s="35"/>
      <c r="W11" s="35"/>
      <c r="X11" s="35"/>
      <c r="Y11" s="35" t="str">
        <v/>
      </c>
      <c r="Z11" s="38"/>
    </row>
    <row r="12" spans="1:27">
      <c r="A12" s="214">
        <f t="shared" si="0"/>
        <v>44317</v>
      </c>
      <c r="B12" s="35"/>
      <c r="C12" s="35"/>
      <c r="D12" s="35"/>
      <c r="E12" s="35" t="str">
        <v/>
      </c>
      <c r="F12" s="287"/>
      <c r="G12" s="35"/>
      <c r="H12" s="35"/>
      <c r="I12" s="35"/>
      <c r="J12" s="35" t="str">
        <v/>
      </c>
      <c r="K12" s="35"/>
      <c r="L12" s="35"/>
      <c r="M12" s="35"/>
      <c r="N12" s="35"/>
      <c r="O12" s="35" t="str">
        <v/>
      </c>
      <c r="P12" s="35"/>
      <c r="Q12" s="35"/>
      <c r="R12" s="35"/>
      <c r="S12" s="35"/>
      <c r="T12" s="35" t="str">
        <v/>
      </c>
      <c r="U12" s="35"/>
      <c r="V12" s="35"/>
      <c r="W12" s="35"/>
      <c r="X12" s="35"/>
      <c r="Y12" s="35" t="str">
        <v/>
      </c>
      <c r="Z12" s="38"/>
    </row>
    <row r="13" spans="1:27">
      <c r="A13" s="214">
        <f t="shared" si="0"/>
        <v>44348</v>
      </c>
      <c r="B13" s="35"/>
      <c r="C13" s="35"/>
      <c r="D13" s="35"/>
      <c r="E13" s="35" t="str">
        <v/>
      </c>
      <c r="F13" s="287"/>
      <c r="G13" s="35"/>
      <c r="H13" s="35"/>
      <c r="I13" s="35"/>
      <c r="J13" s="35" t="str">
        <v/>
      </c>
      <c r="K13" s="35"/>
      <c r="L13" s="35"/>
      <c r="M13" s="35"/>
      <c r="N13" s="35"/>
      <c r="O13" s="35" t="str">
        <v/>
      </c>
      <c r="P13" s="35"/>
      <c r="Q13" s="35"/>
      <c r="R13" s="35"/>
      <c r="S13" s="35"/>
      <c r="T13" s="35" t="str">
        <v/>
      </c>
      <c r="U13" s="35"/>
      <c r="V13" s="35"/>
      <c r="W13" s="35"/>
      <c r="X13" s="35"/>
      <c r="Y13" s="35" t="str">
        <v/>
      </c>
      <c r="Z13" s="38"/>
    </row>
    <row r="14" spans="1:27">
      <c r="A14" s="214">
        <f t="shared" si="0"/>
        <v>44378</v>
      </c>
      <c r="B14" s="35"/>
      <c r="C14" s="35"/>
      <c r="D14" s="35"/>
      <c r="E14" s="35" t="str">
        <v/>
      </c>
      <c r="F14" s="287"/>
      <c r="G14" s="35"/>
      <c r="H14" s="35"/>
      <c r="I14" s="35"/>
      <c r="J14" s="35" t="str">
        <v/>
      </c>
      <c r="K14" s="35"/>
      <c r="L14" s="35"/>
      <c r="M14" s="35"/>
      <c r="N14" s="35"/>
      <c r="O14" s="35" t="str">
        <v/>
      </c>
      <c r="P14" s="35"/>
      <c r="Q14" s="35"/>
      <c r="R14" s="35"/>
      <c r="S14" s="35"/>
      <c r="T14" s="35" t="str">
        <v/>
      </c>
      <c r="U14" s="35"/>
      <c r="V14" s="35"/>
      <c r="W14" s="35"/>
      <c r="X14" s="35"/>
      <c r="Y14" s="35" t="str">
        <v/>
      </c>
      <c r="Z14" s="38"/>
    </row>
    <row r="15" spans="1:27">
      <c r="A15" s="214">
        <f t="shared" si="0"/>
        <v>44409</v>
      </c>
      <c r="B15" s="35"/>
      <c r="C15" s="35"/>
      <c r="D15" s="35"/>
      <c r="E15" s="35" t="str">
        <v/>
      </c>
      <c r="F15" s="287"/>
      <c r="G15" s="35"/>
      <c r="H15" s="35"/>
      <c r="I15" s="35"/>
      <c r="J15" s="35" t="str">
        <v/>
      </c>
      <c r="K15" s="35"/>
      <c r="L15" s="35"/>
      <c r="M15" s="35"/>
      <c r="N15" s="35"/>
      <c r="O15" s="35" t="str">
        <v/>
      </c>
      <c r="P15" s="35"/>
      <c r="Q15" s="35"/>
      <c r="R15" s="35"/>
      <c r="S15" s="35"/>
      <c r="T15" s="35" t="str">
        <v/>
      </c>
      <c r="U15" s="35"/>
      <c r="V15" s="35"/>
      <c r="W15" s="35"/>
      <c r="X15" s="35"/>
      <c r="Y15" s="35" t="str">
        <v/>
      </c>
      <c r="Z15" s="38"/>
    </row>
    <row r="16" spans="1:27">
      <c r="A16" s="214">
        <f t="shared" si="0"/>
        <v>44440</v>
      </c>
      <c r="B16" s="35"/>
      <c r="C16" s="35"/>
      <c r="D16" s="35"/>
      <c r="E16" s="35" t="str">
        <v/>
      </c>
      <c r="F16" s="287"/>
      <c r="G16" s="35"/>
      <c r="H16" s="35"/>
      <c r="I16" s="35"/>
      <c r="J16" s="35" t="str">
        <v/>
      </c>
      <c r="K16" s="35"/>
      <c r="L16" s="35"/>
      <c r="M16" s="35"/>
      <c r="N16" s="35"/>
      <c r="O16" s="35" t="str">
        <v/>
      </c>
      <c r="P16" s="35"/>
      <c r="Q16" s="35"/>
      <c r="R16" s="35"/>
      <c r="S16" s="35"/>
      <c r="T16" s="35" t="str">
        <v/>
      </c>
      <c r="U16" s="35"/>
      <c r="V16" s="35"/>
      <c r="W16" s="35"/>
      <c r="X16" s="35"/>
      <c r="Y16" s="35" t="str">
        <v/>
      </c>
      <c r="Z16" s="38"/>
    </row>
    <row r="17" spans="1:26">
      <c r="A17" s="214">
        <f>EDATE(A18,-1)</f>
        <v>44470</v>
      </c>
      <c r="B17" s="35"/>
      <c r="C17" s="35"/>
      <c r="D17" s="35"/>
      <c r="E17" s="35" t="str">
        <v/>
      </c>
      <c r="F17" s="287"/>
      <c r="G17" s="35"/>
      <c r="H17" s="35"/>
      <c r="I17" s="35"/>
      <c r="J17" s="35" t="str">
        <v/>
      </c>
      <c r="K17" s="35"/>
      <c r="L17" s="35"/>
      <c r="M17" s="35"/>
      <c r="N17" s="35"/>
      <c r="O17" s="35" t="str">
        <v/>
      </c>
      <c r="P17" s="35"/>
      <c r="Q17" s="35"/>
      <c r="R17" s="35"/>
      <c r="S17" s="35"/>
      <c r="T17" s="35" t="str">
        <v/>
      </c>
      <c r="U17" s="35"/>
      <c r="V17" s="35"/>
      <c r="W17" s="35"/>
      <c r="X17" s="35"/>
      <c r="Y17" s="35" t="str">
        <v/>
      </c>
      <c r="Z17" s="38"/>
    </row>
    <row r="18" spans="1:26">
      <c r="A18" s="214">
        <f>'Analysis-Debit'!J3</f>
        <v>44501</v>
      </c>
      <c r="B18" s="35"/>
      <c r="C18" s="35"/>
      <c r="D18" s="35"/>
      <c r="E18" s="35" t="str">
        <v/>
      </c>
      <c r="F18" s="287"/>
      <c r="G18" s="35"/>
      <c r="H18" s="35"/>
      <c r="I18" s="35"/>
      <c r="J18" s="35" t="str">
        <v/>
      </c>
      <c r="K18" s="35"/>
      <c r="L18" s="35"/>
      <c r="M18" s="35"/>
      <c r="N18" s="35"/>
      <c r="O18" s="35" t="str">
        <v/>
      </c>
      <c r="P18" s="35"/>
      <c r="Q18" s="35"/>
      <c r="R18" s="35"/>
      <c r="S18" s="35"/>
      <c r="T18" s="35" t="str">
        <v/>
      </c>
      <c r="U18" s="35"/>
      <c r="V18" s="35"/>
      <c r="W18" s="35"/>
      <c r="X18" s="35"/>
      <c r="Y18" s="35" t="str">
        <v/>
      </c>
      <c r="Z18" s="38"/>
    </row>
    <row r="19" spans="1:26" ht="15.75" thickBot="1">
      <c r="A19" s="39" t="s">
        <v>145</v>
      </c>
      <c r="B19" s="98">
        <f t="shared" ref="B19:K19" si="1">SUM(B7:B18)</f>
        <v>0</v>
      </c>
      <c r="C19" s="98">
        <f t="shared" si="1"/>
        <v>0</v>
      </c>
      <c r="D19" s="98">
        <f t="shared" si="1"/>
        <v>0</v>
      </c>
      <c r="E19" s="98">
        <f t="shared" si="1"/>
        <v>0</v>
      </c>
      <c r="F19" s="98">
        <f t="shared" si="1"/>
        <v>0</v>
      </c>
      <c r="G19" s="98">
        <f t="shared" si="1"/>
        <v>0</v>
      </c>
      <c r="H19" s="98">
        <f t="shared" si="1"/>
        <v>0</v>
      </c>
      <c r="I19" s="98">
        <f t="shared" si="1"/>
        <v>0</v>
      </c>
      <c r="J19" s="98">
        <f t="shared" si="1"/>
        <v>0</v>
      </c>
      <c r="K19" s="98">
        <f t="shared" si="1"/>
        <v>0</v>
      </c>
      <c r="L19" s="98">
        <f t="shared" ref="L19:Z19" si="2">SUM(L7:L18)</f>
        <v>0</v>
      </c>
      <c r="M19" s="98">
        <f t="shared" si="2"/>
        <v>0</v>
      </c>
      <c r="N19" s="98">
        <f t="shared" si="2"/>
        <v>0</v>
      </c>
      <c r="O19" s="98">
        <f t="shared" si="2"/>
        <v>0</v>
      </c>
      <c r="P19" s="98">
        <f t="shared" si="2"/>
        <v>0</v>
      </c>
      <c r="Q19" s="98">
        <f t="shared" si="2"/>
        <v>0</v>
      </c>
      <c r="R19" s="98">
        <f t="shared" si="2"/>
        <v>0</v>
      </c>
      <c r="S19" s="98">
        <f t="shared" si="2"/>
        <v>0</v>
      </c>
      <c r="T19" s="98">
        <f t="shared" si="2"/>
        <v>0</v>
      </c>
      <c r="U19" s="98">
        <f t="shared" si="2"/>
        <v>0</v>
      </c>
      <c r="V19" s="98">
        <f t="shared" si="2"/>
        <v>0</v>
      </c>
      <c r="W19" s="98">
        <f t="shared" si="2"/>
        <v>0</v>
      </c>
      <c r="X19" s="98">
        <f t="shared" si="2"/>
        <v>0</v>
      </c>
      <c r="Y19" s="98">
        <f t="shared" si="2"/>
        <v>0</v>
      </c>
      <c r="Z19" s="98">
        <f t="shared" si="2"/>
        <v>0</v>
      </c>
    </row>
    <row r="20" spans="1:26">
      <c r="A20" s="930" t="s">
        <v>148</v>
      </c>
      <c r="B20" s="931"/>
      <c r="C20" s="931"/>
      <c r="D20" s="931"/>
      <c r="E20" s="932"/>
      <c r="F20" s="924">
        <f>(SUM(B19:D19)+SUM(G19:I19)+SUM(L19:N19)+SUM(Q19:S19)+SUM(V19:X19)-(Input!B18*12))/36</f>
        <v>0</v>
      </c>
      <c r="G20" s="925"/>
      <c r="H20" s="926"/>
    </row>
    <row r="21" spans="1:26" hidden="1">
      <c r="A21" s="915" t="s">
        <v>149</v>
      </c>
      <c r="B21" s="916"/>
      <c r="C21" s="916"/>
      <c r="D21" s="916"/>
      <c r="E21" s="917"/>
      <c r="F21" s="921"/>
      <c r="G21" s="922"/>
      <c r="H21" s="923"/>
    </row>
    <row r="22" spans="1:26" ht="15.75" thickBot="1">
      <c r="A22" s="908" t="s">
        <v>151</v>
      </c>
      <c r="B22" s="909"/>
      <c r="C22" s="909"/>
      <c r="D22" s="909"/>
      <c r="E22" s="909"/>
      <c r="F22" s="918">
        <f>E19+J19+O19+T19+Y19</f>
        <v>0</v>
      </c>
      <c r="G22" s="919"/>
      <c r="H22" s="920"/>
    </row>
  </sheetData>
  <mergeCells count="33">
    <mergeCell ref="A1:Z1"/>
    <mergeCell ref="V5:X5"/>
    <mergeCell ref="A5:A6"/>
    <mergeCell ref="A20:E20"/>
    <mergeCell ref="L2:P2"/>
    <mergeCell ref="Q3:U3"/>
    <mergeCell ref="Q4:U4"/>
    <mergeCell ref="L5:N5"/>
    <mergeCell ref="Q5:S5"/>
    <mergeCell ref="Y6:Z6"/>
    <mergeCell ref="B3:F3"/>
    <mergeCell ref="B2:F2"/>
    <mergeCell ref="J6:K6"/>
    <mergeCell ref="O6:P6"/>
    <mergeCell ref="T6:U6"/>
    <mergeCell ref="G2:K2"/>
    <mergeCell ref="A22:E22"/>
    <mergeCell ref="B4:F4"/>
    <mergeCell ref="E6:F6"/>
    <mergeCell ref="B5:D5"/>
    <mergeCell ref="G5:I5"/>
    <mergeCell ref="A21:E21"/>
    <mergeCell ref="F22:H22"/>
    <mergeCell ref="F21:H21"/>
    <mergeCell ref="F20:H20"/>
    <mergeCell ref="G4:K4"/>
    <mergeCell ref="V2:Z2"/>
    <mergeCell ref="Q2:U2"/>
    <mergeCell ref="G3:K3"/>
    <mergeCell ref="L4:P4"/>
    <mergeCell ref="L3:P3"/>
    <mergeCell ref="V4:Z4"/>
    <mergeCell ref="V3:Z3"/>
  </mergeCells>
  <dataValidations count="5">
    <dataValidation type="list" allowBlank="1" showInputMessage="1" showErrorMessage="1" prompt="Select Account Type for Banking Product- Additional Current or Savings Account" sqref="G2:Z2" xr:uid="{00000000-0002-0000-0A00-000000000000}">
      <formula1>"Additional Current Account, Additional Savings Account"</formula1>
    </dataValidation>
    <dataValidation allowBlank="1" showInputMessage="1" showErrorMessage="1" prompt="Header will change based on the account type selected (G1-K1)_x000a_" sqref="K5" xr:uid="{00000000-0002-0000-0A00-000001000000}"/>
    <dataValidation allowBlank="1" showInputMessage="1" showErrorMessage="1" prompt="Header will change based on the account type selected (V1-Z1)" sqref="Z5" xr:uid="{00000000-0002-0000-0A00-000002000000}"/>
    <dataValidation allowBlank="1" showInputMessage="1" showErrorMessage="1" prompt="Header will change based on the account type selected (L1-P1)" sqref="P5" xr:uid="{00000000-0002-0000-0A00-000003000000}"/>
    <dataValidation allowBlank="1" showInputMessage="1" showErrorMessage="1" prompt="Header will change based on the account type selected (Q1-U1)" sqref="U5" xr:uid="{00000000-0002-0000-0A00-000004000000}"/>
  </dataValidations>
  <pageMargins left="0.7" right="0.7" top="0.75" bottom="0.75" header="0.3" footer="0.3"/>
  <pageSetup orientation="portrait" r:id="rId1"/>
  <ignoredErrors>
    <ignoredError sqref="A7:A17 E7:E18 J7:J18 O7:O18 T7:T18 Y7:Y18" unlockedFormula="1"/>
  </ignoredErrors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/>
  <dimension ref="A1:G10"/>
  <sheetViews>
    <sheetView workbookViewId="0">
      <selection activeCell="B3" sqref="B3"/>
    </sheetView>
  </sheetViews>
  <sheetFormatPr defaultRowHeight="15"/>
  <cols>
    <col min="1" max="1" width="30.85546875" customWidth="1"/>
    <col min="2" max="2" width="13.28515625" customWidth="1"/>
    <col min="3" max="3" width="13.28515625" style="189" customWidth="1"/>
    <col min="4" max="4" width="18.140625" style="189" customWidth="1"/>
    <col min="5" max="5" width="14" style="189" customWidth="1"/>
    <col min="6" max="6" width="20.140625" hidden="1" customWidth="1"/>
    <col min="7" max="7" width="21.85546875" hidden="1" customWidth="1"/>
  </cols>
  <sheetData>
    <row r="1" spans="1:7" ht="15.75" thickBot="1">
      <c r="A1" s="934" t="s">
        <v>26</v>
      </c>
      <c r="B1" s="935"/>
      <c r="C1" s="935"/>
      <c r="D1" s="935"/>
      <c r="E1" s="935"/>
      <c r="F1" s="935"/>
      <c r="G1" s="935"/>
    </row>
    <row r="2" spans="1:7" ht="27.75" thickTop="1" thickBot="1">
      <c r="A2" s="7" t="s">
        <v>17</v>
      </c>
      <c r="B2" s="7" t="s">
        <v>20</v>
      </c>
      <c r="C2" s="284" t="s">
        <v>888</v>
      </c>
      <c r="D2" s="284" t="s">
        <v>25</v>
      </c>
      <c r="E2" s="284" t="s">
        <v>542</v>
      </c>
      <c r="F2" s="7" t="s">
        <v>23</v>
      </c>
      <c r="G2" s="7" t="s">
        <v>24</v>
      </c>
    </row>
    <row r="3" spans="1:7" ht="16.5" thickTop="1" thickBot="1">
      <c r="A3" s="2" t="s">
        <v>21</v>
      </c>
      <c r="B3" s="8"/>
      <c r="C3" s="285"/>
      <c r="D3" s="285"/>
      <c r="E3" s="285"/>
      <c r="F3" s="8"/>
      <c r="G3" s="8"/>
    </row>
    <row r="4" spans="1:7" ht="16.5" thickTop="1" thickBot="1">
      <c r="A4" s="2" t="s">
        <v>889</v>
      </c>
      <c r="B4" s="8"/>
      <c r="C4" s="285"/>
      <c r="D4" s="285"/>
      <c r="E4" s="285"/>
      <c r="F4" s="8"/>
      <c r="G4" s="8"/>
    </row>
    <row r="5" spans="1:7" ht="16.5" thickTop="1" thickBot="1">
      <c r="A5" s="2" t="s">
        <v>890</v>
      </c>
      <c r="B5" s="8"/>
      <c r="C5" s="285"/>
      <c r="D5" s="285"/>
      <c r="E5" s="285"/>
      <c r="F5" s="8"/>
      <c r="G5" s="8"/>
    </row>
    <row r="6" spans="1:7" ht="16.5" thickTop="1" thickBot="1">
      <c r="A6" s="2" t="s">
        <v>891</v>
      </c>
      <c r="B6" s="23"/>
      <c r="C6" s="286"/>
      <c r="D6" s="286"/>
      <c r="E6" s="286"/>
      <c r="F6" s="23"/>
      <c r="G6" s="8"/>
    </row>
    <row r="7" spans="1:7" ht="16.5" thickTop="1" thickBot="1">
      <c r="A7" s="2" t="s">
        <v>251</v>
      </c>
      <c r="B7" s="23"/>
      <c r="C7" s="286"/>
      <c r="D7" s="286"/>
      <c r="E7" s="286"/>
      <c r="F7" s="23"/>
      <c r="G7" s="8"/>
    </row>
    <row r="8" spans="1:7" ht="16.5" thickTop="1" thickBot="1">
      <c r="A8" s="2" t="s">
        <v>252</v>
      </c>
      <c r="B8" s="23"/>
      <c r="C8" s="286"/>
      <c r="D8" s="286"/>
      <c r="E8" s="286"/>
      <c r="F8" s="23"/>
      <c r="G8" s="8"/>
    </row>
    <row r="9" spans="1:7" ht="16.5" thickTop="1" thickBot="1">
      <c r="A9" s="2" t="s">
        <v>18</v>
      </c>
      <c r="B9" s="9" t="s">
        <v>19</v>
      </c>
      <c r="C9" s="286" t="s">
        <v>19</v>
      </c>
      <c r="D9" s="286" t="s">
        <v>19</v>
      </c>
      <c r="E9" s="286" t="s">
        <v>19</v>
      </c>
      <c r="F9" s="9" t="s">
        <v>19</v>
      </c>
      <c r="G9" s="8" t="s">
        <v>19</v>
      </c>
    </row>
    <row r="10" spans="1:7" ht="15.75" thickTop="1"/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3"/>
  <dimension ref="A1:G28"/>
  <sheetViews>
    <sheetView workbookViewId="0">
      <selection activeCell="B3" sqref="B3"/>
    </sheetView>
  </sheetViews>
  <sheetFormatPr defaultRowHeight="15"/>
  <cols>
    <col min="1" max="1" width="38.28515625" customWidth="1"/>
    <col min="2" max="2" width="25.5703125" customWidth="1"/>
    <col min="3" max="3" width="17.85546875" customWidth="1"/>
    <col min="4" max="4" width="38.42578125" customWidth="1"/>
    <col min="5" max="5" width="19.85546875" customWidth="1"/>
    <col min="6" max="6" width="18.85546875" customWidth="1"/>
    <col min="7" max="7" width="19.140625" customWidth="1"/>
    <col min="8" max="8" width="9.140625" customWidth="1"/>
  </cols>
  <sheetData>
    <row r="1" spans="1:7" ht="15.75" thickBot="1">
      <c r="A1" s="939" t="s">
        <v>46</v>
      </c>
      <c r="B1" s="941"/>
      <c r="D1" s="939" t="s">
        <v>63</v>
      </c>
      <c r="E1" s="940"/>
      <c r="F1" s="940"/>
      <c r="G1" s="941"/>
    </row>
    <row r="2" spans="1:7" ht="16.5" thickTop="1" thickBot="1">
      <c r="A2" s="7" t="s">
        <v>17</v>
      </c>
      <c r="B2" s="7" t="s">
        <v>39</v>
      </c>
      <c r="D2" s="17" t="s">
        <v>28</v>
      </c>
      <c r="E2" s="18" t="s">
        <v>49</v>
      </c>
      <c r="F2" s="7" t="s">
        <v>36</v>
      </c>
      <c r="G2" s="7" t="s">
        <v>51</v>
      </c>
    </row>
    <row r="3" spans="1:7" ht="16.5" thickTop="1" thickBot="1">
      <c r="A3" s="2" t="s">
        <v>404</v>
      </c>
      <c r="B3" s="8">
        <v>500</v>
      </c>
      <c r="D3" s="2" t="s">
        <v>30</v>
      </c>
      <c r="E3" s="8"/>
      <c r="F3" s="8" t="s">
        <v>35</v>
      </c>
      <c r="G3" s="8"/>
    </row>
    <row r="4" spans="1:7" ht="16.5" thickTop="1" thickBot="1">
      <c r="A4" s="2" t="s">
        <v>405</v>
      </c>
      <c r="B4" s="8"/>
      <c r="D4" s="2" t="s">
        <v>31</v>
      </c>
      <c r="E4" s="8"/>
      <c r="F4" s="8" t="s">
        <v>35</v>
      </c>
      <c r="G4" s="8"/>
    </row>
    <row r="5" spans="1:7" ht="16.5" thickTop="1" thickBot="1">
      <c r="A5" s="2" t="s">
        <v>403</v>
      </c>
      <c r="B5" s="13"/>
      <c r="D5" s="2" t="s">
        <v>40</v>
      </c>
      <c r="E5" s="8"/>
      <c r="F5" s="8" t="s">
        <v>35</v>
      </c>
      <c r="G5" s="8"/>
    </row>
    <row r="6" spans="1:7" ht="16.5" thickTop="1" thickBot="1">
      <c r="A6" s="19" t="s">
        <v>41</v>
      </c>
      <c r="B6" s="14">
        <v>200</v>
      </c>
      <c r="D6" s="2" t="s">
        <v>32</v>
      </c>
      <c r="E6" s="8"/>
      <c r="F6" s="8" t="s">
        <v>35</v>
      </c>
      <c r="G6" s="8"/>
    </row>
    <row r="7" spans="1:7" ht="14.25" customHeight="1" thickTop="1" thickBot="1">
      <c r="A7" s="942" t="s">
        <v>60</v>
      </c>
      <c r="B7" s="943"/>
      <c r="D7" s="2" t="s">
        <v>33</v>
      </c>
      <c r="E7" s="8"/>
      <c r="F7" s="8" t="s">
        <v>35</v>
      </c>
      <c r="G7" s="8"/>
    </row>
    <row r="8" spans="1:7" ht="16.5" customHeight="1" thickTop="1" thickBot="1">
      <c r="A8" s="6" t="s">
        <v>61</v>
      </c>
      <c r="B8" s="8"/>
      <c r="D8" s="16" t="s">
        <v>48</v>
      </c>
      <c r="E8" s="8"/>
      <c r="F8" s="8" t="s">
        <v>35</v>
      </c>
      <c r="G8" s="8"/>
    </row>
    <row r="9" spans="1:7" ht="16.5" thickTop="1" thickBot="1">
      <c r="A9" s="6" t="s">
        <v>37</v>
      </c>
      <c r="B9" s="8"/>
      <c r="D9" s="17" t="s">
        <v>50</v>
      </c>
      <c r="E9" s="18" t="s">
        <v>62</v>
      </c>
      <c r="F9" s="7" t="s">
        <v>29</v>
      </c>
      <c r="G9" s="7" t="s">
        <v>52</v>
      </c>
    </row>
    <row r="10" spans="1:7" ht="16.5" thickTop="1" thickBot="1">
      <c r="A10" s="6" t="s">
        <v>55</v>
      </c>
      <c r="B10" s="8"/>
      <c r="C10" s="15"/>
      <c r="D10" s="2" t="s">
        <v>47</v>
      </c>
      <c r="E10" s="14" t="s">
        <v>38</v>
      </c>
      <c r="F10" s="8" t="s">
        <v>35</v>
      </c>
      <c r="G10" s="8"/>
    </row>
    <row r="11" spans="1:7" ht="16.5" thickTop="1" thickBot="1">
      <c r="A11" s="6" t="s">
        <v>56</v>
      </c>
      <c r="B11" s="8"/>
      <c r="C11" s="20" t="s">
        <v>58</v>
      </c>
      <c r="D11" s="2" t="s">
        <v>42</v>
      </c>
      <c r="E11" s="14" t="s">
        <v>38</v>
      </c>
      <c r="F11" s="8" t="s">
        <v>35</v>
      </c>
      <c r="G11" s="8"/>
    </row>
    <row r="12" spans="1:7" ht="16.5" thickTop="1" thickBot="1">
      <c r="A12" s="6" t="s">
        <v>57</v>
      </c>
      <c r="B12" s="8"/>
      <c r="C12" s="20" t="s">
        <v>58</v>
      </c>
      <c r="D12" s="2" t="s">
        <v>45</v>
      </c>
      <c r="E12" s="14" t="s">
        <v>38</v>
      </c>
      <c r="F12" s="8" t="s">
        <v>35</v>
      </c>
      <c r="G12" s="8"/>
    </row>
    <row r="13" spans="1:7" ht="16.5" thickTop="1" thickBot="1">
      <c r="A13" s="6" t="s">
        <v>33</v>
      </c>
      <c r="B13" s="8"/>
      <c r="C13" s="21"/>
      <c r="D13" s="2" t="s">
        <v>43</v>
      </c>
      <c r="E13" s="14" t="s">
        <v>38</v>
      </c>
      <c r="F13" s="8" t="s">
        <v>35</v>
      </c>
      <c r="G13" s="8"/>
    </row>
    <row r="14" spans="1:7" ht="27.75" thickTop="1" thickBot="1">
      <c r="A14" s="33" t="s">
        <v>71</v>
      </c>
      <c r="B14" s="13"/>
      <c r="C14" s="22" t="s">
        <v>143</v>
      </c>
      <c r="D14" s="2" t="s">
        <v>44</v>
      </c>
      <c r="E14" s="14" t="s">
        <v>38</v>
      </c>
      <c r="F14" s="8" t="s">
        <v>35</v>
      </c>
      <c r="G14" s="8"/>
    </row>
    <row r="15" spans="1:7" ht="16.5" thickTop="1" thickBot="1">
      <c r="A15" s="937" t="s">
        <v>64</v>
      </c>
      <c r="B15" s="938"/>
      <c r="D15" s="2" t="s">
        <v>53</v>
      </c>
      <c r="E15" s="14" t="s">
        <v>38</v>
      </c>
      <c r="F15" s="8" t="s">
        <v>35</v>
      </c>
      <c r="G15" s="8"/>
    </row>
    <row r="16" spans="1:7" ht="16.5" thickTop="1" thickBot="1">
      <c r="A16" s="56" t="s">
        <v>67</v>
      </c>
      <c r="B16" s="57" t="s">
        <v>27</v>
      </c>
      <c r="D16" s="6" t="s">
        <v>54</v>
      </c>
      <c r="E16" s="30" t="s">
        <v>38</v>
      </c>
      <c r="F16" s="13" t="s">
        <v>35</v>
      </c>
      <c r="G16" s="13"/>
    </row>
    <row r="17" spans="1:3" ht="16.5" thickTop="1" thickBot="1">
      <c r="A17" s="6" t="s">
        <v>254</v>
      </c>
      <c r="B17" s="8"/>
    </row>
    <row r="18" spans="1:3" ht="16.5" customHeight="1" thickTop="1" thickBot="1">
      <c r="A18" s="6" t="s">
        <v>72</v>
      </c>
      <c r="B18" s="8"/>
      <c r="C18" s="936" t="s">
        <v>88</v>
      </c>
    </row>
    <row r="19" spans="1:3" ht="16.5" thickTop="1" thickBot="1">
      <c r="A19" s="6" t="s">
        <v>66</v>
      </c>
      <c r="B19" s="8"/>
      <c r="C19" s="936"/>
    </row>
    <row r="20" spans="1:3" ht="16.5" thickTop="1" thickBot="1">
      <c r="A20" s="6" t="s">
        <v>68</v>
      </c>
      <c r="B20" s="8"/>
      <c r="C20" s="936"/>
    </row>
    <row r="21" spans="1:3" ht="16.5" thickTop="1" thickBot="1">
      <c r="A21" s="6" t="s">
        <v>91</v>
      </c>
      <c r="B21" s="8"/>
      <c r="C21" s="936"/>
    </row>
    <row r="22" spans="1:3" ht="16.5" thickTop="1" thickBot="1">
      <c r="A22" s="6" t="s">
        <v>65</v>
      </c>
      <c r="B22" s="8"/>
      <c r="C22" s="936"/>
    </row>
    <row r="23" spans="1:3" ht="16.5" thickTop="1" thickBot="1">
      <c r="A23" s="6" t="s">
        <v>73</v>
      </c>
      <c r="B23" s="8"/>
    </row>
    <row r="24" spans="1:3" ht="16.5" thickTop="1" thickBot="1">
      <c r="A24" s="6" t="s">
        <v>70</v>
      </c>
      <c r="B24" s="8"/>
    </row>
    <row r="25" spans="1:3" ht="15.75" customHeight="1" thickTop="1" thickBot="1">
      <c r="A25" s="6" t="s">
        <v>69</v>
      </c>
      <c r="B25" s="8"/>
    </row>
    <row r="26" spans="1:3" ht="16.5" thickTop="1" thickBot="1">
      <c r="A26" s="2" t="s">
        <v>141</v>
      </c>
      <c r="B26" s="8"/>
    </row>
    <row r="27" spans="1:3" ht="27.75" thickTop="1" thickBot="1">
      <c r="A27" s="34" t="s">
        <v>142</v>
      </c>
      <c r="B27" s="8"/>
    </row>
    <row r="28" spans="1:3" ht="27.75" thickTop="1" thickBot="1">
      <c r="A28" s="6" t="s">
        <v>99</v>
      </c>
      <c r="B28" s="58"/>
    </row>
  </sheetData>
  <mergeCells count="5">
    <mergeCell ref="C18:C22"/>
    <mergeCell ref="A15:B15"/>
    <mergeCell ref="D1:G1"/>
    <mergeCell ref="A7:B7"/>
    <mergeCell ref="A1:B1"/>
  </mergeCells>
  <conditionalFormatting sqref="A16">
    <cfRule type="expression" dxfId="9" priority="5" stopIfTrue="1">
      <formula>#REF!="No"</formula>
    </cfRule>
  </conditionalFormatting>
  <conditionalFormatting sqref="B16">
    <cfRule type="expression" dxfId="8" priority="3" stopIfTrue="1">
      <formula>#REF!="No"</formula>
    </cfRule>
  </conditionalFormatting>
  <dataValidations count="1">
    <dataValidation type="list" allowBlank="1" showInputMessage="1" showErrorMessage="1" sqref="E10:E16" xr:uid="{00000000-0002-0000-0C00-000000000000}">
      <formula1>"Yes,No"</formula1>
    </dataValidation>
  </dataValidation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"/>
  <dimension ref="A1:AX42"/>
  <sheetViews>
    <sheetView workbookViewId="0">
      <selection sqref="A1:B1"/>
    </sheetView>
  </sheetViews>
  <sheetFormatPr defaultRowHeight="15" outlineLevelRow="1"/>
  <cols>
    <col min="1" max="1" width="51.85546875" style="531" customWidth="1"/>
    <col min="2" max="2" width="22.5703125" style="531" customWidth="1"/>
    <col min="3" max="3" width="15.85546875" style="531" customWidth="1"/>
    <col min="4" max="4" width="49" style="531" customWidth="1"/>
    <col min="5" max="5" width="18.5703125" style="531" customWidth="1"/>
    <col min="6" max="6" width="17.5703125" style="531" customWidth="1"/>
    <col min="7" max="7" width="15.5703125" style="531" customWidth="1"/>
    <col min="8" max="8" width="16.42578125" style="531" customWidth="1"/>
    <col min="9" max="34" width="9.140625" style="531"/>
    <col min="35" max="35" width="0" style="531" hidden="1" customWidth="1"/>
    <col min="36" max="36" width="9.140625" style="531" hidden="1" customWidth="1"/>
    <col min="37" max="48" width="9.140625" style="548" hidden="1" customWidth="1"/>
    <col min="49" max="50" width="9.140625" style="531" hidden="1" customWidth="1"/>
    <col min="51" max="51" width="0" style="531" hidden="1" customWidth="1"/>
    <col min="52" max="16384" width="9.140625" style="531"/>
  </cols>
  <sheetData>
    <row r="1" spans="1:48" ht="15.75" thickBot="1">
      <c r="A1" s="946" t="s">
        <v>46</v>
      </c>
      <c r="B1" s="947"/>
      <c r="D1" s="946" t="s">
        <v>82</v>
      </c>
      <c r="E1" s="948"/>
      <c r="F1" s="948"/>
      <c r="G1" s="947"/>
      <c r="AK1" s="532"/>
      <c r="AL1" s="944" t="s">
        <v>1180</v>
      </c>
      <c r="AM1" s="944"/>
      <c r="AN1" s="944"/>
      <c r="AO1" s="944"/>
      <c r="AP1" s="944"/>
      <c r="AQ1" s="533"/>
      <c r="AR1" s="944" t="s">
        <v>1181</v>
      </c>
      <c r="AS1" s="944"/>
      <c r="AT1" s="944"/>
      <c r="AU1" s="944"/>
      <c r="AV1" s="944"/>
    </row>
    <row r="2" spans="1:48" ht="16.5" thickTop="1" thickBot="1">
      <c r="A2" s="534" t="s">
        <v>17</v>
      </c>
      <c r="B2" s="534" t="s">
        <v>39</v>
      </c>
      <c r="D2" s="535" t="s">
        <v>28</v>
      </c>
      <c r="E2" s="536" t="s">
        <v>49</v>
      </c>
      <c r="F2" s="534" t="s">
        <v>36</v>
      </c>
      <c r="G2" s="534" t="s">
        <v>51</v>
      </c>
      <c r="AK2" s="532"/>
      <c r="AL2" s="532" t="s">
        <v>1182</v>
      </c>
      <c r="AM2" s="532" t="s">
        <v>1183</v>
      </c>
      <c r="AN2" s="532" t="s">
        <v>1183</v>
      </c>
      <c r="AO2" s="532" t="s">
        <v>1183</v>
      </c>
      <c r="AP2" s="532" t="s">
        <v>1183</v>
      </c>
      <c r="AQ2" s="532"/>
      <c r="AR2" s="532" t="s">
        <v>1182</v>
      </c>
      <c r="AS2" s="532" t="s">
        <v>1183</v>
      </c>
      <c r="AT2" s="532" t="s">
        <v>1183</v>
      </c>
      <c r="AU2" s="532" t="s">
        <v>1183</v>
      </c>
      <c r="AV2" s="532" t="s">
        <v>1183</v>
      </c>
    </row>
    <row r="3" spans="1:48" ht="16.5" thickTop="1" thickBot="1">
      <c r="A3" s="537" t="s">
        <v>74</v>
      </c>
      <c r="B3" s="8"/>
      <c r="C3" s="531" t="s">
        <v>659</v>
      </c>
      <c r="D3" s="537" t="s">
        <v>80</v>
      </c>
      <c r="E3" s="8"/>
      <c r="F3" s="8" t="s">
        <v>35</v>
      </c>
      <c r="G3" s="8"/>
      <c r="AK3" s="538" t="s">
        <v>1184</v>
      </c>
      <c r="AL3" s="539">
        <f>'Analysis-Credit'!$G$5</f>
        <v>0</v>
      </c>
      <c r="AM3" s="539">
        <f>'Analysis-Credit'!$G$6</f>
        <v>0</v>
      </c>
      <c r="AN3" s="539">
        <f>'Analysis-Credit'!$G$7</f>
        <v>0</v>
      </c>
      <c r="AO3" s="539">
        <f>'Analysis-Credit'!$G$8</f>
        <v>0</v>
      </c>
      <c r="AP3" s="539">
        <f>'Analysis-Credit'!$G$9</f>
        <v>0</v>
      </c>
      <c r="AQ3" s="539"/>
      <c r="AR3" s="539"/>
      <c r="AS3" s="538"/>
      <c r="AT3" s="538"/>
      <c r="AU3" s="538"/>
      <c r="AV3" s="538"/>
    </row>
    <row r="4" spans="1:48" ht="16.5" thickTop="1" thickBot="1">
      <c r="A4" s="537" t="s">
        <v>87</v>
      </c>
      <c r="B4" s="8"/>
      <c r="C4" s="531" t="s">
        <v>660</v>
      </c>
      <c r="D4" s="537" t="s">
        <v>81</v>
      </c>
      <c r="E4" s="8"/>
      <c r="F4" s="8" t="s">
        <v>35</v>
      </c>
      <c r="G4" s="8"/>
      <c r="AK4" s="538" t="s">
        <v>1185</v>
      </c>
      <c r="AL4" s="539">
        <f>'Analysis-Credit'!$I$5</f>
        <v>0</v>
      </c>
      <c r="AM4" s="539">
        <f>'Analysis-Credit'!$I$6</f>
        <v>0</v>
      </c>
      <c r="AN4" s="539">
        <f>'Analysis-Credit'!$I$7</f>
        <v>0</v>
      </c>
      <c r="AO4" s="539">
        <f>'Analysis-Credit'!$I$8</f>
        <v>0</v>
      </c>
      <c r="AP4" s="539">
        <f>'Analysis-Credit'!$I$9</f>
        <v>0</v>
      </c>
      <c r="AQ4" s="539"/>
      <c r="AR4" s="538"/>
      <c r="AS4" s="538"/>
      <c r="AT4" s="538"/>
      <c r="AU4" s="538"/>
      <c r="AV4" s="538"/>
    </row>
    <row r="5" spans="1:48" ht="16.5" thickTop="1" thickBot="1">
      <c r="A5" s="540" t="s">
        <v>41</v>
      </c>
      <c r="B5" s="14"/>
      <c r="C5" s="531" t="s">
        <v>661</v>
      </c>
      <c r="D5" s="537" t="s">
        <v>33</v>
      </c>
      <c r="E5" s="8"/>
      <c r="F5" s="8" t="s">
        <v>35</v>
      </c>
      <c r="G5" s="8"/>
      <c r="AK5" s="538" t="s">
        <v>1186</v>
      </c>
      <c r="AL5" s="539">
        <f>'Analysis-Credit'!$K$5</f>
        <v>0</v>
      </c>
      <c r="AM5" s="539">
        <f>'Analysis-Credit'!$K$6</f>
        <v>0</v>
      </c>
      <c r="AN5" s="539">
        <f>'Analysis-Credit'!$K$7</f>
        <v>0</v>
      </c>
      <c r="AO5" s="539">
        <f>'Analysis-Credit'!$K$8</f>
        <v>0</v>
      </c>
      <c r="AP5" s="539">
        <f>'Analysis-Credit'!$K$9</f>
        <v>0</v>
      </c>
      <c r="AQ5" s="539"/>
      <c r="AR5" s="541">
        <f>SUM(AL3:AL5)</f>
        <v>0</v>
      </c>
      <c r="AS5" s="541">
        <f t="shared" ref="AS5:AV5" si="0">SUM(AM3:AM5)</f>
        <v>0</v>
      </c>
      <c r="AT5" s="541">
        <f t="shared" si="0"/>
        <v>0</v>
      </c>
      <c r="AU5" s="541">
        <f t="shared" si="0"/>
        <v>0</v>
      </c>
      <c r="AV5" s="541">
        <f t="shared" si="0"/>
        <v>0</v>
      </c>
    </row>
    <row r="6" spans="1:48" ht="16.5" thickTop="1" thickBot="1">
      <c r="A6" s="950" t="s">
        <v>60</v>
      </c>
      <c r="B6" s="949"/>
      <c r="D6" s="537" t="s">
        <v>111</v>
      </c>
      <c r="E6" s="8"/>
      <c r="F6" s="8" t="s">
        <v>35</v>
      </c>
      <c r="G6" s="8"/>
      <c r="H6" s="542" t="s">
        <v>110</v>
      </c>
      <c r="AK6" s="538" t="s">
        <v>1187</v>
      </c>
      <c r="AL6" s="539">
        <f>'Analysis-Credit'!$M$5</f>
        <v>0</v>
      </c>
      <c r="AM6" s="539">
        <f>'Analysis-Credit'!$M$6</f>
        <v>0</v>
      </c>
      <c r="AN6" s="539">
        <f>'Analysis-Credit'!$M$7</f>
        <v>0</v>
      </c>
      <c r="AO6" s="539">
        <f>'Analysis-Credit'!$M$8</f>
        <v>0</v>
      </c>
      <c r="AP6" s="539">
        <f>'Analysis-Credit'!$M$9</f>
        <v>0</v>
      </c>
      <c r="AQ6" s="539"/>
      <c r="AR6" s="541"/>
      <c r="AS6" s="541"/>
      <c r="AT6" s="541"/>
      <c r="AU6" s="541"/>
      <c r="AV6" s="541"/>
    </row>
    <row r="7" spans="1:48" ht="19.5" customHeight="1" thickTop="1" thickBot="1">
      <c r="A7" s="543" t="s">
        <v>61</v>
      </c>
      <c r="B7" s="8"/>
      <c r="D7" s="535" t="s">
        <v>50</v>
      </c>
      <c r="E7" s="536" t="s">
        <v>62</v>
      </c>
      <c r="F7" s="534" t="s">
        <v>29</v>
      </c>
      <c r="G7" s="534" t="s">
        <v>52</v>
      </c>
      <c r="H7" s="542"/>
      <c r="AK7" s="538" t="s">
        <v>1188</v>
      </c>
      <c r="AL7" s="539">
        <f>'Analysis-Credit'!$O$5</f>
        <v>0</v>
      </c>
      <c r="AM7" s="539">
        <f>'Analysis-Credit'!$O$6</f>
        <v>0</v>
      </c>
      <c r="AN7" s="539">
        <f>'Analysis-Credit'!$O$7</f>
        <v>0</v>
      </c>
      <c r="AO7" s="539">
        <f>'Analysis-Credit'!$O$8</f>
        <v>0</v>
      </c>
      <c r="AP7" s="539">
        <f>'Analysis-Credit'!$O$9</f>
        <v>0</v>
      </c>
      <c r="AQ7" s="539"/>
      <c r="AR7" s="541"/>
      <c r="AS7" s="541"/>
      <c r="AT7" s="541"/>
      <c r="AU7" s="541"/>
      <c r="AV7" s="541"/>
    </row>
    <row r="8" spans="1:48" ht="16.5" thickTop="1" thickBot="1">
      <c r="A8" s="543" t="s">
        <v>37</v>
      </c>
      <c r="B8" s="8"/>
      <c r="D8" s="537" t="s">
        <v>83</v>
      </c>
      <c r="E8" s="14"/>
      <c r="F8" s="8" t="s">
        <v>35</v>
      </c>
      <c r="G8" s="8" t="s">
        <v>417</v>
      </c>
      <c r="AK8" s="538" t="s">
        <v>1189</v>
      </c>
      <c r="AL8" s="539">
        <f>'Analysis-Credit'!$Q$5</f>
        <v>0</v>
      </c>
      <c r="AM8" s="539">
        <f>'Analysis-Credit'!$Q$6</f>
        <v>0</v>
      </c>
      <c r="AN8" s="539">
        <f>'Analysis-Credit'!$Q$7</f>
        <v>0</v>
      </c>
      <c r="AO8" s="539">
        <f>'Analysis-Credit'!$Q$8</f>
        <v>0</v>
      </c>
      <c r="AP8" s="539">
        <f>'Analysis-Credit'!$Q$9</f>
        <v>0</v>
      </c>
      <c r="AQ8" s="539"/>
      <c r="AR8" s="541">
        <f>SUM(AL6:AL8)</f>
        <v>0</v>
      </c>
      <c r="AS8" s="541">
        <f t="shared" ref="AS8:AV8" si="1">SUM(AM6:AM8)</f>
        <v>0</v>
      </c>
      <c r="AT8" s="541">
        <f t="shared" si="1"/>
        <v>0</v>
      </c>
      <c r="AU8" s="541">
        <f t="shared" si="1"/>
        <v>0</v>
      </c>
      <c r="AV8" s="541">
        <f t="shared" si="1"/>
        <v>0</v>
      </c>
    </row>
    <row r="9" spans="1:48" ht="27.75" thickTop="1" thickBot="1">
      <c r="A9" s="543" t="s">
        <v>55</v>
      </c>
      <c r="B9" s="8"/>
      <c r="C9" s="544" t="s">
        <v>58</v>
      </c>
      <c r="D9" s="545" t="s">
        <v>86</v>
      </c>
      <c r="E9" s="14" t="s">
        <v>38</v>
      </c>
      <c r="F9" s="8" t="s">
        <v>35</v>
      </c>
      <c r="G9" s="8" t="s">
        <v>416</v>
      </c>
      <c r="AK9" s="538" t="s">
        <v>1190</v>
      </c>
      <c r="AL9" s="539">
        <f>'Analysis-Credit'!$S$5</f>
        <v>0</v>
      </c>
      <c r="AM9" s="539">
        <f>'Analysis-Credit'!$S$6</f>
        <v>0</v>
      </c>
      <c r="AN9" s="539">
        <f>'Analysis-Credit'!$S$7</f>
        <v>0</v>
      </c>
      <c r="AO9" s="539">
        <f>'Analysis-Credit'!$S$8</f>
        <v>0</v>
      </c>
      <c r="AP9" s="539">
        <f>'Analysis-Credit'!$S$9</f>
        <v>0</v>
      </c>
      <c r="AQ9" s="539"/>
      <c r="AR9" s="532"/>
      <c r="AS9" s="532"/>
      <c r="AT9" s="532"/>
      <c r="AU9" s="532"/>
      <c r="AV9" s="532"/>
    </row>
    <row r="10" spans="1:48" ht="16.5" thickTop="1" thickBot="1">
      <c r="A10" s="543" t="s">
        <v>56</v>
      </c>
      <c r="B10" s="8"/>
      <c r="C10" s="544" t="s">
        <v>58</v>
      </c>
      <c r="D10" s="537" t="s">
        <v>77</v>
      </c>
      <c r="E10" s="14" t="s">
        <v>38</v>
      </c>
      <c r="F10" s="8" t="s">
        <v>35</v>
      </c>
      <c r="G10" s="8"/>
      <c r="AK10" s="538" t="s">
        <v>1191</v>
      </c>
      <c r="AL10" s="539">
        <f>'Analysis-Credit'!$U$5</f>
        <v>0</v>
      </c>
      <c r="AM10" s="539">
        <f>'Analysis-Credit'!$U$6</f>
        <v>0</v>
      </c>
      <c r="AN10" s="539">
        <f>'Analysis-Credit'!$U$7</f>
        <v>0</v>
      </c>
      <c r="AO10" s="539">
        <f>'Analysis-Credit'!$U$8</f>
        <v>0</v>
      </c>
      <c r="AP10" s="539">
        <f>'Analysis-Credit'!$U$9</f>
        <v>0</v>
      </c>
      <c r="AQ10" s="539"/>
      <c r="AR10" s="532"/>
      <c r="AS10" s="532"/>
      <c r="AT10" s="532"/>
      <c r="AU10" s="532"/>
      <c r="AV10" s="532"/>
    </row>
    <row r="11" spans="1:48" ht="18.75" customHeight="1" thickTop="1" thickBot="1">
      <c r="A11" s="543" t="s">
        <v>57</v>
      </c>
      <c r="B11" s="8"/>
      <c r="D11" s="537" t="s">
        <v>75</v>
      </c>
      <c r="E11" s="14" t="s">
        <v>38</v>
      </c>
      <c r="F11" s="8" t="s">
        <v>35</v>
      </c>
      <c r="G11" s="8"/>
      <c r="AK11" s="538" t="s">
        <v>1192</v>
      </c>
      <c r="AL11" s="539">
        <f>'Analysis-Credit'!$W$5</f>
        <v>0</v>
      </c>
      <c r="AM11" s="539">
        <f>'Analysis-Credit'!$W$6</f>
        <v>0</v>
      </c>
      <c r="AN11" s="539">
        <f>'Analysis-Credit'!$W$7</f>
        <v>0</v>
      </c>
      <c r="AO11" s="539">
        <f>'Analysis-Credit'!$W$8</f>
        <v>0</v>
      </c>
      <c r="AP11" s="539">
        <f>'Analysis-Credit'!$W$9</f>
        <v>0</v>
      </c>
      <c r="AQ11" s="539"/>
      <c r="AR11" s="541">
        <f>SUM(AL9:AL11)</f>
        <v>0</v>
      </c>
      <c r="AS11" s="541">
        <f t="shared" ref="AS11:AV11" si="2">SUM(AM9:AM11)</f>
        <v>0</v>
      </c>
      <c r="AT11" s="541">
        <f t="shared" si="2"/>
        <v>0</v>
      </c>
      <c r="AU11" s="541">
        <f t="shared" si="2"/>
        <v>0</v>
      </c>
      <c r="AV11" s="541">
        <f t="shared" si="2"/>
        <v>0</v>
      </c>
    </row>
    <row r="12" spans="1:48" ht="16.5" customHeight="1" thickTop="1" thickBot="1">
      <c r="A12" s="543" t="s">
        <v>33</v>
      </c>
      <c r="B12" s="8"/>
      <c r="C12" s="546" t="s">
        <v>96</v>
      </c>
      <c r="D12" s="537" t="s">
        <v>44</v>
      </c>
      <c r="E12" s="14" t="s">
        <v>38</v>
      </c>
      <c r="F12" s="8" t="s">
        <v>35</v>
      </c>
      <c r="G12" s="8"/>
      <c r="AK12" s="538" t="s">
        <v>1193</v>
      </c>
      <c r="AL12" s="539">
        <f>'Analysis-Credit'!$Y$5</f>
        <v>0</v>
      </c>
      <c r="AM12" s="539">
        <f>'Analysis-Credit'!$Y$6</f>
        <v>0</v>
      </c>
      <c r="AN12" s="539">
        <f>'Analysis-Credit'!$Y$7</f>
        <v>0</v>
      </c>
      <c r="AO12" s="539">
        <f>'Analysis-Credit'!$Y$8</f>
        <v>0</v>
      </c>
      <c r="AP12" s="539">
        <f>'Analysis-Credit'!$Y$9</f>
        <v>0</v>
      </c>
      <c r="AQ12" s="539"/>
      <c r="AR12" s="532"/>
      <c r="AS12" s="532"/>
      <c r="AT12" s="532"/>
      <c r="AU12" s="532"/>
      <c r="AV12" s="532"/>
    </row>
    <row r="13" spans="1:48" ht="21" customHeight="1" thickTop="1" thickBot="1">
      <c r="A13" s="543" t="s">
        <v>210</v>
      </c>
      <c r="B13" s="8"/>
      <c r="D13" s="537" t="s">
        <v>76</v>
      </c>
      <c r="E13" s="14" t="s">
        <v>38</v>
      </c>
      <c r="F13" s="8" t="s">
        <v>35</v>
      </c>
      <c r="G13" s="8"/>
      <c r="AK13" s="538" t="s">
        <v>1194</v>
      </c>
      <c r="AL13" s="539">
        <f>'Analysis-Credit'!$AA$5</f>
        <v>0</v>
      </c>
      <c r="AM13" s="539">
        <f>'Analysis-Credit'!$AA$6</f>
        <v>0</v>
      </c>
      <c r="AN13" s="539">
        <f>'Analysis-Credit'!$AA$7</f>
        <v>0</v>
      </c>
      <c r="AO13" s="539">
        <f>'Analysis-Credit'!$AA$8</f>
        <v>0</v>
      </c>
      <c r="AP13" s="539">
        <f>'Analysis-Credit'!$AA$9</f>
        <v>0</v>
      </c>
      <c r="AQ13" s="539"/>
      <c r="AR13" s="532"/>
      <c r="AS13" s="532"/>
      <c r="AT13" s="532"/>
      <c r="AU13" s="532"/>
      <c r="AV13" s="532"/>
    </row>
    <row r="14" spans="1:48" ht="15" customHeight="1" thickTop="1" thickBot="1">
      <c r="D14" s="537" t="s">
        <v>78</v>
      </c>
      <c r="E14" s="14" t="s">
        <v>38</v>
      </c>
      <c r="F14" s="8" t="s">
        <v>35</v>
      </c>
      <c r="G14" s="8"/>
      <c r="AK14" s="538" t="s">
        <v>1195</v>
      </c>
      <c r="AL14" s="539">
        <f>'Analysis-Credit'!$AC$5</f>
        <v>0</v>
      </c>
      <c r="AM14" s="539">
        <f>'Analysis-Credit'!$AC$6</f>
        <v>0</v>
      </c>
      <c r="AN14" s="539">
        <f>'Analysis-Credit'!$AC$7</f>
        <v>0</v>
      </c>
      <c r="AO14" s="539">
        <f>'Analysis-Credit'!$AC$8</f>
        <v>0</v>
      </c>
      <c r="AP14" s="539">
        <f>'Analysis-Credit'!$AC$9</f>
        <v>0</v>
      </c>
      <c r="AQ14" s="539"/>
      <c r="AR14" s="541">
        <f>SUM(AL12:AL14)</f>
        <v>0</v>
      </c>
      <c r="AS14" s="541">
        <f t="shared" ref="AS14:AV14" si="3">SUM(AM12:AM14)</f>
        <v>0</v>
      </c>
      <c r="AT14" s="541">
        <f t="shared" si="3"/>
        <v>0</v>
      </c>
      <c r="AU14" s="541">
        <f t="shared" si="3"/>
        <v>0</v>
      </c>
      <c r="AV14" s="541">
        <f t="shared" si="3"/>
        <v>0</v>
      </c>
    </row>
    <row r="15" spans="1:48" ht="16.5" thickTop="1" thickBot="1">
      <c r="D15" s="537" t="s">
        <v>79</v>
      </c>
      <c r="E15" s="14" t="s">
        <v>38</v>
      </c>
      <c r="F15" s="8" t="s">
        <v>35</v>
      </c>
      <c r="G15" s="8"/>
      <c r="AK15" s="538"/>
      <c r="AL15" s="539"/>
      <c r="AM15" s="539"/>
      <c r="AN15" s="539"/>
      <c r="AO15" s="539"/>
      <c r="AP15" s="539"/>
      <c r="AQ15" s="539"/>
      <c r="AR15" s="532"/>
      <c r="AS15" s="532"/>
      <c r="AT15" s="532"/>
      <c r="AU15" s="532"/>
      <c r="AV15" s="532"/>
    </row>
    <row r="16" spans="1:48" ht="21.75" customHeight="1" thickTop="1" thickBot="1">
      <c r="A16" s="945" t="s">
        <v>64</v>
      </c>
      <c r="B16" s="949"/>
      <c r="AK16" s="538"/>
      <c r="AL16" s="539"/>
      <c r="AM16" s="539"/>
      <c r="AN16" s="539"/>
      <c r="AO16" s="539"/>
      <c r="AP16" s="539"/>
      <c r="AQ16" s="539"/>
      <c r="AR16" s="532">
        <f>COUNTIF(AR3:AR14,"&lt;9")</f>
        <v>4</v>
      </c>
      <c r="AS16" s="532">
        <f t="shared" ref="AS16:AV16" si="4">COUNTIF(AS3:AS14,"&lt;9")</f>
        <v>4</v>
      </c>
      <c r="AT16" s="532">
        <f t="shared" si="4"/>
        <v>4</v>
      </c>
      <c r="AU16" s="532">
        <f t="shared" si="4"/>
        <v>4</v>
      </c>
      <c r="AV16" s="532">
        <f t="shared" si="4"/>
        <v>4</v>
      </c>
    </row>
    <row r="17" spans="1:48" ht="16.5" outlineLevel="1" thickTop="1" thickBot="1">
      <c r="A17" s="543" t="s">
        <v>93</v>
      </c>
      <c r="B17" s="8">
        <f>'Banking Analysis'!F22</f>
        <v>0</v>
      </c>
      <c r="AK17" s="538"/>
      <c r="AL17" s="539"/>
      <c r="AM17" s="539"/>
      <c r="AN17" s="539"/>
      <c r="AO17" s="539"/>
      <c r="AP17" s="539"/>
      <c r="AQ17" s="539"/>
      <c r="AR17" s="541"/>
      <c r="AS17" s="541"/>
      <c r="AT17" s="541"/>
      <c r="AU17" s="541"/>
      <c r="AV17" s="541"/>
    </row>
    <row r="18" spans="1:48" ht="16.5" outlineLevel="1" thickTop="1" thickBot="1">
      <c r="A18" s="543" t="s">
        <v>92</v>
      </c>
      <c r="B18" s="8">
        <v>1.5</v>
      </c>
      <c r="AK18" s="532" t="s">
        <v>1196</v>
      </c>
      <c r="AL18" s="532">
        <f>IF(OR(COUNTIF(AL3:AL14,0)&gt;2,COUNTIF(AL3:AL5,0)&gt;0,'Analysis-Credit'!E5&lt; 36),1,0)</f>
        <v>1</v>
      </c>
      <c r="AM18" s="532">
        <f>IF(OR(COUNTIF(AM3:AM14,0)&gt;2,COUNTIF(AM3:AM5,0)&gt;1,'Analysis-Credit'!E6&lt; 36),1,0)</f>
        <v>1</v>
      </c>
      <c r="AN18" s="532">
        <f>IF(OR(COUNTIF(AN3:AN14,0)&gt;2,COUNTIF(AN3:AN5,0)&gt;1,'Analysis-Credit'!E7&lt; 36),1,0)</f>
        <v>1</v>
      </c>
      <c r="AO18" s="532">
        <f>IF(OR(COUNTIF(AO3:AO14,0)&gt;2,COUNTIF(AO3:AO5,0)&gt;1,'Analysis-Credit'!E8&lt; 36),1,0)</f>
        <v>1</v>
      </c>
      <c r="AP18" s="532">
        <f>IF(OR(COUNTIF(AP3:AP14,0)&gt;2,COUNTIF(AP3:AP5,0)&gt;1,'Analysis-Credit'!E9&lt; 36),1,0)</f>
        <v>1</v>
      </c>
      <c r="AQ18" s="532"/>
      <c r="AR18" s="532"/>
      <c r="AS18" s="532"/>
      <c r="AT18" s="532"/>
      <c r="AU18" s="532"/>
      <c r="AV18" s="532"/>
    </row>
    <row r="19" spans="1:48" ht="16.5" outlineLevel="1" thickTop="1" thickBot="1">
      <c r="A19" s="547" t="s">
        <v>94</v>
      </c>
      <c r="B19" s="8">
        <f>B17/B18</f>
        <v>0</v>
      </c>
      <c r="AK19" s="532" t="s">
        <v>1197</v>
      </c>
      <c r="AL19" s="532">
        <f>IF(OR(AND(COUNTIF(AL3:AL14,"&lt;3")&gt;0,COUNTIF(AL3:AL14,"&lt;1")&gt;0),COUNTIF('Analysis-Credit'!AR3:AR14,"&lt;9")&gt;0,'Analysis-Credit'!E5&lt;36),1,0)</f>
        <v>1</v>
      </c>
      <c r="AM19" s="532">
        <f>IF('Analysis-Credit'!A6="CA",IF(OR(OR(COUNTIF(AM3:AM14,0)&gt;0,COUNTIF(AM3:AM5,0)&gt;0),'Analysis-Credit'!E6&lt;12),1,0),IF(OR(COUNTIF('Analysis-Credit'!AS3:AS14,"&lt;3")&gt;0,'Analysis-Credit'!E6&lt;36),1,0))</f>
        <v>1</v>
      </c>
      <c r="AN19" s="532">
        <f>IF('Analysis-Credit'!A7="CA",IF(OR(OR(COUNTIF(AN3:AN14,0)&gt;0,COUNTIF(AN3:AN5,0)&gt;0),'Analysis-Credit'!E7&lt;12),1,0),IF(OR(COUNTIF('Analysis-Credit'!AT3:AT14,"&lt;3")&gt;0,'Analysis-Credit'!E7&lt;36),1,0))</f>
        <v>1</v>
      </c>
      <c r="AO19" s="532">
        <f>IF('Analysis-Credit'!A8="CA",IF(OR(OR(COUNTIF(AO3:AO14,0)&gt;0,COUNTIF(AO3:AO5,0)&gt;0),'Analysis-Credit'!E8&lt;12),1,0),IF(OR(COUNTIF(AU3:AU14,"&lt;3")&gt;0,'Analysis-Credit'!E8&lt;36),1,0))</f>
        <v>1</v>
      </c>
      <c r="AP19" s="532">
        <f>IF('Analysis-Credit'!A9="CA",IF(OR(OR(COUNTIF(AP3:AP14,0)&gt;0,COUNTIF(AP3:AP5,0)&gt;0),'Analysis-Credit'!E9&lt;12),1,0),IF(OR(COUNTIF(AV3:AV14,"&lt;3")&gt;0,'Analysis-Credit'!E9&lt;36),1,0))</f>
        <v>1</v>
      </c>
      <c r="AQ19" s="532"/>
      <c r="AR19" s="532"/>
      <c r="AS19" s="532"/>
      <c r="AT19" s="532"/>
      <c r="AU19" s="532"/>
      <c r="AV19" s="532"/>
    </row>
    <row r="20" spans="1:48" ht="16.5" outlineLevel="1" thickTop="1" thickBot="1">
      <c r="A20" s="543" t="s">
        <v>90</v>
      </c>
      <c r="B20" s="8">
        <f>'Banking Analysis'!F20</f>
        <v>0</v>
      </c>
      <c r="AK20" s="532"/>
      <c r="AL20" s="532" t="str">
        <f>IF(AL18=1,"CH",IF(AL19=1,"RCH","-"))</f>
        <v>CH</v>
      </c>
      <c r="AM20" s="532" t="str">
        <f t="shared" ref="AM20:AP20" si="5">IF(AM18=1,"CH",IF(AM19=1,"RCH","-"))</f>
        <v>CH</v>
      </c>
      <c r="AN20" s="532" t="str">
        <f t="shared" si="5"/>
        <v>CH</v>
      </c>
      <c r="AO20" s="532" t="str">
        <f t="shared" si="5"/>
        <v>CH</v>
      </c>
      <c r="AP20" s="532" t="str">
        <f t="shared" si="5"/>
        <v>CH</v>
      </c>
      <c r="AQ20" s="532"/>
      <c r="AR20" s="532"/>
      <c r="AS20" s="532"/>
      <c r="AT20" s="532"/>
      <c r="AU20" s="532"/>
      <c r="AV20" s="532"/>
    </row>
    <row r="21" spans="1:48" ht="16.5" outlineLevel="1" thickTop="1" thickBot="1">
      <c r="A21" s="543" t="s">
        <v>650</v>
      </c>
      <c r="B21" s="8">
        <f>3</f>
        <v>3</v>
      </c>
      <c r="AK21" s="532"/>
      <c r="AL21" s="532"/>
      <c r="AM21" s="532"/>
      <c r="AN21" s="532"/>
      <c r="AO21" s="532"/>
      <c r="AP21" s="532"/>
      <c r="AQ21" s="532"/>
      <c r="AR21" s="532"/>
      <c r="AS21" s="532"/>
      <c r="AT21" s="532"/>
      <c r="AU21" s="532"/>
      <c r="AV21" s="532"/>
    </row>
    <row r="22" spans="1:48" ht="16.5" outlineLevel="1" thickTop="1" thickBot="1">
      <c r="A22" s="543" t="s">
        <v>95</v>
      </c>
      <c r="B22" s="8">
        <f>B20/B21</f>
        <v>0</v>
      </c>
      <c r="AK22" s="532"/>
      <c r="AL22" s="532"/>
      <c r="AM22" s="532"/>
      <c r="AN22" s="532"/>
      <c r="AO22" s="532"/>
      <c r="AP22" s="532"/>
      <c r="AQ22" s="532"/>
      <c r="AR22" s="532"/>
      <c r="AS22" s="532"/>
      <c r="AT22" s="532"/>
      <c r="AU22" s="532"/>
      <c r="AV22" s="532"/>
    </row>
    <row r="23" spans="1:48" ht="16.5" outlineLevel="1" thickTop="1" thickBot="1">
      <c r="A23" s="543" t="s">
        <v>651</v>
      </c>
      <c r="B23" s="27">
        <v>1.5</v>
      </c>
      <c r="AK23" s="532"/>
      <c r="AL23" s="532"/>
      <c r="AM23" s="532"/>
      <c r="AN23" s="532"/>
      <c r="AO23" s="532"/>
      <c r="AP23" s="532"/>
      <c r="AQ23" s="532"/>
      <c r="AR23" s="532"/>
      <c r="AS23" s="532"/>
      <c r="AT23" s="532"/>
      <c r="AU23" s="532"/>
      <c r="AV23" s="532"/>
    </row>
    <row r="24" spans="1:48" ht="16.5" outlineLevel="1" thickTop="1" thickBot="1">
      <c r="A24" s="543" t="s">
        <v>95</v>
      </c>
      <c r="B24" s="8">
        <f>B20/B23</f>
        <v>0</v>
      </c>
      <c r="AQ24" s="532"/>
      <c r="AR24" s="532"/>
      <c r="AS24" s="532"/>
      <c r="AT24" s="532"/>
      <c r="AU24" s="532"/>
      <c r="AV24" s="532"/>
    </row>
    <row r="25" spans="1:48" ht="16.5" outlineLevel="1" thickTop="1" thickBot="1">
      <c r="A25" s="543" t="s">
        <v>652</v>
      </c>
      <c r="B25" s="8"/>
      <c r="AQ25" s="532"/>
      <c r="AR25" s="532"/>
      <c r="AS25" s="532"/>
      <c r="AT25" s="532"/>
      <c r="AU25" s="532"/>
      <c r="AV25" s="532"/>
    </row>
    <row r="26" spans="1:48" ht="16.5" outlineLevel="1" thickTop="1" thickBot="1">
      <c r="A26" s="547" t="s">
        <v>653</v>
      </c>
      <c r="B26" s="8"/>
    </row>
    <row r="27" spans="1:48" ht="16.5" outlineLevel="1" thickTop="1" thickBot="1">
      <c r="A27" s="547" t="s">
        <v>654</v>
      </c>
      <c r="B27" s="8"/>
      <c r="C27" s="531" t="s">
        <v>903</v>
      </c>
    </row>
    <row r="28" spans="1:48" ht="16.5" outlineLevel="1" thickTop="1" thickBot="1">
      <c r="A28" s="547" t="s">
        <v>658</v>
      </c>
      <c r="B28" s="8">
        <f>MAX(B26,B27)</f>
        <v>0</v>
      </c>
    </row>
    <row r="29" spans="1:48" ht="16.5" outlineLevel="1" thickTop="1" thickBot="1">
      <c r="A29" s="543" t="s">
        <v>97</v>
      </c>
      <c r="B29" s="8"/>
    </row>
    <row r="30" spans="1:48" ht="16.5" outlineLevel="1" thickTop="1" thickBot="1">
      <c r="A30" s="543" t="s">
        <v>98</v>
      </c>
      <c r="B30" s="8"/>
    </row>
    <row r="31" spans="1:48" ht="16.5" outlineLevel="1" thickTop="1" thickBot="1">
      <c r="A31" s="547" t="s">
        <v>655</v>
      </c>
      <c r="B31" s="8"/>
    </row>
    <row r="32" spans="1:48" ht="27.75" outlineLevel="1" thickTop="1" thickBot="1">
      <c r="A32" s="547" t="s">
        <v>656</v>
      </c>
      <c r="B32" s="25"/>
    </row>
    <row r="33" spans="1:6" ht="27.75" outlineLevel="1" thickTop="1" thickBot="1">
      <c r="A33" s="547" t="s">
        <v>657</v>
      </c>
      <c r="B33" s="25"/>
    </row>
    <row r="34" spans="1:6" ht="15.75" thickBot="1"/>
    <row r="35" spans="1:6" ht="16.5" thickTop="1" thickBot="1">
      <c r="A35" s="945" t="s">
        <v>107</v>
      </c>
      <c r="B35" s="945"/>
      <c r="C35" s="549" t="s">
        <v>933</v>
      </c>
    </row>
    <row r="36" spans="1:6" ht="16.5" thickTop="1" thickBot="1">
      <c r="A36" s="550" t="s">
        <v>100</v>
      </c>
      <c r="B36" s="550" t="s">
        <v>101</v>
      </c>
      <c r="C36" s="550" t="s">
        <v>102</v>
      </c>
      <c r="D36" s="550" t="s">
        <v>102</v>
      </c>
      <c r="E36" s="550" t="s">
        <v>102</v>
      </c>
      <c r="F36" s="550" t="s">
        <v>102</v>
      </c>
    </row>
    <row r="37" spans="1:6" ht="16.5" thickTop="1" thickBot="1">
      <c r="A37" s="543" t="s">
        <v>108</v>
      </c>
      <c r="B37" s="8">
        <f>IF('Analysis-Credit'!B5=1,'Analysis-Credit'!E5,"-")</f>
        <v>0</v>
      </c>
      <c r="C37" s="8" t="str">
        <f>IF('Analysis-Credit'!B6=2,'Analysis-Credit'!E6,"-")</f>
        <v>-</v>
      </c>
      <c r="D37" s="8" t="str">
        <f>IF('Analysis-Credit'!B7=3,'Analysis-Credit'!E7,"-")</f>
        <v>-</v>
      </c>
      <c r="E37" s="8" t="str">
        <f>IF('Analysis-Credit'!B8=4,'Analysis-Credit'!E8,"-")</f>
        <v>-</v>
      </c>
      <c r="F37" s="8" t="str">
        <f>IF('Analysis-Credit'!B9=5,'Analysis-Credit'!E9,"-")</f>
        <v>-</v>
      </c>
    </row>
    <row r="38" spans="1:6" ht="16.5" thickTop="1" thickBot="1">
      <c r="A38" s="543" t="s">
        <v>103</v>
      </c>
      <c r="B38" s="8">
        <f>IF('Analysis-Credit'!B5=1,COUNTIFS(AL3:AL14,"&lt;3"),"-")</f>
        <v>12</v>
      </c>
      <c r="C38" s="8" t="str">
        <f>IF('Analysis-Credit'!B6=2,COUNTIFS(AM3:AM14,"&lt;3"),"-")</f>
        <v>-</v>
      </c>
      <c r="D38" s="8" t="str">
        <f>IF('Analysis-Credit'!B7=3,COUNTIFS(AN3:AN14,"&lt;3"),"-")</f>
        <v>-</v>
      </c>
      <c r="E38" s="8" t="str">
        <f>IF('Analysis-Credit'!B8=4,COUNTIFS(AO3:AO14,"&lt;3"),"-")</f>
        <v>-</v>
      </c>
      <c r="F38" s="8" t="str">
        <f>IF('Analysis-Credit'!B9=5,COUNTIFS(AP3:AP14,"&lt;3"),"-")</f>
        <v>-</v>
      </c>
    </row>
    <row r="39" spans="1:6" ht="16.5" thickTop="1" thickBot="1">
      <c r="A39" s="543" t="s">
        <v>104</v>
      </c>
      <c r="B39" s="8">
        <f>IF('Analysis-Credit'!B5=1,COUNTIFS(AL3:AL14,"0"),"-")</f>
        <v>12</v>
      </c>
      <c r="C39" s="8" t="str">
        <f>IF('Analysis-Credit'!B6=2,COUNTIFS(AM3:AM14,"0"),"-")</f>
        <v>-</v>
      </c>
      <c r="D39" s="8" t="str">
        <f>IF('Analysis-Credit'!B7=3,COUNTIFS(AN3:AN14,"0"),"-")</f>
        <v>-</v>
      </c>
      <c r="E39" s="8" t="str">
        <f>IF('Analysis-Credit'!B8=4,COUNTIFS(AO3:AO14,"0"),"-")</f>
        <v>-</v>
      </c>
      <c r="F39" s="8" t="str">
        <f>IF('Analysis-Credit'!B9=5,COUNTIFS(AP3:AP14,"0"),"-")</f>
        <v>-</v>
      </c>
    </row>
    <row r="40" spans="1:6" ht="16.5" thickTop="1" thickBot="1">
      <c r="A40" s="543" t="s">
        <v>105</v>
      </c>
      <c r="B40" s="8">
        <f>IF('Analysis-Credit'!B5=1,COUNTIFS(AL3:AL5,"&lt;3"),"-")</f>
        <v>3</v>
      </c>
      <c r="C40" s="8" t="str">
        <f>IF('Analysis-Credit'!B6=2,COUNTIFS(AM3:AM5,"&lt;3"),"-")</f>
        <v>-</v>
      </c>
      <c r="D40" s="8" t="str">
        <f>IF('Analysis-Credit'!B7=3,COUNTIFS(AN3:AN5,"&lt;3"),"-")</f>
        <v>-</v>
      </c>
      <c r="E40" s="8" t="str">
        <f>IF('Analysis-Credit'!B8=4,COUNTIFS(AO3:AO5,"&lt;3"),"-")</f>
        <v>-</v>
      </c>
      <c r="F40" s="8" t="str">
        <f>IF('Analysis-Credit'!B9=5,COUNTIFS(AP3:AP5,"&lt;3"),"-")</f>
        <v>-</v>
      </c>
    </row>
    <row r="41" spans="1:6" ht="16.5" thickTop="1" thickBot="1">
      <c r="A41" s="543" t="s">
        <v>106</v>
      </c>
      <c r="B41" s="8">
        <f>IF('Analysis-Credit'!B5=1,COUNTIFS(AL3:AL5,0),"-")</f>
        <v>3</v>
      </c>
      <c r="C41" s="8" t="str">
        <f>IF('Analysis-Credit'!B6=2,COUNTIFS(AM3:AM5,0),"-")</f>
        <v>-</v>
      </c>
      <c r="D41" s="8" t="str">
        <f>IF('Analysis-Credit'!B7=3,COUNTIFS(AN3:AN5,0),"-")</f>
        <v>-</v>
      </c>
      <c r="E41" s="8" t="str">
        <f>IF('Analysis-Credit'!B8=4,COUNTIFS(AO3:AO5,0),"-")</f>
        <v>-</v>
      </c>
      <c r="F41" s="8" t="str">
        <f>IF('Analysis-Credit'!B9=5,COUNTIFS(AP3:AP5,0),"-")</f>
        <v>-</v>
      </c>
    </row>
    <row r="42" spans="1:6" ht="16.5" thickTop="1" thickBot="1">
      <c r="A42" s="543" t="s">
        <v>109</v>
      </c>
      <c r="B42" s="530" t="str">
        <f>IF('Analysis-Credit'!B5=1,AL20,"-")</f>
        <v>CH</v>
      </c>
      <c r="C42" s="530" t="str">
        <f>IF('Analysis-Credit'!B6=2,AM20,"-")</f>
        <v>-</v>
      </c>
      <c r="D42" s="530" t="str">
        <f>IF('Analysis-Credit'!B7=3,AN20,"-")</f>
        <v>-</v>
      </c>
      <c r="E42" s="530" t="str">
        <f>IF('Analysis-Credit'!B8=4,AO20,"-")</f>
        <v>-</v>
      </c>
      <c r="F42" s="530" t="str">
        <f>IF('Analysis-Credit'!B9=5,AP20,"-")</f>
        <v>-</v>
      </c>
    </row>
  </sheetData>
  <mergeCells count="7">
    <mergeCell ref="AL1:AP1"/>
    <mergeCell ref="AR1:AV1"/>
    <mergeCell ref="A35:B35"/>
    <mergeCell ref="A1:B1"/>
    <mergeCell ref="D1:G1"/>
    <mergeCell ref="A16:B16"/>
    <mergeCell ref="A6:B6"/>
  </mergeCells>
  <conditionalFormatting sqref="B36:F36">
    <cfRule type="containsText" dxfId="7" priority="6" stopIfTrue="1" operator="containsText" text="NO">
      <formula>NOT(ISERROR(SEARCH("NO",B36)))</formula>
    </cfRule>
    <cfRule type="containsText" dxfId="6" priority="7" stopIfTrue="1" operator="containsText" text="NA">
      <formula>NOT(ISERROR(SEARCH("NA",B36)))</formula>
    </cfRule>
  </conditionalFormatting>
  <conditionalFormatting sqref="B36:F36">
    <cfRule type="expression" dxfId="5" priority="4" stopIfTrue="1">
      <formula>$B$41="No"</formula>
    </cfRule>
  </conditionalFormatting>
  <conditionalFormatting sqref="A36">
    <cfRule type="containsText" dxfId="4" priority="2" stopIfTrue="1" operator="containsText" text="NO">
      <formula>NOT(ISERROR(SEARCH("NO",A36)))</formula>
    </cfRule>
    <cfRule type="containsText" dxfId="3" priority="3" stopIfTrue="1" operator="containsText" text="NA">
      <formula>NOT(ISERROR(SEARCH("NA",A36)))</formula>
    </cfRule>
  </conditionalFormatting>
  <conditionalFormatting sqref="A36">
    <cfRule type="expression" dxfId="2" priority="1" stopIfTrue="1">
      <formula>$B$41="No"</formula>
    </cfRule>
  </conditionalFormatting>
  <dataValidations count="4">
    <dataValidation type="list" allowBlank="1" showInputMessage="1" showErrorMessage="1" sqref="E10:E15" xr:uid="{00000000-0002-0000-0D00-000000000000}">
      <formula1>"Yes,No"</formula1>
    </dataValidation>
    <dataValidation allowBlank="1" showInputMessage="1" showErrorMessage="1" prompt="Restaurant, Cinema hall, godown, hospital,petrol pump etc " sqref="D15" xr:uid="{00000000-0002-0000-0D00-000001000000}"/>
    <dataValidation type="list" allowBlank="1" showInputMessage="1" showErrorMessage="1" prompt="LAP,Gold Loan, Top up etc" sqref="E9" xr:uid="{00000000-0002-0000-0D00-000002000000}">
      <formula1>"Yes,No"</formula1>
    </dataValidation>
    <dataValidation allowBlank="1" showInputMessage="1" showErrorMessage="1" prompt="Will show the  approving authority based on the NFAs" sqref="B13" xr:uid="{00000000-0002-0000-0D00-000003000000}"/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A1:H26"/>
  <sheetViews>
    <sheetView workbookViewId="0">
      <selection sqref="A1:C1"/>
    </sheetView>
  </sheetViews>
  <sheetFormatPr defaultRowHeight="15" outlineLevelRow="1"/>
  <cols>
    <col min="1" max="1" width="41.28515625" customWidth="1"/>
    <col min="2" max="2" width="19.42578125" customWidth="1"/>
    <col min="3" max="3" width="23.7109375" customWidth="1"/>
    <col min="4" max="4" width="15.5703125" customWidth="1"/>
    <col min="5" max="5" width="37.5703125" customWidth="1"/>
    <col min="6" max="6" width="14.5703125" customWidth="1"/>
    <col min="7" max="7" width="15.140625" customWidth="1"/>
    <col min="8" max="8" width="22" customWidth="1"/>
  </cols>
  <sheetData>
    <row r="1" spans="1:8" ht="15.75" thickBot="1">
      <c r="A1" s="934" t="s">
        <v>112</v>
      </c>
      <c r="B1" s="935"/>
      <c r="C1" s="935"/>
      <c r="E1" s="939" t="s">
        <v>115</v>
      </c>
      <c r="F1" s="940"/>
      <c r="G1" s="940"/>
      <c r="H1" s="941"/>
    </row>
    <row r="2" spans="1:8" ht="16.5" thickTop="1" thickBot="1">
      <c r="A2" s="7" t="s">
        <v>17</v>
      </c>
      <c r="B2" s="7" t="s">
        <v>113</v>
      </c>
      <c r="C2" s="7" t="s">
        <v>114</v>
      </c>
      <c r="E2" s="17" t="s">
        <v>125</v>
      </c>
      <c r="F2" s="18" t="s">
        <v>49</v>
      </c>
      <c r="G2" s="7" t="s">
        <v>36</v>
      </c>
      <c r="H2" s="7" t="s">
        <v>51</v>
      </c>
    </row>
    <row r="3" spans="1:8" ht="16.5" thickTop="1" thickBot="1">
      <c r="A3" s="2" t="s">
        <v>74</v>
      </c>
      <c r="B3" s="8"/>
      <c r="C3" s="8"/>
      <c r="E3" s="2" t="s">
        <v>122</v>
      </c>
      <c r="F3" s="8"/>
      <c r="G3" s="28">
        <v>1.25</v>
      </c>
      <c r="H3" s="8"/>
    </row>
    <row r="4" spans="1:8" ht="16.5" thickTop="1" thickBot="1">
      <c r="A4" s="2" t="s">
        <v>87</v>
      </c>
      <c r="B4" s="8"/>
      <c r="C4" s="8"/>
      <c r="E4" s="2" t="s">
        <v>123</v>
      </c>
      <c r="F4" s="8"/>
      <c r="G4" s="27">
        <v>1.5</v>
      </c>
      <c r="H4" s="8"/>
    </row>
    <row r="5" spans="1:8" ht="16.5" thickTop="1" thickBot="1">
      <c r="A5" s="19" t="s">
        <v>41</v>
      </c>
      <c r="B5" s="14"/>
      <c r="C5" s="14"/>
      <c r="E5" s="17" t="s">
        <v>50</v>
      </c>
      <c r="F5" s="18" t="s">
        <v>62</v>
      </c>
      <c r="G5" s="7" t="s">
        <v>29</v>
      </c>
      <c r="H5" s="7" t="s">
        <v>52</v>
      </c>
    </row>
    <row r="6" spans="1:8" ht="16.5" thickTop="1" thickBot="1">
      <c r="A6" s="934" t="s">
        <v>60</v>
      </c>
      <c r="B6" s="935"/>
      <c r="C6" s="935"/>
      <c r="E6" s="2" t="s">
        <v>85</v>
      </c>
      <c r="F6" s="8" t="s">
        <v>38</v>
      </c>
      <c r="G6" s="8" t="s">
        <v>35</v>
      </c>
      <c r="H6" s="8"/>
    </row>
    <row r="7" spans="1:8" ht="27.75" thickTop="1" thickBot="1">
      <c r="A7" s="6" t="s">
        <v>61</v>
      </c>
      <c r="B7" s="8"/>
      <c r="C7" s="8"/>
      <c r="E7" s="2" t="s">
        <v>211</v>
      </c>
      <c r="F7" s="14" t="s">
        <v>38</v>
      </c>
      <c r="G7" s="8" t="s">
        <v>35</v>
      </c>
      <c r="H7" s="29" t="s">
        <v>124</v>
      </c>
    </row>
    <row r="8" spans="1:8" ht="16.5" thickTop="1" thickBot="1">
      <c r="A8" s="6" t="s">
        <v>37</v>
      </c>
      <c r="B8" s="8"/>
      <c r="C8" s="8"/>
      <c r="E8" s="2" t="s">
        <v>158</v>
      </c>
      <c r="F8" s="14" t="s">
        <v>38</v>
      </c>
      <c r="G8" s="8" t="s">
        <v>35</v>
      </c>
      <c r="H8" s="8"/>
    </row>
    <row r="9" spans="1:8" ht="27.75" thickTop="1" thickBot="1">
      <c r="A9" s="6" t="s">
        <v>55</v>
      </c>
      <c r="B9" s="26"/>
      <c r="C9" s="8"/>
      <c r="E9" s="2" t="s">
        <v>118</v>
      </c>
      <c r="F9" s="14" t="s">
        <v>38</v>
      </c>
      <c r="G9" s="8" t="s">
        <v>35</v>
      </c>
      <c r="H9" s="8"/>
    </row>
    <row r="10" spans="1:8" ht="16.5" thickTop="1" thickBot="1">
      <c r="A10" s="6" t="s">
        <v>56</v>
      </c>
      <c r="B10" s="8"/>
      <c r="C10" s="8"/>
      <c r="D10" s="20" t="s">
        <v>58</v>
      </c>
      <c r="E10" s="10" t="s">
        <v>121</v>
      </c>
      <c r="F10" s="14" t="s">
        <v>38</v>
      </c>
      <c r="G10" s="8" t="s">
        <v>35</v>
      </c>
      <c r="H10" s="8"/>
    </row>
    <row r="11" spans="1:8" ht="16.5" thickTop="1" thickBot="1">
      <c r="A11" s="6" t="s">
        <v>57</v>
      </c>
      <c r="B11" s="8"/>
      <c r="C11" s="8"/>
      <c r="D11" s="20" t="s">
        <v>58</v>
      </c>
      <c r="E11" s="6" t="s">
        <v>79</v>
      </c>
      <c r="F11" s="30" t="s">
        <v>38</v>
      </c>
      <c r="G11" s="13" t="s">
        <v>35</v>
      </c>
      <c r="H11" s="13"/>
    </row>
    <row r="12" spans="1:8" ht="16.5" thickTop="1" thickBot="1">
      <c r="A12" s="6" t="s">
        <v>33</v>
      </c>
      <c r="B12" s="8"/>
      <c r="C12" s="8"/>
      <c r="D12" s="21"/>
    </row>
    <row r="13" spans="1:8" ht="27.75" thickTop="1" thickBot="1">
      <c r="A13" s="6" t="s">
        <v>84</v>
      </c>
      <c r="B13" s="952"/>
      <c r="C13" s="953"/>
      <c r="D13" s="22" t="s">
        <v>59</v>
      </c>
    </row>
    <row r="14" spans="1:8">
      <c r="A14" s="951" t="s">
        <v>64</v>
      </c>
      <c r="B14" s="951"/>
      <c r="C14" s="951"/>
    </row>
    <row r="15" spans="1:8" ht="15.75" outlineLevel="1" thickBot="1">
      <c r="A15" s="11" t="s">
        <v>17</v>
      </c>
      <c r="B15" s="12" t="s">
        <v>14</v>
      </c>
      <c r="C15" s="5" t="s">
        <v>15</v>
      </c>
    </row>
    <row r="16" spans="1:8" ht="16.5" outlineLevel="1" thickTop="1" thickBot="1">
      <c r="A16" s="2" t="s">
        <v>7</v>
      </c>
      <c r="B16" s="8"/>
      <c r="C16" s="8"/>
    </row>
    <row r="17" spans="1:3" ht="16.5" outlineLevel="1" thickTop="1" thickBot="1">
      <c r="A17" s="2" t="s">
        <v>12</v>
      </c>
      <c r="B17" s="8"/>
      <c r="C17" s="8"/>
    </row>
    <row r="18" spans="1:3" ht="16.5" outlineLevel="1" thickTop="1" thickBot="1">
      <c r="A18" s="2" t="s">
        <v>9</v>
      </c>
      <c r="B18" s="8"/>
      <c r="C18" s="8"/>
    </row>
    <row r="19" spans="1:3" ht="16.5" outlineLevel="1" thickTop="1" thickBot="1">
      <c r="A19" s="2" t="s">
        <v>10</v>
      </c>
      <c r="B19" s="8"/>
      <c r="C19" s="8"/>
    </row>
    <row r="20" spans="1:3" ht="27.75" outlineLevel="1" thickTop="1" thickBot="1">
      <c r="A20" s="6" t="s">
        <v>132</v>
      </c>
      <c r="B20" s="8"/>
      <c r="C20" s="8"/>
    </row>
    <row r="21" spans="1:3" ht="16.5" outlineLevel="1" thickTop="1" thickBot="1">
      <c r="A21" s="6" t="s">
        <v>129</v>
      </c>
      <c r="B21" s="8"/>
      <c r="C21" s="8"/>
    </row>
    <row r="22" spans="1:3" ht="16.5" outlineLevel="1" thickTop="1" thickBot="1">
      <c r="A22" s="6" t="s">
        <v>130</v>
      </c>
      <c r="B22" s="8"/>
      <c r="C22" s="8"/>
    </row>
    <row r="23" spans="1:3" ht="16.5" outlineLevel="1" thickTop="1" thickBot="1">
      <c r="A23" s="6" t="s">
        <v>131</v>
      </c>
      <c r="B23" s="8"/>
      <c r="C23" s="8"/>
    </row>
    <row r="24" spans="1:3" ht="16.5" outlineLevel="1" thickTop="1" thickBot="1">
      <c r="A24" s="6" t="s">
        <v>133</v>
      </c>
      <c r="B24" s="8"/>
      <c r="C24" s="8"/>
    </row>
    <row r="25" spans="1:3" ht="16.5" outlineLevel="1" thickTop="1" thickBot="1">
      <c r="A25" s="6" t="s">
        <v>134</v>
      </c>
      <c r="B25" s="8"/>
      <c r="C25" s="8"/>
    </row>
    <row r="26" spans="1:3" ht="16.5" outlineLevel="1" thickTop="1" thickBot="1">
      <c r="A26" s="6" t="s">
        <v>135</v>
      </c>
      <c r="B26" s="25"/>
      <c r="C26" s="25"/>
    </row>
  </sheetData>
  <mergeCells count="5">
    <mergeCell ref="E1:H1"/>
    <mergeCell ref="A14:C14"/>
    <mergeCell ref="A6:C6"/>
    <mergeCell ref="A1:C1"/>
    <mergeCell ref="B13:C13"/>
  </mergeCells>
  <dataValidations count="3">
    <dataValidation type="list" allowBlank="1" showInputMessage="1" showErrorMessage="1" sqref="F6:F7 F11" xr:uid="{00000000-0002-0000-0E00-000000000000}">
      <formula1>"Yes,No"</formula1>
    </dataValidation>
    <dataValidation allowBlank="1" showInputMessage="1" showErrorMessage="1" prompt="Restaurant, Cinema hall, godown, hospital,petrol pump etc " sqref="E11" xr:uid="{00000000-0002-0000-0E00-000001000000}"/>
    <dataValidation type="list" allowBlank="1" showInputMessage="1" showErrorMessage="1" prompt="LAP,Gold Loan, Top up etc" sqref="F8:F10" xr:uid="{00000000-0002-0000-0E00-000002000000}">
      <formula1>"Yes,No"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6"/>
  <dimension ref="A1:H28"/>
  <sheetViews>
    <sheetView topLeftCell="A13" workbookViewId="0">
      <selection activeCell="A19" sqref="A19"/>
    </sheetView>
  </sheetViews>
  <sheetFormatPr defaultRowHeight="15" outlineLevelRow="1"/>
  <cols>
    <col min="1" max="1" width="53.28515625" customWidth="1"/>
    <col min="2" max="2" width="15.7109375" customWidth="1"/>
    <col min="3" max="3" width="16.42578125" customWidth="1"/>
    <col min="5" max="5" width="48.140625" customWidth="1"/>
    <col min="6" max="6" width="14.140625" customWidth="1"/>
    <col min="7" max="7" width="14.5703125" customWidth="1"/>
    <col min="8" max="8" width="22.5703125" customWidth="1"/>
  </cols>
  <sheetData>
    <row r="1" spans="1:8" ht="15.75" thickBot="1">
      <c r="A1" s="939" t="s">
        <v>112</v>
      </c>
      <c r="B1" s="940"/>
      <c r="C1" s="941"/>
      <c r="E1" s="939" t="s">
        <v>115</v>
      </c>
      <c r="F1" s="940"/>
      <c r="G1" s="940"/>
      <c r="H1" s="941"/>
    </row>
    <row r="2" spans="1:8" ht="16.5" thickTop="1" thickBot="1">
      <c r="A2" s="7" t="s">
        <v>17</v>
      </c>
      <c r="B2" s="7" t="s">
        <v>14</v>
      </c>
      <c r="C2" s="7" t="s">
        <v>116</v>
      </c>
      <c r="E2" s="17" t="s">
        <v>125</v>
      </c>
      <c r="F2" s="18" t="s">
        <v>49</v>
      </c>
      <c r="G2" s="7" t="s">
        <v>36</v>
      </c>
      <c r="H2" s="7" t="s">
        <v>51</v>
      </c>
    </row>
    <row r="3" spans="1:8" ht="20.25" customHeight="1" thickTop="1" thickBot="1">
      <c r="A3" s="2" t="s">
        <v>74</v>
      </c>
      <c r="B3" s="8"/>
      <c r="C3" s="8"/>
      <c r="E3" s="2" t="s">
        <v>122</v>
      </c>
      <c r="F3" s="8"/>
      <c r="G3" s="28">
        <v>1.25</v>
      </c>
      <c r="H3" s="8"/>
    </row>
    <row r="4" spans="1:8" ht="18.75" customHeight="1" thickTop="1" thickBot="1">
      <c r="A4" s="2" t="s">
        <v>87</v>
      </c>
      <c r="B4" s="8"/>
      <c r="C4" s="8"/>
      <c r="E4" s="2" t="s">
        <v>123</v>
      </c>
      <c r="F4" s="8"/>
      <c r="G4" s="27">
        <v>1.5</v>
      </c>
      <c r="H4" s="8"/>
    </row>
    <row r="5" spans="1:8" ht="17.25" customHeight="1" thickTop="1" thickBot="1">
      <c r="A5" s="19" t="s">
        <v>41</v>
      </c>
      <c r="B5" s="14"/>
      <c r="C5" s="14"/>
      <c r="E5" s="17" t="s">
        <v>50</v>
      </c>
      <c r="F5" s="18" t="s">
        <v>62</v>
      </c>
      <c r="G5" s="7" t="s">
        <v>29</v>
      </c>
      <c r="H5" s="7" t="s">
        <v>52</v>
      </c>
    </row>
    <row r="6" spans="1:8" ht="16.5" thickTop="1" thickBot="1">
      <c r="A6" s="934" t="s">
        <v>60</v>
      </c>
      <c r="B6" s="935"/>
      <c r="C6" s="954"/>
      <c r="E6" s="2" t="s">
        <v>85</v>
      </c>
      <c r="F6" s="14" t="s">
        <v>38</v>
      </c>
      <c r="G6" s="8" t="s">
        <v>35</v>
      </c>
      <c r="H6" s="8"/>
    </row>
    <row r="7" spans="1:8" ht="30.75" customHeight="1" thickTop="1" thickBot="1">
      <c r="A7" s="6" t="s">
        <v>61</v>
      </c>
      <c r="B7" s="8"/>
      <c r="C7" s="8"/>
      <c r="E7" s="2" t="s">
        <v>120</v>
      </c>
      <c r="F7" s="14" t="s">
        <v>38</v>
      </c>
      <c r="G7" s="8" t="s">
        <v>35</v>
      </c>
      <c r="H7" s="29" t="s">
        <v>124</v>
      </c>
    </row>
    <row r="8" spans="1:8" ht="16.5" thickTop="1" thickBot="1">
      <c r="A8" s="6" t="s">
        <v>37</v>
      </c>
      <c r="B8" s="8"/>
      <c r="C8" s="8"/>
      <c r="E8" s="2" t="s">
        <v>117</v>
      </c>
      <c r="F8" s="14" t="s">
        <v>38</v>
      </c>
      <c r="G8" s="8" t="s">
        <v>35</v>
      </c>
      <c r="H8" s="8"/>
    </row>
    <row r="9" spans="1:8" ht="27.75" thickTop="1" thickBot="1">
      <c r="A9" s="6" t="s">
        <v>55</v>
      </c>
      <c r="B9" s="26"/>
      <c r="C9" s="8"/>
      <c r="E9" s="2" t="s">
        <v>118</v>
      </c>
      <c r="F9" s="14" t="s">
        <v>38</v>
      </c>
      <c r="G9" s="8" t="s">
        <v>35</v>
      </c>
      <c r="H9" s="8"/>
    </row>
    <row r="10" spans="1:8" ht="16.5" thickTop="1" thickBot="1">
      <c r="A10" s="6" t="s">
        <v>56</v>
      </c>
      <c r="B10" s="8"/>
      <c r="C10" s="8"/>
      <c r="E10" s="10" t="s">
        <v>121</v>
      </c>
      <c r="F10" s="14" t="s">
        <v>38</v>
      </c>
      <c r="G10" s="8" t="s">
        <v>35</v>
      </c>
      <c r="H10" s="8"/>
    </row>
    <row r="11" spans="1:8" ht="19.5" customHeight="1" thickTop="1" thickBot="1">
      <c r="A11" s="6" t="s">
        <v>57</v>
      </c>
      <c r="B11" s="8"/>
      <c r="C11" s="8"/>
      <c r="E11" s="2" t="s">
        <v>119</v>
      </c>
      <c r="F11" s="14" t="s">
        <v>38</v>
      </c>
      <c r="G11" s="8" t="s">
        <v>35</v>
      </c>
      <c r="H11" s="8"/>
    </row>
    <row r="12" spans="1:8" ht="20.25" customHeight="1" thickTop="1" thickBot="1">
      <c r="A12" s="6" t="s">
        <v>33</v>
      </c>
      <c r="B12" s="8"/>
      <c r="C12" s="8"/>
      <c r="E12" s="2" t="s">
        <v>75</v>
      </c>
      <c r="F12" s="14" t="s">
        <v>38</v>
      </c>
      <c r="G12" s="8" t="s">
        <v>35</v>
      </c>
      <c r="H12" s="8"/>
    </row>
    <row r="13" spans="1:8" ht="17.25" customHeight="1" thickTop="1" thickBot="1">
      <c r="A13" s="6" t="s">
        <v>84</v>
      </c>
      <c r="B13" s="955"/>
      <c r="C13" s="956"/>
      <c r="E13" s="6" t="s">
        <v>79</v>
      </c>
      <c r="F13" s="30" t="s">
        <v>38</v>
      </c>
      <c r="G13" s="13" t="s">
        <v>35</v>
      </c>
      <c r="H13" s="13"/>
    </row>
    <row r="14" spans="1:8" ht="15.75" thickBot="1">
      <c r="A14" s="934" t="s">
        <v>64</v>
      </c>
      <c r="B14" s="935"/>
      <c r="C14" s="954"/>
    </row>
    <row r="15" spans="1:8" ht="16.5" outlineLevel="1" thickTop="1" thickBot="1">
      <c r="A15" s="11" t="s">
        <v>17</v>
      </c>
      <c r="B15" s="12" t="s">
        <v>14</v>
      </c>
      <c r="C15" s="5" t="s">
        <v>15</v>
      </c>
    </row>
    <row r="16" spans="1:8" ht="16.5" outlineLevel="1" thickTop="1" thickBot="1">
      <c r="A16" s="2" t="s">
        <v>126</v>
      </c>
      <c r="B16" s="8"/>
      <c r="C16" s="8"/>
    </row>
    <row r="17" spans="1:3" ht="16.5" outlineLevel="1" thickTop="1" thickBot="1">
      <c r="A17" s="2" t="s">
        <v>8</v>
      </c>
      <c r="B17" s="8"/>
      <c r="C17" s="8"/>
    </row>
    <row r="18" spans="1:3" ht="16.5" outlineLevel="1" thickTop="1" thickBot="1">
      <c r="A18" s="2" t="s">
        <v>156</v>
      </c>
      <c r="B18" s="8"/>
      <c r="C18" s="8"/>
    </row>
    <row r="19" spans="1:3" ht="16.5" outlineLevel="1" thickTop="1" thickBot="1">
      <c r="A19" s="2" t="s">
        <v>10</v>
      </c>
      <c r="B19" s="8"/>
      <c r="C19" s="8"/>
    </row>
    <row r="20" spans="1:3" ht="18" customHeight="1" outlineLevel="1" thickTop="1" thickBot="1">
      <c r="A20" s="2" t="s">
        <v>136</v>
      </c>
      <c r="B20" s="8"/>
      <c r="C20" s="8"/>
    </row>
    <row r="21" spans="1:3" ht="16.5" outlineLevel="1" thickTop="1" thickBot="1">
      <c r="A21" s="16" t="s">
        <v>127</v>
      </c>
      <c r="B21" s="8"/>
      <c r="C21" s="8"/>
    </row>
    <row r="22" spans="1:3" ht="16.5" outlineLevel="1" thickTop="1" thickBot="1">
      <c r="A22" s="31" t="s">
        <v>137</v>
      </c>
      <c r="B22" s="25"/>
      <c r="C22" s="25"/>
    </row>
    <row r="23" spans="1:3" ht="16.5" outlineLevel="1" thickTop="1" thickBot="1">
      <c r="A23" s="31" t="s">
        <v>128</v>
      </c>
      <c r="B23" s="32"/>
      <c r="C23" s="32"/>
    </row>
    <row r="24" spans="1:3" ht="16.5" outlineLevel="1" thickTop="1" thickBot="1">
      <c r="A24" s="2" t="s">
        <v>97</v>
      </c>
      <c r="B24" s="8"/>
      <c r="C24" s="8"/>
    </row>
    <row r="25" spans="1:3" ht="16.5" outlineLevel="1" thickTop="1" thickBot="1">
      <c r="A25" s="16" t="s">
        <v>98</v>
      </c>
      <c r="B25" s="8"/>
      <c r="C25" s="8"/>
    </row>
    <row r="26" spans="1:3" ht="16.5" outlineLevel="1" thickTop="1" thickBot="1">
      <c r="A26" s="24" t="s">
        <v>138</v>
      </c>
      <c r="B26" s="8"/>
      <c r="C26" s="8"/>
    </row>
    <row r="27" spans="1:3" ht="16.5" outlineLevel="1" thickTop="1" thickBot="1">
      <c r="A27" s="24" t="s">
        <v>139</v>
      </c>
      <c r="B27" s="8"/>
      <c r="C27" s="8"/>
    </row>
    <row r="28" spans="1:3" ht="16.5" outlineLevel="1" thickTop="1" thickBot="1">
      <c r="A28" s="33" t="s">
        <v>140</v>
      </c>
      <c r="B28" s="25"/>
    </row>
  </sheetData>
  <mergeCells count="5">
    <mergeCell ref="A1:C1"/>
    <mergeCell ref="A6:C6"/>
    <mergeCell ref="B13:C13"/>
    <mergeCell ref="E1:H1"/>
    <mergeCell ref="A14:C14"/>
  </mergeCells>
  <dataValidations count="3">
    <dataValidation type="list" allowBlank="1" showInputMessage="1" showErrorMessage="1" prompt="LAP,Gold Loan, Top up etc" sqref="F8:F10" xr:uid="{00000000-0002-0000-0F00-000000000000}">
      <formula1>"Yes,No"</formula1>
    </dataValidation>
    <dataValidation allowBlank="1" showInputMessage="1" showErrorMessage="1" prompt="Restaurant, Cinema hall, godown, hospital,petrol pump etc " sqref="E13" xr:uid="{00000000-0002-0000-0F00-000001000000}"/>
    <dataValidation type="list" allowBlank="1" showInputMessage="1" showErrorMessage="1" sqref="F6:F7 F11:F13" xr:uid="{00000000-0002-0000-0F00-000002000000}">
      <formula1>"Yes,No"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23"/>
  <sheetViews>
    <sheetView workbookViewId="0">
      <selection sqref="A1:B1"/>
    </sheetView>
  </sheetViews>
  <sheetFormatPr defaultRowHeight="15"/>
  <cols>
    <col min="1" max="1" width="38.28515625" customWidth="1"/>
    <col min="2" max="2" width="25.5703125" customWidth="1"/>
    <col min="3" max="3" width="17.85546875" customWidth="1"/>
    <col min="4" max="4" width="50.7109375" bestFit="1" customWidth="1"/>
    <col min="5" max="5" width="19.85546875" customWidth="1"/>
    <col min="6" max="6" width="18.85546875" customWidth="1"/>
    <col min="7" max="7" width="19.140625" customWidth="1"/>
    <col min="8" max="8" width="9.140625" customWidth="1"/>
  </cols>
  <sheetData>
    <row r="1" spans="1:7" ht="15.75" thickBot="1">
      <c r="A1" s="939" t="s">
        <v>46</v>
      </c>
      <c r="B1" s="941"/>
      <c r="D1" s="939" t="s">
        <v>63</v>
      </c>
      <c r="E1" s="940"/>
      <c r="F1" s="940"/>
      <c r="G1" s="941"/>
    </row>
    <row r="2" spans="1:7" ht="16.5" thickTop="1" thickBot="1">
      <c r="A2" s="7" t="s">
        <v>17</v>
      </c>
      <c r="B2" s="7" t="s">
        <v>39</v>
      </c>
      <c r="D2" s="17" t="s">
        <v>28</v>
      </c>
      <c r="E2" s="18" t="s">
        <v>49</v>
      </c>
      <c r="F2" s="7" t="s">
        <v>36</v>
      </c>
      <c r="G2" s="7" t="s">
        <v>51</v>
      </c>
    </row>
    <row r="3" spans="1:7" ht="16.5" thickTop="1" thickBot="1">
      <c r="A3" s="2" t="s">
        <v>406</v>
      </c>
      <c r="B3" s="8">
        <v>500</v>
      </c>
      <c r="D3" s="2" t="s">
        <v>395</v>
      </c>
      <c r="E3" s="288">
        <f>B21/B17</f>
        <v>1</v>
      </c>
      <c r="F3" s="289">
        <v>0.5</v>
      </c>
      <c r="G3" s="8" t="s">
        <v>904</v>
      </c>
    </row>
    <row r="4" spans="1:7" ht="16.5" thickTop="1" thickBot="1">
      <c r="A4" s="2" t="s">
        <v>394</v>
      </c>
      <c r="B4" s="8"/>
      <c r="D4" s="2" t="s">
        <v>884</v>
      </c>
      <c r="E4" s="8"/>
      <c r="F4" s="8" t="s">
        <v>35</v>
      </c>
      <c r="G4" s="8"/>
    </row>
    <row r="5" spans="1:7" ht="16.5" thickTop="1" thickBot="1">
      <c r="A5" s="2" t="s">
        <v>34</v>
      </c>
      <c r="B5" s="13"/>
      <c r="D5" s="2" t="s">
        <v>33</v>
      </c>
      <c r="E5" s="8"/>
      <c r="F5" s="8" t="s">
        <v>35</v>
      </c>
      <c r="G5" s="8"/>
    </row>
    <row r="6" spans="1:7" ht="16.5" thickTop="1" thickBot="1">
      <c r="A6" s="19" t="s">
        <v>41</v>
      </c>
      <c r="B6" s="14">
        <v>200</v>
      </c>
      <c r="D6" s="17" t="s">
        <v>50</v>
      </c>
      <c r="E6" s="18" t="s">
        <v>62</v>
      </c>
      <c r="F6" s="7" t="s">
        <v>29</v>
      </c>
      <c r="G6" s="7" t="s">
        <v>52</v>
      </c>
    </row>
    <row r="7" spans="1:7" ht="16.5" thickTop="1" thickBot="1">
      <c r="A7" s="942" t="s">
        <v>60</v>
      </c>
      <c r="B7" s="943"/>
      <c r="D7" s="2" t="s">
        <v>399</v>
      </c>
      <c r="E7" s="14" t="s">
        <v>38</v>
      </c>
      <c r="F7" s="8" t="s">
        <v>35</v>
      </c>
      <c r="G7" s="8"/>
    </row>
    <row r="8" spans="1:7" ht="27.75" thickTop="1" thickBot="1">
      <c r="A8" s="6" t="s">
        <v>61</v>
      </c>
      <c r="B8" s="8"/>
      <c r="D8" s="2" t="s">
        <v>400</v>
      </c>
      <c r="E8" s="14" t="s">
        <v>38</v>
      </c>
      <c r="F8" s="8" t="s">
        <v>35</v>
      </c>
      <c r="G8" s="8"/>
    </row>
    <row r="9" spans="1:7" ht="27.75" thickTop="1" thickBot="1">
      <c r="A9" s="6" t="s">
        <v>37</v>
      </c>
      <c r="B9" s="8"/>
      <c r="D9" s="2" t="s">
        <v>401</v>
      </c>
      <c r="E9" s="14" t="s">
        <v>38</v>
      </c>
      <c r="F9" s="8" t="s">
        <v>35</v>
      </c>
      <c r="G9" s="8"/>
    </row>
    <row r="10" spans="1:7" ht="27.75" thickTop="1" thickBot="1">
      <c r="A10" s="6" t="s">
        <v>55</v>
      </c>
      <c r="B10" s="8"/>
      <c r="C10" s="15"/>
      <c r="D10" s="2" t="s">
        <v>402</v>
      </c>
      <c r="E10" s="14" t="s">
        <v>38</v>
      </c>
      <c r="F10" s="8" t="s">
        <v>35</v>
      </c>
      <c r="G10" s="8"/>
    </row>
    <row r="11" spans="1:7" ht="16.5" thickTop="1" thickBot="1">
      <c r="A11" s="6" t="s">
        <v>56</v>
      </c>
      <c r="B11" s="8"/>
      <c r="C11" s="20" t="s">
        <v>58</v>
      </c>
      <c r="D11" s="2"/>
      <c r="E11" s="14"/>
      <c r="F11" s="8"/>
      <c r="G11" s="8"/>
    </row>
    <row r="12" spans="1:7" ht="16.5" thickTop="1" thickBot="1">
      <c r="A12" s="6" t="s">
        <v>57</v>
      </c>
      <c r="B12" s="8"/>
      <c r="C12" s="20" t="s">
        <v>58</v>
      </c>
      <c r="D12" s="2"/>
      <c r="E12" s="14"/>
      <c r="F12" s="8"/>
      <c r="G12" s="8"/>
    </row>
    <row r="13" spans="1:7" ht="16.5" thickTop="1" thickBot="1">
      <c r="A13" s="6" t="s">
        <v>33</v>
      </c>
      <c r="B13" s="8"/>
      <c r="C13" s="21" t="s">
        <v>883</v>
      </c>
      <c r="D13" s="6"/>
      <c r="E13" s="30"/>
      <c r="F13" s="13"/>
      <c r="G13" s="13"/>
    </row>
    <row r="14" spans="1:7" ht="27.75" thickTop="1" thickBot="1">
      <c r="A14" s="33" t="s">
        <v>71</v>
      </c>
      <c r="B14" s="13"/>
      <c r="C14" s="22"/>
    </row>
    <row r="15" spans="1:7" ht="15.75" thickBot="1">
      <c r="A15" s="937" t="s">
        <v>64</v>
      </c>
      <c r="B15" s="938"/>
    </row>
    <row r="16" spans="1:7" ht="15.75" thickBot="1">
      <c r="A16" s="56" t="s">
        <v>67</v>
      </c>
      <c r="B16" s="57" t="s">
        <v>27</v>
      </c>
    </row>
    <row r="17" spans="1:3" ht="16.5" thickTop="1" thickBot="1">
      <c r="A17" s="6" t="s">
        <v>396</v>
      </c>
      <c r="B17" s="8">
        <v>10000000</v>
      </c>
    </row>
    <row r="18" spans="1:3" ht="16.5" thickTop="1" thickBot="1">
      <c r="A18" s="6" t="s">
        <v>881</v>
      </c>
      <c r="B18" s="288">
        <v>0.06</v>
      </c>
    </row>
    <row r="19" spans="1:3" ht="16.5" customHeight="1" thickTop="1" thickBot="1">
      <c r="A19" s="6" t="s">
        <v>407</v>
      </c>
      <c r="B19" s="8">
        <f>B17*B18</f>
        <v>600000</v>
      </c>
      <c r="C19" s="111"/>
    </row>
    <row r="20" spans="1:3" ht="16.5" thickTop="1" thickBot="1">
      <c r="A20" s="6" t="s">
        <v>70</v>
      </c>
      <c r="B20" s="8">
        <v>200000</v>
      </c>
    </row>
    <row r="21" spans="1:3" ht="16.5" thickTop="1" thickBot="1">
      <c r="A21" s="2" t="s">
        <v>398</v>
      </c>
      <c r="B21" s="8">
        <v>10000000</v>
      </c>
      <c r="C21">
        <f>B21/B17</f>
        <v>1</v>
      </c>
    </row>
    <row r="22" spans="1:3" ht="16.5" thickTop="1" thickBot="1">
      <c r="A22" s="34"/>
      <c r="B22" s="8"/>
    </row>
    <row r="23" spans="1:3" ht="16.5" thickTop="1" thickBot="1">
      <c r="A23" s="6" t="s">
        <v>397</v>
      </c>
      <c r="B23" s="58"/>
    </row>
  </sheetData>
  <mergeCells count="4">
    <mergeCell ref="A1:B1"/>
    <mergeCell ref="D1:G1"/>
    <mergeCell ref="A7:B7"/>
    <mergeCell ref="A15:B15"/>
  </mergeCells>
  <conditionalFormatting sqref="A16">
    <cfRule type="expression" dxfId="1" priority="2" stopIfTrue="1">
      <formula>#REF!="No"</formula>
    </cfRule>
  </conditionalFormatting>
  <conditionalFormatting sqref="B16">
    <cfRule type="expression" dxfId="0" priority="1" stopIfTrue="1">
      <formula>#REF!="No"</formula>
    </cfRule>
  </conditionalFormatting>
  <dataValidations disablePrompts="1" count="1">
    <dataValidation type="list" allowBlank="1" showInputMessage="1" showErrorMessage="1" sqref="E7:E13" xr:uid="{00000000-0002-0000-1000-000000000000}">
      <formula1>"Yes,No"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L51"/>
  <sheetViews>
    <sheetView topLeftCell="A19" workbookViewId="0">
      <selection activeCell="A26" sqref="A26"/>
    </sheetView>
  </sheetViews>
  <sheetFormatPr defaultRowHeight="15"/>
  <cols>
    <col min="1" max="1" width="34.5703125" customWidth="1"/>
    <col min="2" max="2" width="16.5703125" customWidth="1"/>
    <col min="3" max="3" width="16.140625" customWidth="1"/>
    <col min="4" max="4" width="18.28515625" customWidth="1"/>
    <col min="5" max="5" width="23.42578125" customWidth="1"/>
    <col min="6" max="6" width="16.5703125" customWidth="1"/>
    <col min="7" max="7" width="21.42578125" customWidth="1"/>
    <col min="8" max="8" width="11.42578125" customWidth="1"/>
    <col min="9" max="9" width="13" customWidth="1"/>
    <col min="10" max="10" width="20.85546875" customWidth="1"/>
    <col min="11" max="11" width="20.140625" customWidth="1"/>
  </cols>
  <sheetData>
    <row r="1" spans="1:7" ht="15.75" thickBot="1">
      <c r="A1" s="962" t="s">
        <v>205</v>
      </c>
      <c r="B1" s="951"/>
      <c r="C1" s="951"/>
      <c r="D1" s="951"/>
      <c r="E1" s="951"/>
      <c r="F1" s="951"/>
      <c r="G1" s="951"/>
    </row>
    <row r="2" spans="1:7" ht="26.25" thickBot="1">
      <c r="A2" s="54" t="s">
        <v>202</v>
      </c>
      <c r="B2" s="55" t="s">
        <v>198</v>
      </c>
      <c r="C2" s="55" t="s">
        <v>199</v>
      </c>
      <c r="D2" s="59" t="s">
        <v>200</v>
      </c>
      <c r="E2" s="60" t="s">
        <v>203</v>
      </c>
      <c r="F2" s="61" t="s">
        <v>204</v>
      </c>
      <c r="G2" s="61" t="s">
        <v>206</v>
      </c>
    </row>
    <row r="3" spans="1:7" ht="16.5" thickTop="1" thickBot="1">
      <c r="A3" s="6" t="s">
        <v>185</v>
      </c>
      <c r="B3" s="26"/>
      <c r="C3" s="8"/>
      <c r="D3" s="8"/>
      <c r="E3" s="8"/>
      <c r="F3" s="8"/>
      <c r="G3" s="53"/>
    </row>
    <row r="4" spans="1:7" ht="16.5" thickTop="1" thickBot="1">
      <c r="A4" s="6" t="s">
        <v>201</v>
      </c>
      <c r="B4" s="8"/>
      <c r="C4" s="8"/>
      <c r="D4" s="8"/>
      <c r="E4" s="8"/>
      <c r="F4" s="8"/>
      <c r="G4" s="53"/>
    </row>
    <row r="5" spans="1:7" ht="16.5" thickTop="1" thickBot="1">
      <c r="A5" s="6" t="s">
        <v>186</v>
      </c>
      <c r="B5" s="8"/>
      <c r="C5" s="8"/>
      <c r="D5" s="8"/>
      <c r="E5" s="8"/>
      <c r="F5" s="8"/>
      <c r="G5" s="53"/>
    </row>
    <row r="6" spans="1:7" ht="16.5" thickTop="1" thickBot="1">
      <c r="A6" s="6" t="s">
        <v>187</v>
      </c>
      <c r="B6" s="8"/>
      <c r="C6" s="8"/>
      <c r="D6" s="8"/>
      <c r="E6" s="8"/>
      <c r="F6" s="8"/>
      <c r="G6" s="53"/>
    </row>
    <row r="7" spans="1:7" ht="16.5" thickTop="1" thickBot="1">
      <c r="A7" s="6" t="s">
        <v>207</v>
      </c>
      <c r="B7" s="8"/>
      <c r="C7" s="8"/>
      <c r="D7" s="8"/>
      <c r="E7" s="8"/>
      <c r="F7" s="8"/>
      <c r="G7" s="53"/>
    </row>
    <row r="8" spans="1:7" ht="16.5" thickTop="1" thickBot="1">
      <c r="A8" s="6" t="s">
        <v>194</v>
      </c>
      <c r="B8" s="8"/>
      <c r="C8" s="8"/>
      <c r="D8" s="8"/>
      <c r="E8" s="8"/>
      <c r="F8" s="8"/>
      <c r="G8" s="53"/>
    </row>
    <row r="9" spans="1:7" ht="16.5" thickTop="1" thickBot="1">
      <c r="A9" s="6" t="s">
        <v>208</v>
      </c>
      <c r="B9" s="8"/>
      <c r="C9" s="8"/>
      <c r="D9" s="8"/>
      <c r="E9" s="8"/>
      <c r="F9" s="8"/>
      <c r="G9" s="53"/>
    </row>
    <row r="10" spans="1:7" ht="16.5" thickTop="1" thickBot="1">
      <c r="A10" s="6" t="s">
        <v>193</v>
      </c>
      <c r="B10" s="8"/>
      <c r="C10" s="8"/>
      <c r="D10" s="8"/>
      <c r="E10" s="8"/>
      <c r="F10" s="8"/>
      <c r="G10" s="53"/>
    </row>
    <row r="11" spans="1:7" ht="16.5" thickTop="1" thickBot="1">
      <c r="A11" s="6" t="s">
        <v>195</v>
      </c>
      <c r="B11" s="8"/>
      <c r="C11" s="8"/>
      <c r="D11" s="8"/>
      <c r="E11" s="8"/>
      <c r="F11" s="8"/>
      <c r="G11" s="53"/>
    </row>
    <row r="12" spans="1:7" ht="16.5" thickTop="1" thickBot="1">
      <c r="A12" s="6" t="s">
        <v>196</v>
      </c>
      <c r="B12" s="8"/>
      <c r="C12" s="8"/>
      <c r="D12" s="8"/>
      <c r="E12" s="8"/>
      <c r="F12" s="8"/>
      <c r="G12" s="53"/>
    </row>
    <row r="13" spans="1:7" ht="16.5" thickTop="1" thickBot="1">
      <c r="A13" s="6" t="s">
        <v>209</v>
      </c>
      <c r="B13" s="8"/>
      <c r="C13" s="8"/>
      <c r="D13" s="8"/>
      <c r="E13" s="8"/>
      <c r="F13" s="8"/>
      <c r="G13" s="53"/>
    </row>
    <row r="14" spans="1:7" ht="16.5" thickTop="1" thickBot="1">
      <c r="A14" s="6" t="s">
        <v>193</v>
      </c>
      <c r="B14" s="8"/>
      <c r="C14" s="8"/>
      <c r="D14" s="8"/>
      <c r="E14" s="8"/>
      <c r="F14" s="8"/>
      <c r="G14" s="53"/>
    </row>
    <row r="15" spans="1:7" ht="16.5" thickTop="1" thickBot="1">
      <c r="A15" s="6" t="s">
        <v>192</v>
      </c>
      <c r="B15" s="8"/>
      <c r="C15" s="8"/>
      <c r="D15" s="8"/>
      <c r="E15" s="8"/>
      <c r="F15" s="8"/>
      <c r="G15" s="53"/>
    </row>
    <row r="16" spans="1:7" ht="16.5" thickTop="1" thickBot="1">
      <c r="A16" s="6" t="s">
        <v>188</v>
      </c>
      <c r="B16" s="8"/>
      <c r="C16" s="8"/>
      <c r="D16" s="8"/>
      <c r="E16" s="8"/>
      <c r="F16" s="8"/>
      <c r="G16" s="53"/>
    </row>
    <row r="17" spans="1:12" ht="16.5" thickTop="1" thickBot="1">
      <c r="A17" s="6" t="s">
        <v>189</v>
      </c>
      <c r="B17" s="8"/>
      <c r="C17" s="8"/>
      <c r="D17" s="8"/>
      <c r="E17" s="8"/>
      <c r="F17" s="8"/>
      <c r="G17" s="53"/>
    </row>
    <row r="18" spans="1:12" ht="16.5" thickTop="1" thickBot="1">
      <c r="A18" s="6" t="s">
        <v>190</v>
      </c>
      <c r="B18" s="8"/>
      <c r="C18" s="8"/>
      <c r="D18" s="8"/>
      <c r="E18" s="8"/>
      <c r="F18" s="8"/>
      <c r="G18" s="53"/>
    </row>
    <row r="19" spans="1:12" ht="16.5" thickTop="1" thickBot="1">
      <c r="A19" s="6" t="s">
        <v>191</v>
      </c>
      <c r="B19" s="8"/>
      <c r="C19" s="8"/>
      <c r="D19" s="8"/>
      <c r="E19" s="8"/>
      <c r="F19" s="8"/>
      <c r="G19" s="53"/>
    </row>
    <row r="20" spans="1:12" ht="16.5" thickTop="1" thickBot="1">
      <c r="A20" s="6" t="s">
        <v>194</v>
      </c>
      <c r="B20" s="8"/>
      <c r="C20" s="8"/>
      <c r="D20" s="8"/>
      <c r="E20" s="8"/>
      <c r="F20" s="8"/>
      <c r="G20" s="53"/>
    </row>
    <row r="21" spans="1:12" ht="16.5" thickTop="1" thickBot="1">
      <c r="A21" s="6" t="s">
        <v>196</v>
      </c>
      <c r="B21" s="8"/>
      <c r="C21" s="8"/>
      <c r="D21" s="8"/>
      <c r="E21" s="8"/>
      <c r="F21" s="8"/>
      <c r="G21" s="53"/>
    </row>
    <row r="22" spans="1:12" ht="16.5" thickTop="1" thickBot="1">
      <c r="A22" s="6" t="s">
        <v>197</v>
      </c>
      <c r="B22" s="8"/>
      <c r="C22" s="8"/>
      <c r="D22" s="8"/>
      <c r="E22" s="8"/>
      <c r="F22" s="8"/>
      <c r="G22" s="53"/>
    </row>
    <row r="24" spans="1:12" ht="15.75" thickBot="1">
      <c r="A24" s="957" t="s">
        <v>253</v>
      </c>
      <c r="B24" s="958"/>
      <c r="C24" s="958"/>
      <c r="D24" s="958"/>
      <c r="E24" s="958"/>
      <c r="F24" s="958"/>
      <c r="G24" s="958"/>
      <c r="H24" s="958"/>
      <c r="I24" s="958"/>
      <c r="J24" s="958"/>
      <c r="K24" s="958"/>
      <c r="L24" t="s">
        <v>932</v>
      </c>
    </row>
    <row r="25" spans="1:12" ht="26.25">
      <c r="A25" s="42" t="s">
        <v>175</v>
      </c>
      <c r="B25" s="43" t="s">
        <v>165</v>
      </c>
      <c r="C25" s="43" t="s">
        <v>164</v>
      </c>
      <c r="D25" s="43" t="s">
        <v>166</v>
      </c>
      <c r="E25" s="43" t="s">
        <v>167</v>
      </c>
      <c r="F25" s="43" t="s">
        <v>169</v>
      </c>
      <c r="G25" s="43" t="s">
        <v>170</v>
      </c>
      <c r="H25" s="43" t="s">
        <v>168</v>
      </c>
      <c r="I25" s="43" t="s">
        <v>171</v>
      </c>
      <c r="J25" s="43" t="s">
        <v>172</v>
      </c>
      <c r="K25" s="44" t="s">
        <v>174</v>
      </c>
    </row>
    <row r="26" spans="1:12">
      <c r="A26" s="45"/>
      <c r="B26" s="41"/>
      <c r="C26" s="41"/>
      <c r="D26" s="41"/>
      <c r="E26" s="41"/>
      <c r="F26" s="41"/>
      <c r="G26" s="41"/>
      <c r="H26" s="41"/>
      <c r="I26" s="41"/>
      <c r="J26" s="41" t="s">
        <v>173</v>
      </c>
      <c r="K26" s="46"/>
    </row>
    <row r="27" spans="1:12">
      <c r="A27" s="45"/>
      <c r="B27" s="41"/>
      <c r="C27" s="41"/>
      <c r="D27" s="41"/>
      <c r="E27" s="41"/>
      <c r="F27" s="41"/>
      <c r="G27" s="41"/>
      <c r="H27" s="41"/>
      <c r="I27" s="41"/>
      <c r="J27" s="41"/>
      <c r="K27" s="46"/>
    </row>
    <row r="28" spans="1:12">
      <c r="A28" s="45"/>
      <c r="B28" s="41"/>
      <c r="C28" s="41"/>
      <c r="D28" s="41"/>
      <c r="E28" s="41"/>
      <c r="F28" s="41"/>
      <c r="G28" s="41"/>
      <c r="H28" s="41"/>
      <c r="I28" s="41"/>
      <c r="J28" s="41"/>
      <c r="K28" s="46"/>
    </row>
    <row r="29" spans="1:12">
      <c r="A29" s="45"/>
      <c r="B29" s="41"/>
      <c r="C29" s="41"/>
      <c r="D29" s="41"/>
      <c r="E29" s="41"/>
      <c r="F29" s="41"/>
      <c r="G29" s="41"/>
      <c r="H29" s="41"/>
      <c r="I29" s="41"/>
      <c r="J29" s="41"/>
      <c r="K29" s="46"/>
    </row>
    <row r="30" spans="1:12" ht="15.75" thickBot="1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9"/>
    </row>
    <row r="31" spans="1:12" ht="15.75" thickBot="1"/>
    <row r="32" spans="1:12">
      <c r="A32" s="959" t="s">
        <v>176</v>
      </c>
      <c r="B32" s="960"/>
      <c r="C32" s="960"/>
      <c r="D32" s="960"/>
      <c r="E32" s="960"/>
      <c r="F32" s="960"/>
      <c r="G32" s="960"/>
      <c r="H32" s="960"/>
      <c r="I32" s="961"/>
    </row>
    <row r="33" spans="1:9" s="36" customFormat="1" ht="26.25">
      <c r="A33" s="50" t="s">
        <v>175</v>
      </c>
      <c r="B33" s="51" t="s">
        <v>177</v>
      </c>
      <c r="C33" s="51" t="s">
        <v>178</v>
      </c>
      <c r="D33" s="51" t="s">
        <v>179</v>
      </c>
      <c r="E33" s="51" t="s">
        <v>180</v>
      </c>
      <c r="F33" s="51" t="s">
        <v>181</v>
      </c>
      <c r="G33" s="51" t="s">
        <v>182</v>
      </c>
      <c r="H33" s="51" t="s">
        <v>183</v>
      </c>
      <c r="I33" s="52" t="s">
        <v>184</v>
      </c>
    </row>
    <row r="34" spans="1:9">
      <c r="A34" s="45"/>
      <c r="B34" s="41"/>
      <c r="C34" s="41"/>
      <c r="D34" s="41"/>
      <c r="E34" s="41"/>
      <c r="F34" s="41"/>
      <c r="G34" s="41"/>
      <c r="H34" s="41"/>
      <c r="I34" s="46"/>
    </row>
    <row r="35" spans="1:9">
      <c r="A35" s="45"/>
      <c r="B35" s="41"/>
      <c r="C35" s="41"/>
      <c r="D35" s="41"/>
      <c r="E35" s="41"/>
      <c r="F35" s="41"/>
      <c r="G35" s="41"/>
      <c r="H35" s="41"/>
      <c r="I35" s="46"/>
    </row>
    <row r="36" spans="1:9">
      <c r="A36" s="45"/>
      <c r="B36" s="41"/>
      <c r="C36" s="41"/>
      <c r="D36" s="41"/>
      <c r="E36" s="41"/>
      <c r="F36" s="41"/>
      <c r="G36" s="41"/>
      <c r="H36" s="41"/>
      <c r="I36" s="46"/>
    </row>
    <row r="37" spans="1:9" ht="15.75" thickBot="1">
      <c r="A37" s="47"/>
      <c r="B37" s="48"/>
      <c r="C37" s="48"/>
      <c r="D37" s="48"/>
      <c r="E37" s="48"/>
      <c r="F37" s="48"/>
      <c r="G37" s="48"/>
      <c r="H37" s="48"/>
      <c r="I37" s="49"/>
    </row>
    <row r="46" spans="1:9">
      <c r="A46" t="s">
        <v>161</v>
      </c>
    </row>
    <row r="47" spans="1:9">
      <c r="A47" t="s">
        <v>159</v>
      </c>
    </row>
    <row r="48" spans="1:9">
      <c r="A48" t="s">
        <v>160</v>
      </c>
    </row>
    <row r="49" spans="1:1">
      <c r="A49" t="s">
        <v>162</v>
      </c>
    </row>
    <row r="51" spans="1:1">
      <c r="A51" t="s">
        <v>163</v>
      </c>
    </row>
  </sheetData>
  <mergeCells count="3">
    <mergeCell ref="A24:K24"/>
    <mergeCell ref="A32:I32"/>
    <mergeCell ref="A1:G1"/>
  </mergeCells>
  <dataValidations count="1">
    <dataValidation allowBlank="1" showInputMessage="1" showErrorMessage="1" prompt="RAAC ratio will be populated  populated based on the product type selected in Input Sheet" sqref="E2" xr:uid="{00000000-0002-0000-1100-000000000000}"/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B2:C12"/>
  <sheetViews>
    <sheetView workbookViewId="0">
      <selection activeCell="C12" sqref="C12"/>
    </sheetView>
  </sheetViews>
  <sheetFormatPr defaultRowHeight="15"/>
  <cols>
    <col min="2" max="2" width="56.7109375" customWidth="1"/>
  </cols>
  <sheetData>
    <row r="2" spans="2:3">
      <c r="B2" t="s">
        <v>892</v>
      </c>
    </row>
    <row r="4" spans="2:3">
      <c r="B4" t="s">
        <v>893</v>
      </c>
      <c r="C4" t="s">
        <v>935</v>
      </c>
    </row>
    <row r="5" spans="2:3">
      <c r="B5" t="s">
        <v>895</v>
      </c>
    </row>
    <row r="6" spans="2:3">
      <c r="B6" t="s">
        <v>896</v>
      </c>
      <c r="C6" t="s">
        <v>935</v>
      </c>
    </row>
    <row r="7" spans="2:3">
      <c r="B7" t="s">
        <v>897</v>
      </c>
      <c r="C7" t="s">
        <v>935</v>
      </c>
    </row>
    <row r="8" spans="2:3">
      <c r="B8" t="s">
        <v>898</v>
      </c>
      <c r="C8" t="s">
        <v>934</v>
      </c>
    </row>
    <row r="9" spans="2:3">
      <c r="B9" t="s">
        <v>899</v>
      </c>
      <c r="C9" t="s">
        <v>934</v>
      </c>
    </row>
    <row r="10" spans="2:3">
      <c r="B10" t="s">
        <v>900</v>
      </c>
      <c r="C10" t="s">
        <v>934</v>
      </c>
    </row>
    <row r="11" spans="2:3">
      <c r="B11" t="s">
        <v>542</v>
      </c>
      <c r="C11" t="s">
        <v>934</v>
      </c>
    </row>
    <row r="12" spans="2:3">
      <c r="B12" t="s">
        <v>901</v>
      </c>
      <c r="C12" t="s">
        <v>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H24"/>
  <sheetViews>
    <sheetView workbookViewId="0">
      <selection activeCell="D18" sqref="D18:D22"/>
    </sheetView>
  </sheetViews>
  <sheetFormatPr defaultRowHeight="15"/>
  <cols>
    <col min="1" max="1" width="36.5703125" customWidth="1"/>
    <col min="2" max="2" width="17.85546875" customWidth="1"/>
    <col min="4" max="4" width="12.28515625" bestFit="1" customWidth="1"/>
    <col min="8" max="8" width="72" customWidth="1"/>
  </cols>
  <sheetData>
    <row r="1" spans="1:8" ht="15.75" thickBot="1">
      <c r="A1" s="969" t="s">
        <v>905</v>
      </c>
      <c r="B1" s="970"/>
      <c r="C1" s="970"/>
      <c r="D1" s="970"/>
      <c r="E1" s="970"/>
      <c r="F1" s="970"/>
      <c r="G1" s="970"/>
      <c r="H1" s="971"/>
    </row>
    <row r="2" spans="1:8" ht="26.25" thickBot="1">
      <c r="A2" s="290" t="s">
        <v>413</v>
      </c>
      <c r="B2" s="290" t="s">
        <v>906</v>
      </c>
      <c r="C2" s="291" t="s">
        <v>907</v>
      </c>
      <c r="D2" s="290" t="s">
        <v>908</v>
      </c>
      <c r="E2" s="290" t="s">
        <v>909</v>
      </c>
      <c r="F2" s="290" t="s">
        <v>910</v>
      </c>
      <c r="G2" s="290" t="s">
        <v>911</v>
      </c>
      <c r="H2" s="290" t="s">
        <v>912</v>
      </c>
    </row>
    <row r="3" spans="1:8" ht="15.75" thickBot="1">
      <c r="A3" s="963" t="s">
        <v>913</v>
      </c>
      <c r="B3" s="293" t="s">
        <v>914</v>
      </c>
      <c r="C3" s="294">
        <v>5</v>
      </c>
      <c r="D3" s="972">
        <f>'Financials - combined'!B8/'Financials - combined'!D8-1</f>
        <v>835.84239888423986</v>
      </c>
      <c r="E3" s="966">
        <f>IF(D3&gt;=25%,C3,IF(AND(D3&gt;=20%,D3&lt;25%),C4,IF(AND(D3&gt;=10%,D3&lt;20%),C5,IF(AND(D3&gt;=0,D3&lt;10%),C6,C7))))</f>
        <v>5</v>
      </c>
      <c r="F3" s="972">
        <v>0.3</v>
      </c>
      <c r="G3" s="966">
        <f>E3*F3</f>
        <v>1.5</v>
      </c>
      <c r="H3" s="963" t="s">
        <v>915</v>
      </c>
    </row>
    <row r="4" spans="1:8" ht="15.75" thickBot="1">
      <c r="A4" s="964"/>
      <c r="B4" s="293" t="s">
        <v>916</v>
      </c>
      <c r="C4" s="294">
        <v>4</v>
      </c>
      <c r="D4" s="973"/>
      <c r="E4" s="967"/>
      <c r="F4" s="973"/>
      <c r="G4" s="967"/>
      <c r="H4" s="964"/>
    </row>
    <row r="5" spans="1:8" ht="15.75" thickBot="1">
      <c r="A5" s="964"/>
      <c r="B5" s="293" t="s">
        <v>917</v>
      </c>
      <c r="C5" s="294">
        <v>3</v>
      </c>
      <c r="D5" s="973"/>
      <c r="E5" s="967"/>
      <c r="F5" s="973"/>
      <c r="G5" s="967"/>
      <c r="H5" s="964"/>
    </row>
    <row r="6" spans="1:8" ht="15.75" thickBot="1">
      <c r="A6" s="964"/>
      <c r="B6" s="293" t="s">
        <v>918</v>
      </c>
      <c r="C6" s="294">
        <v>2</v>
      </c>
      <c r="D6" s="973"/>
      <c r="E6" s="967"/>
      <c r="F6" s="973"/>
      <c r="G6" s="967"/>
      <c r="H6" s="964"/>
    </row>
    <row r="7" spans="1:8" ht="15.75" thickBot="1">
      <c r="A7" s="965"/>
      <c r="B7" s="293" t="s">
        <v>919</v>
      </c>
      <c r="C7" s="294">
        <v>1</v>
      </c>
      <c r="D7" s="974"/>
      <c r="E7" s="968"/>
      <c r="F7" s="974"/>
      <c r="G7" s="968"/>
      <c r="H7" s="965"/>
    </row>
    <row r="8" spans="1:8" ht="15.75" thickBot="1">
      <c r="A8" s="963" t="s">
        <v>920</v>
      </c>
      <c r="B8" s="293" t="s">
        <v>914</v>
      </c>
      <c r="C8" s="294">
        <v>5</v>
      </c>
      <c r="D8" s="972">
        <f>'Financials - combined'!B16/'Financials - combined'!D16-1</f>
        <v>9821.2950819672133</v>
      </c>
      <c r="E8" s="966">
        <f>IF(D8&gt;=25%,C8,IF(AND(D8&gt;=20%,D8&lt;25%),C9,IF(AND(D8&gt;=10%,D8&lt;20%),C10,IF(AND(D8&gt;=0,D8&lt;10%),C11,C12))))</f>
        <v>5</v>
      </c>
      <c r="F8" s="972">
        <v>0.2</v>
      </c>
      <c r="G8" s="966">
        <f>E8*F8</f>
        <v>1</v>
      </c>
      <c r="H8" s="963" t="s">
        <v>921</v>
      </c>
    </row>
    <row r="9" spans="1:8" ht="15.75" thickBot="1">
      <c r="A9" s="964"/>
      <c r="B9" s="293" t="s">
        <v>916</v>
      </c>
      <c r="C9" s="294">
        <v>4</v>
      </c>
      <c r="D9" s="973"/>
      <c r="E9" s="967"/>
      <c r="F9" s="973"/>
      <c r="G9" s="967"/>
      <c r="H9" s="964"/>
    </row>
    <row r="10" spans="1:8" ht="15.75" thickBot="1">
      <c r="A10" s="964"/>
      <c r="B10" s="293" t="s">
        <v>917</v>
      </c>
      <c r="C10" s="294">
        <v>3</v>
      </c>
      <c r="D10" s="973"/>
      <c r="E10" s="967"/>
      <c r="F10" s="973"/>
      <c r="G10" s="967"/>
      <c r="H10" s="964"/>
    </row>
    <row r="11" spans="1:8" ht="15.75" thickBot="1">
      <c r="A11" s="964"/>
      <c r="B11" s="293" t="s">
        <v>918</v>
      </c>
      <c r="C11" s="294">
        <v>2</v>
      </c>
      <c r="D11" s="973"/>
      <c r="E11" s="967"/>
      <c r="F11" s="973"/>
      <c r="G11" s="967"/>
      <c r="H11" s="964"/>
    </row>
    <row r="12" spans="1:8" ht="15.75" thickBot="1">
      <c r="A12" s="965"/>
      <c r="B12" s="293" t="s">
        <v>919</v>
      </c>
      <c r="C12" s="294">
        <v>1</v>
      </c>
      <c r="D12" s="974"/>
      <c r="E12" s="968"/>
      <c r="F12" s="974"/>
      <c r="G12" s="968"/>
      <c r="H12" s="965"/>
    </row>
    <row r="13" spans="1:8" ht="15.75" thickBot="1">
      <c r="A13" s="963" t="s">
        <v>922</v>
      </c>
      <c r="B13" s="293" t="s">
        <v>914</v>
      </c>
      <c r="C13" s="294">
        <v>5</v>
      </c>
      <c r="D13" s="972">
        <f>'Financials - combined'!B29/'Financials - combined'!D29-1</f>
        <v>28528.523809523809</v>
      </c>
      <c r="E13" s="966">
        <f>IF(D13&gt;=25%,C13,IF(AND(D13&gt;=20%,D13&lt;25%),C14,IF(AND(D13&gt;=10%,D13&lt;20%),C15,IF(AND(D13&gt;=0,D13&lt;10%),C16,C17))))</f>
        <v>5</v>
      </c>
      <c r="F13" s="972">
        <v>0.3</v>
      </c>
      <c r="G13" s="966">
        <f>E13*F13</f>
        <v>1.5</v>
      </c>
      <c r="H13" s="963" t="s">
        <v>923</v>
      </c>
    </row>
    <row r="14" spans="1:8" ht="15.75" thickBot="1">
      <c r="A14" s="964"/>
      <c r="B14" s="293" t="s">
        <v>916</v>
      </c>
      <c r="C14" s="294">
        <v>4</v>
      </c>
      <c r="D14" s="973"/>
      <c r="E14" s="967"/>
      <c r="F14" s="973"/>
      <c r="G14" s="967"/>
      <c r="H14" s="964"/>
    </row>
    <row r="15" spans="1:8" ht="15.75" thickBot="1">
      <c r="A15" s="964"/>
      <c r="B15" s="293" t="s">
        <v>917</v>
      </c>
      <c r="C15" s="294">
        <v>3</v>
      </c>
      <c r="D15" s="973"/>
      <c r="E15" s="967"/>
      <c r="F15" s="973"/>
      <c r="G15" s="967"/>
      <c r="H15" s="964"/>
    </row>
    <row r="16" spans="1:8" ht="15.75" thickBot="1">
      <c r="A16" s="964"/>
      <c r="B16" s="293" t="s">
        <v>918</v>
      </c>
      <c r="C16" s="294">
        <v>2</v>
      </c>
      <c r="D16" s="973"/>
      <c r="E16" s="967"/>
      <c r="F16" s="973"/>
      <c r="G16" s="967"/>
      <c r="H16" s="964"/>
    </row>
    <row r="17" spans="1:8" ht="15.75" thickBot="1">
      <c r="A17" s="965"/>
      <c r="B17" s="293" t="s">
        <v>919</v>
      </c>
      <c r="C17" s="294">
        <v>1</v>
      </c>
      <c r="D17" s="974"/>
      <c r="E17" s="968"/>
      <c r="F17" s="974"/>
      <c r="G17" s="968"/>
      <c r="H17" s="965"/>
    </row>
    <row r="18" spans="1:8" ht="15.75" thickBot="1">
      <c r="A18" s="963" t="s">
        <v>924</v>
      </c>
      <c r="B18" s="293" t="s">
        <v>925</v>
      </c>
      <c r="C18" s="294">
        <v>5</v>
      </c>
      <c r="D18" s="966">
        <f>'Financials - combined'!B54/'Financials - combined'!B44</f>
        <v>2</v>
      </c>
      <c r="E18" s="966">
        <f>IF(D18&gt;=1.75,C18,IF(AND(D18&gt;=1.25,D18&lt;1.75),C19,IF(AND(D18&gt;=1,D18&lt;1.25),C20,IF(AND(D18&gt;=0.75,D18&lt;1),C21,C22))))</f>
        <v>5</v>
      </c>
      <c r="F18" s="972">
        <v>0.2</v>
      </c>
      <c r="G18" s="966">
        <f>E18*F18</f>
        <v>1</v>
      </c>
      <c r="H18" s="963" t="s">
        <v>926</v>
      </c>
    </row>
    <row r="19" spans="1:8" ht="15.75" thickBot="1">
      <c r="A19" s="964"/>
      <c r="B19" s="293" t="s">
        <v>927</v>
      </c>
      <c r="C19" s="294">
        <v>4</v>
      </c>
      <c r="D19" s="967"/>
      <c r="E19" s="967"/>
      <c r="F19" s="973"/>
      <c r="G19" s="967"/>
      <c r="H19" s="964"/>
    </row>
    <row r="20" spans="1:8" ht="15.75" thickBot="1">
      <c r="A20" s="964"/>
      <c r="B20" s="293" t="s">
        <v>928</v>
      </c>
      <c r="C20" s="294">
        <v>3</v>
      </c>
      <c r="D20" s="967"/>
      <c r="E20" s="967"/>
      <c r="F20" s="973"/>
      <c r="G20" s="967"/>
      <c r="H20" s="964"/>
    </row>
    <row r="21" spans="1:8" ht="15.75" thickBot="1">
      <c r="A21" s="964"/>
      <c r="B21" s="293" t="s">
        <v>929</v>
      </c>
      <c r="C21" s="294">
        <v>2</v>
      </c>
      <c r="D21" s="967"/>
      <c r="E21" s="967"/>
      <c r="F21" s="973"/>
      <c r="G21" s="967"/>
      <c r="H21" s="964"/>
    </row>
    <row r="22" spans="1:8" ht="15.75" thickBot="1">
      <c r="A22" s="965"/>
      <c r="B22" s="293" t="s">
        <v>930</v>
      </c>
      <c r="C22" s="294">
        <v>1</v>
      </c>
      <c r="D22" s="968"/>
      <c r="E22" s="968"/>
      <c r="F22" s="974"/>
      <c r="G22" s="968"/>
      <c r="H22" s="965"/>
    </row>
    <row r="23" spans="1:8">
      <c r="A23" s="292"/>
      <c r="B23" s="292"/>
      <c r="C23" s="295"/>
      <c r="D23" s="292"/>
      <c r="E23" s="292"/>
      <c r="F23" s="296" t="s">
        <v>145</v>
      </c>
      <c r="G23" s="297">
        <f>SUM(G3:G22)</f>
        <v>5</v>
      </c>
      <c r="H23" s="292"/>
    </row>
    <row r="24" spans="1:8" ht="15.75" thickBot="1">
      <c r="A24" s="292"/>
      <c r="B24" s="292"/>
      <c r="C24" s="295"/>
      <c r="D24" s="292"/>
      <c r="E24" s="292"/>
      <c r="F24" s="298" t="s">
        <v>931</v>
      </c>
      <c r="G24" s="299">
        <v>5</v>
      </c>
      <c r="H24" s="292"/>
    </row>
  </sheetData>
  <mergeCells count="25">
    <mergeCell ref="H8:H12"/>
    <mergeCell ref="H13:H17"/>
    <mergeCell ref="H18:H22"/>
    <mergeCell ref="D8:D12"/>
    <mergeCell ref="E8:E12"/>
    <mergeCell ref="F8:F12"/>
    <mergeCell ref="G8:G12"/>
    <mergeCell ref="F18:F22"/>
    <mergeCell ref="G18:G22"/>
    <mergeCell ref="A18:A22"/>
    <mergeCell ref="D18:D22"/>
    <mergeCell ref="E18:E22"/>
    <mergeCell ref="A1:H1"/>
    <mergeCell ref="A3:A7"/>
    <mergeCell ref="D3:D7"/>
    <mergeCell ref="E3:E7"/>
    <mergeCell ref="F3:F7"/>
    <mergeCell ref="G3:G7"/>
    <mergeCell ref="H3:H7"/>
    <mergeCell ref="A13:A17"/>
    <mergeCell ref="D13:D17"/>
    <mergeCell ref="E13:E17"/>
    <mergeCell ref="F13:F17"/>
    <mergeCell ref="G13:G17"/>
    <mergeCell ref="A8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</vt:i4>
      </vt:variant>
    </vt:vector>
  </HeadingPairs>
  <TitlesOfParts>
    <vt:vector size="30" baseType="lpstr">
      <vt:lpstr>Business Profile</vt:lpstr>
      <vt:lpstr>ITR</vt:lpstr>
      <vt:lpstr>ROC</vt:lpstr>
      <vt:lpstr>GST</vt:lpstr>
      <vt:lpstr>KYC</vt:lpstr>
      <vt:lpstr>Financials_Applicant 1</vt:lpstr>
      <vt:lpstr>Financials_Applicant 2</vt:lpstr>
      <vt:lpstr>Financials_Applicant 3</vt:lpstr>
      <vt:lpstr>Financials_Applicant 4</vt:lpstr>
      <vt:lpstr>Financials - combined</vt:lpstr>
      <vt:lpstr>Input</vt:lpstr>
      <vt:lpstr>Masters</vt:lpstr>
      <vt:lpstr>RAAC &amp; NFA Master</vt:lpstr>
      <vt:lpstr>GST Margins</vt:lpstr>
      <vt:lpstr>Normal &amp; CGTMSE Eligibility</vt:lpstr>
      <vt:lpstr>NC-RTR</vt:lpstr>
      <vt:lpstr>Credit Summation</vt:lpstr>
      <vt:lpstr>Analysis-Debit</vt:lpstr>
      <vt:lpstr>Analysis-Credit</vt:lpstr>
      <vt:lpstr>Banking Analysis</vt:lpstr>
      <vt:lpstr>Output</vt:lpstr>
      <vt:lpstr>GTP-Sheet</vt:lpstr>
      <vt:lpstr>Banking_Product</vt:lpstr>
      <vt:lpstr>Express_BT_HL</vt:lpstr>
      <vt:lpstr>Express_BT_Non_HL</vt:lpstr>
      <vt:lpstr>GST Sheet</vt:lpstr>
      <vt:lpstr>Summary</vt:lpstr>
      <vt:lpstr>Additional Sheets</vt:lpstr>
      <vt:lpstr>CGTMSE Scorecard</vt:lpstr>
      <vt:lpstr>'Financials - combined'!Print_Area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182023</dc:creator>
  <cp:lastModifiedBy>NAMASTECREDIT-TECH</cp:lastModifiedBy>
  <dcterms:created xsi:type="dcterms:W3CDTF">2017-12-26T14:01:15Z</dcterms:created>
  <dcterms:modified xsi:type="dcterms:W3CDTF">2021-12-07T07:07:45Z</dcterms:modified>
</cp:coreProperties>
</file>