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updateLinks="never" codeName="ThisWorkbook"/>
  <mc:AlternateContent xmlns:mc="http://schemas.openxmlformats.org/markup-compatibility/2006">
    <mc:Choice Requires="x15">
      <x15ac:absPath xmlns:x15ac="http://schemas.microsoft.com/office/spreadsheetml/2010/11/ac" url="D:\Projects\ICICI SENP\"/>
    </mc:Choice>
  </mc:AlternateContent>
  <xr:revisionPtr revIDLastSave="0" documentId="13_ncr:1_{09F22695-00F9-4C30-A85B-0014C7D47123}" xr6:coauthVersionLast="47" xr6:coauthVersionMax="47" xr10:uidLastSave="{00000000-0000-0000-0000-000000000000}"/>
  <bookViews>
    <workbookView xWindow="-120" yWindow="-120" windowWidth="20730" windowHeight="11160" tabRatio="905" firstSheet="15" activeTab="19" xr2:uid="{00000000-000D-0000-FFFF-FFFF00000000}"/>
  </bookViews>
  <sheets>
    <sheet name="Business Profile" sheetId="27" r:id="rId1"/>
    <sheet name="ITR" sheetId="28" r:id="rId2"/>
    <sheet name="ROC" sheetId="29" r:id="rId3"/>
    <sheet name="GST" sheetId="30" r:id="rId4"/>
    <sheet name="KYC" sheetId="31" r:id="rId5"/>
    <sheet name="Financials_Applicant 1" sheetId="12" r:id="rId6"/>
    <sheet name="Financials_Applicant 2" sheetId="13" r:id="rId7"/>
    <sheet name="Financials_Applicant 3" sheetId="14" r:id="rId8"/>
    <sheet name="Financials_Applicant 4" sheetId="15" r:id="rId9"/>
    <sheet name="Financials - combined" sheetId="16" r:id="rId10"/>
    <sheet name="Input" sheetId="1" r:id="rId11"/>
    <sheet name="Masters" sheetId="11" r:id="rId12"/>
    <sheet name="RAAC &amp; NFA Master" sheetId="18" r:id="rId13"/>
    <sheet name="GST Margins" sheetId="19" r:id="rId14"/>
    <sheet name="Normal &amp; CGTMSE Eligibility" sheetId="8" r:id="rId15"/>
    <sheet name="NC-RTR" sheetId="26" r:id="rId16"/>
    <sheet name="Credit Summation" sheetId="23" r:id="rId17"/>
    <sheet name="Analysis-Debit" sheetId="24" r:id="rId18"/>
    <sheet name="Analysis-Credit" sheetId="25" r:id="rId19"/>
    <sheet name="Banking Analysis" sheetId="9" r:id="rId20"/>
    <sheet name="Output" sheetId="2" r:id="rId21"/>
    <sheet name="GTP-Sheet" sheetId="3" state="hidden" r:id="rId22"/>
    <sheet name="Banking_Product" sheetId="4" r:id="rId23"/>
    <sheet name="Express_BT_HL" sheetId="6" state="hidden" r:id="rId24"/>
    <sheet name="Express_BT_Non_HL" sheetId="7" state="hidden" r:id="rId25"/>
    <sheet name="GST Sheet" sheetId="17" r:id="rId26"/>
    <sheet name="Summary" sheetId="10" r:id="rId27"/>
    <sheet name="Additional Sheets" sheetId="21" r:id="rId28"/>
    <sheet name="CGTMSE Scorecard" sheetId="22" r:id="rId29"/>
  </sheets>
  <externalReferences>
    <externalReference r:id="rId30"/>
    <externalReference r:id="rId31"/>
    <externalReference r:id="rId32"/>
  </externalReferences>
  <definedNames>
    <definedName name="_xlnm._FilterDatabase" localSheetId="13" hidden="1">'GST Margins'!$A$1:$I$139</definedName>
    <definedName name="_xlnm._FilterDatabase" localSheetId="12" hidden="1">'RAAC &amp; NFA Master'!$A$2:$J$211</definedName>
    <definedName name="A" localSheetId="15">'[1]Banking product- Eligibility'!$IV$5</definedName>
    <definedName name="A">'[2]Banking product- Eligibility'!$IV$5</definedName>
    <definedName name="Amount">#REF!</definedName>
    <definedName name="AuthCap">#REF!</definedName>
    <definedName name="B" localSheetId="15">'[1]Banking product- Eligibility'!$IV$13</definedName>
    <definedName name="B">'[2]Banking product- Eligibility'!$IV$13</definedName>
    <definedName name="bb" localSheetId="6">#REF!</definedName>
    <definedName name="bb" localSheetId="7">#REF!</definedName>
    <definedName name="bb" localSheetId="8">#REF!</definedName>
    <definedName name="bb" localSheetId="12">#REF!</definedName>
    <definedName name="bb">#REF!</definedName>
    <definedName name="CIN">#REF!</definedName>
    <definedName name="CINStatus">#REF!</definedName>
    <definedName name="_xlnm.Criteria">#REF!</definedName>
    <definedName name="Excel_BuiltIn_Print_Area_1">"$#REF!.$A$2:$F$25"</definedName>
    <definedName name="Excel_BuiltIn_Print_Area_2">"$#REF!.$A$1:$G$114"</definedName>
    <definedName name="GSTIN">#REF!</definedName>
    <definedName name="GSTINStatus">#REF!</definedName>
    <definedName name="lessthan3">'[3]Credit Summation'!$B$31</definedName>
    <definedName name="one" localSheetId="6">#REF!</definedName>
    <definedName name="one" localSheetId="7">#REF!</definedName>
    <definedName name="one" localSheetId="8">#REF!</definedName>
    <definedName name="one" localSheetId="12">#REF!</definedName>
    <definedName name="one">#REF!</definedName>
    <definedName name="p" localSheetId="15">'[1]Banking product- Eligibility'!$IV$15</definedName>
    <definedName name="p">'[2]Banking product- Eligibility'!$IV$15</definedName>
    <definedName name="PaidUp">#REF!</definedName>
    <definedName name="_xlnm.Print_Area" localSheetId="9">'Financials - combined'!$A$1:$I$106</definedName>
    <definedName name="Q" localSheetId="15">'[1]Banking product- Eligibility'!$IV$16</definedName>
    <definedName name="Q">'[2]Banking product- Eligibility'!$IV$16</definedName>
    <definedName name="saurabh" localSheetId="6">#REF!</definedName>
    <definedName name="saurabh" localSheetId="7">#REF!</definedName>
    <definedName name="saurabh" localSheetId="8">#REF!</definedName>
    <definedName name="saurabh" localSheetId="12">#REF!</definedName>
    <definedName name="saurabh">#REF!</definedName>
    <definedName name="two" localSheetId="6">#REF!</definedName>
    <definedName name="two" localSheetId="7">#REF!</definedName>
    <definedName name="two" localSheetId="8">#REF!</definedName>
    <definedName name="two" localSheetId="12">#REF!</definedName>
    <definedName name="two">#REF!</definedName>
    <definedName name="w" localSheetId="6">#REF!</definedName>
    <definedName name="w" localSheetId="7">#REF!</definedName>
    <definedName name="w" localSheetId="8">#REF!</definedName>
    <definedName name="w" localSheetId="12">#REF!</definedName>
    <definedName name="w">#REF!</definedName>
    <definedName name="Zer" localSheetId="6">#REF!</definedName>
    <definedName name="Zer" localSheetId="7">#REF!</definedName>
    <definedName name="Zer" localSheetId="8">#REF!</definedName>
    <definedName name="Zer" localSheetId="12">#REF!</definedName>
    <definedName name="Zer">#REF!</definedName>
    <definedName name="zero" localSheetId="6">#REF!</definedName>
    <definedName name="zero" localSheetId="7">#REF!</definedName>
    <definedName name="zero" localSheetId="8">#REF!</definedName>
    <definedName name="zero" localSheetId="12">#REF!</definedName>
    <definedName name="zero">#REF!</definedName>
    <definedName name="Zero1">'[3]Credit Summation'!$II$12</definedName>
    <definedName name="Zero2">'[3]Credit Summation'!$II$13</definedName>
    <definedName name="Zero3">'[3]Credit Summation'!$II$14</definedName>
    <definedName name="zerototal" localSheetId="6">#REF!</definedName>
    <definedName name="zerototal" localSheetId="7">#REF!</definedName>
    <definedName name="zerototal" localSheetId="8">#REF!</definedName>
    <definedName name="zerototal" localSheetId="12">#REF!</definedName>
    <definedName name="zero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0" i="24" l="1"/>
  <c r="H50" i="24"/>
  <c r="I49" i="24"/>
  <c r="H49" i="24"/>
  <c r="I48" i="24"/>
  <c r="H48" i="24"/>
  <c r="I47" i="24"/>
  <c r="H47" i="24"/>
  <c r="I46" i="24"/>
  <c r="H46" i="24"/>
  <c r="F11" i="25"/>
  <c r="E11" i="25"/>
  <c r="I45" i="24"/>
  <c r="H45" i="24"/>
  <c r="I44" i="24"/>
  <c r="H44" i="24"/>
  <c r="I43" i="24"/>
  <c r="H43" i="24"/>
  <c r="I42" i="24"/>
  <c r="H42" i="24"/>
  <c r="I41" i="24"/>
  <c r="H41" i="24"/>
  <c r="F10" i="25"/>
  <c r="E10" i="25"/>
  <c r="I40" i="24"/>
  <c r="H40" i="24"/>
  <c r="I39" i="24"/>
  <c r="H39" i="24"/>
  <c r="I38" i="24"/>
  <c r="H38" i="24"/>
  <c r="I37" i="24"/>
  <c r="H37" i="24"/>
  <c r="I36" i="24"/>
  <c r="H36" i="24"/>
  <c r="F9" i="25"/>
  <c r="E9" i="25"/>
  <c r="K32" i="26"/>
  <c r="M32" i="26" s="1"/>
  <c r="O32" i="26"/>
  <c r="Q32" i="26"/>
  <c r="R32" i="26"/>
  <c r="O31" i="26"/>
  <c r="Q31" i="26"/>
  <c r="R31" i="26"/>
  <c r="O30" i="26"/>
  <c r="Q30" i="26"/>
  <c r="R30" i="26"/>
  <c r="O29" i="26"/>
  <c r="Q29" i="26"/>
  <c r="R29" i="26"/>
  <c r="O28" i="26"/>
  <c r="Q28" i="26"/>
  <c r="R28" i="26"/>
  <c r="O27" i="26"/>
  <c r="Q27" i="26"/>
  <c r="R27" i="26"/>
  <c r="I9" i="24"/>
  <c r="H9" i="24"/>
  <c r="I8" i="24"/>
  <c r="H8" i="24"/>
  <c r="I7" i="24"/>
  <c r="H7" i="24"/>
  <c r="I6" i="24"/>
  <c r="H6" i="24"/>
  <c r="I5" i="24"/>
  <c r="H5" i="24"/>
  <c r="Y7" i="9" l="1" a="1"/>
  <c r="Y7" i="9" s="1"/>
  <c r="T7" i="9" a="1"/>
  <c r="T7" i="9" s="1"/>
  <c r="O7" i="9" a="1"/>
  <c r="O7" i="9" s="1"/>
  <c r="J7" i="9" a="1"/>
  <c r="J7" i="9" s="1"/>
  <c r="E7" i="9" a="1"/>
  <c r="E7" i="9" s="1"/>
  <c r="A18" i="9"/>
  <c r="F46" i="30" l="1"/>
  <c r="E46" i="30"/>
  <c r="D46" i="30"/>
  <c r="F45" i="30"/>
  <c r="E45" i="30"/>
  <c r="D45" i="30"/>
  <c r="G44" i="30"/>
  <c r="G43" i="30"/>
  <c r="G42" i="30"/>
  <c r="G41" i="30"/>
  <c r="G40" i="30"/>
  <c r="G39" i="30"/>
  <c r="G38" i="30"/>
  <c r="G37" i="30"/>
  <c r="G36" i="30"/>
  <c r="G35" i="30"/>
  <c r="G34" i="30"/>
  <c r="B34" i="30"/>
  <c r="B35" i="30" s="1"/>
  <c r="B36" i="30" s="1"/>
  <c r="B37" i="30" s="1"/>
  <c r="B38" i="30" s="1"/>
  <c r="B39" i="30" s="1"/>
  <c r="B40" i="30" s="1"/>
  <c r="B41" i="30" s="1"/>
  <c r="B42" i="30" s="1"/>
  <c r="B43" i="30" s="1"/>
  <c r="B44" i="30" s="1"/>
  <c r="G33" i="30"/>
  <c r="G46" i="30" s="1"/>
  <c r="E27" i="29"/>
  <c r="D27" i="29"/>
  <c r="E26" i="29"/>
  <c r="E28" i="29" s="1"/>
  <c r="D26" i="29"/>
  <c r="D28" i="29" s="1"/>
  <c r="G13" i="29"/>
  <c r="D69" i="27"/>
  <c r="D68" i="27"/>
  <c r="D67" i="27"/>
  <c r="D66" i="27"/>
  <c r="D65" i="27"/>
  <c r="H54" i="27"/>
  <c r="I53" i="27"/>
  <c r="G53" i="27"/>
  <c r="E53" i="27"/>
  <c r="I52" i="27"/>
  <c r="G52" i="27"/>
  <c r="E52" i="27"/>
  <c r="I51" i="27"/>
  <c r="G51" i="27"/>
  <c r="E51" i="27"/>
  <c r="I50" i="27"/>
  <c r="G50" i="27"/>
  <c r="E50" i="27"/>
  <c r="I49" i="27"/>
  <c r="G49" i="27"/>
  <c r="G54" i="27" s="1"/>
  <c r="E49" i="27"/>
  <c r="I48" i="27"/>
  <c r="I54" i="27" s="1"/>
  <c r="G48" i="27"/>
  <c r="E48" i="27"/>
  <c r="H47" i="27"/>
  <c r="H44" i="27"/>
  <c r="I44" i="27" s="1"/>
  <c r="F44" i="27"/>
  <c r="G44" i="27" s="1"/>
  <c r="D44" i="27"/>
  <c r="E44" i="27" s="1"/>
  <c r="I43" i="27"/>
  <c r="G43" i="27"/>
  <c r="E43" i="27"/>
  <c r="I42" i="27"/>
  <c r="G42" i="27"/>
  <c r="E42" i="27"/>
  <c r="I41" i="27"/>
  <c r="G41" i="27"/>
  <c r="E41" i="27"/>
  <c r="I40" i="27"/>
  <c r="I45" i="27" s="1"/>
  <c r="G40" i="27"/>
  <c r="E40" i="27"/>
  <c r="E45" i="27" s="1"/>
  <c r="I39" i="27"/>
  <c r="G39" i="27"/>
  <c r="E39" i="27"/>
  <c r="I47" i="27"/>
  <c r="G47" i="27"/>
  <c r="I34" i="27"/>
  <c r="H34" i="27"/>
  <c r="G34" i="27"/>
  <c r="F34" i="27"/>
  <c r="E34" i="27"/>
  <c r="D34" i="27"/>
  <c r="I33" i="27"/>
  <c r="G33" i="27"/>
  <c r="E33" i="27"/>
  <c r="I32" i="27"/>
  <c r="G32" i="27"/>
  <c r="E32" i="27"/>
  <c r="I31" i="27"/>
  <c r="G31" i="27"/>
  <c r="E31" i="27"/>
  <c r="I30" i="27"/>
  <c r="G30" i="27"/>
  <c r="G35" i="27" s="1"/>
  <c r="E30" i="27"/>
  <c r="I29" i="27"/>
  <c r="I35" i="27" s="1"/>
  <c r="G29" i="27"/>
  <c r="E29" i="27"/>
  <c r="E35" i="27" s="1"/>
  <c r="H24" i="27"/>
  <c r="I24" i="27" s="1"/>
  <c r="F24" i="27"/>
  <c r="G24" i="27" s="1"/>
  <c r="D24" i="27"/>
  <c r="E24" i="27" s="1"/>
  <c r="I23" i="27"/>
  <c r="G23" i="27"/>
  <c r="E23" i="27"/>
  <c r="I22" i="27"/>
  <c r="G22" i="27"/>
  <c r="E22" i="27"/>
  <c r="I21" i="27"/>
  <c r="G21" i="27"/>
  <c r="E21" i="27"/>
  <c r="I20" i="27"/>
  <c r="I25" i="27" s="1"/>
  <c r="G20" i="27"/>
  <c r="E20" i="27"/>
  <c r="E25" i="27" s="1"/>
  <c r="I19" i="27"/>
  <c r="G19" i="27"/>
  <c r="E19" i="27"/>
  <c r="H12" i="27"/>
  <c r="D12" i="27"/>
  <c r="H11" i="27"/>
  <c r="D11" i="27"/>
  <c r="H9" i="27"/>
  <c r="H8" i="27"/>
  <c r="D8" i="27"/>
  <c r="BC36" i="26"/>
  <c r="BB36" i="26"/>
  <c r="BA36" i="26"/>
  <c r="AZ36" i="26"/>
  <c r="AY36" i="26"/>
  <c r="AX36" i="26"/>
  <c r="AW36" i="26"/>
  <c r="AV36" i="26"/>
  <c r="AU36" i="26"/>
  <c r="AT36" i="26"/>
  <c r="AS36" i="26"/>
  <c r="AR36" i="26"/>
  <c r="AQ36" i="26"/>
  <c r="AP36" i="26"/>
  <c r="AO36" i="26"/>
  <c r="AN36" i="26"/>
  <c r="AM36" i="26"/>
  <c r="AL36" i="26"/>
  <c r="AK36" i="26"/>
  <c r="AJ36" i="26"/>
  <c r="AI36" i="26"/>
  <c r="AH36" i="26"/>
  <c r="AG36" i="26"/>
  <c r="AF36" i="26"/>
  <c r="AE36" i="26"/>
  <c r="AD36" i="26"/>
  <c r="AC36" i="26"/>
  <c r="AB36" i="26"/>
  <c r="AA36" i="26"/>
  <c r="Z36" i="26"/>
  <c r="Y36" i="26"/>
  <c r="X36" i="26"/>
  <c r="W36" i="26"/>
  <c r="V36" i="26"/>
  <c r="U36" i="26"/>
  <c r="T36" i="26"/>
  <c r="S36" i="26"/>
  <c r="P36" i="26"/>
  <c r="N36" i="26"/>
  <c r="L36" i="26"/>
  <c r="I36" i="26"/>
  <c r="G36" i="26"/>
  <c r="F36" i="26"/>
  <c r="E36" i="26"/>
  <c r="D36" i="26"/>
  <c r="R35" i="26"/>
  <c r="Q35" i="26"/>
  <c r="O35" i="26"/>
  <c r="K35" i="26"/>
  <c r="M35" i="26" s="1"/>
  <c r="R34" i="26"/>
  <c r="Q34" i="26"/>
  <c r="O34" i="26"/>
  <c r="K34" i="26"/>
  <c r="M34" i="26" s="1"/>
  <c r="R33" i="26"/>
  <c r="Q33" i="26"/>
  <c r="O33" i="26"/>
  <c r="K33" i="26"/>
  <c r="M33" i="26" s="1"/>
  <c r="R26" i="26"/>
  <c r="Q26" i="26"/>
  <c r="Q36" i="26" s="1"/>
  <c r="O26" i="26"/>
  <c r="O36" i="26" s="1"/>
  <c r="V24" i="26"/>
  <c r="Y24" i="26" s="1"/>
  <c r="AB24" i="26" s="1"/>
  <c r="AE24" i="26" s="1"/>
  <c r="AH24" i="26" s="1"/>
  <c r="AK24" i="26" s="1"/>
  <c r="AN24" i="26" s="1"/>
  <c r="AQ24" i="26" s="1"/>
  <c r="AT24" i="26" s="1"/>
  <c r="AW24" i="26" s="1"/>
  <c r="AZ24" i="26" s="1"/>
  <c r="W13" i="26"/>
  <c r="S13" i="26"/>
  <c r="O13" i="26"/>
  <c r="K13" i="26"/>
  <c r="H13" i="26"/>
  <c r="G13" i="26"/>
  <c r="F13" i="26"/>
  <c r="E13" i="26"/>
  <c r="AD13" i="25"/>
  <c r="AC13" i="25"/>
  <c r="AB13" i="25"/>
  <c r="AA13" i="25"/>
  <c r="Z13" i="25"/>
  <c r="Y13" i="25"/>
  <c r="X13" i="25"/>
  <c r="W13" i="25"/>
  <c r="V13" i="25"/>
  <c r="U13" i="25"/>
  <c r="T13" i="25"/>
  <c r="S13" i="25"/>
  <c r="R13" i="25"/>
  <c r="Q13" i="25"/>
  <c r="P13" i="25"/>
  <c r="O13" i="25"/>
  <c r="N13" i="25"/>
  <c r="M13" i="25"/>
  <c r="L13" i="25"/>
  <c r="K13" i="25"/>
  <c r="J13" i="25"/>
  <c r="I13" i="25"/>
  <c r="H13" i="25"/>
  <c r="G13" i="25"/>
  <c r="D13" i="25"/>
  <c r="F12" i="25"/>
  <c r="E12" i="25"/>
  <c r="F8" i="25"/>
  <c r="E8" i="25"/>
  <c r="F7" i="25"/>
  <c r="E7" i="25"/>
  <c r="F6" i="25"/>
  <c r="E6" i="25"/>
  <c r="F5" i="25"/>
  <c r="E5" i="25"/>
  <c r="G3" i="25"/>
  <c r="I3" i="25" s="1"/>
  <c r="K3" i="25" s="1"/>
  <c r="M3" i="25" s="1"/>
  <c r="O3" i="25" s="1"/>
  <c r="Q3" i="25" s="1"/>
  <c r="S3" i="25" s="1"/>
  <c r="U3" i="25" s="1"/>
  <c r="W3" i="25" s="1"/>
  <c r="Y3" i="25" s="1"/>
  <c r="AA3" i="25" s="1"/>
  <c r="AC3" i="25" s="1"/>
  <c r="U52" i="24"/>
  <c r="T52" i="24"/>
  <c r="S52" i="24"/>
  <c r="R52" i="24"/>
  <c r="Q52" i="24"/>
  <c r="P52" i="24"/>
  <c r="O52" i="24"/>
  <c r="N52" i="24"/>
  <c r="M52" i="24"/>
  <c r="L52" i="24"/>
  <c r="K52" i="24"/>
  <c r="J52" i="24"/>
  <c r="I51" i="24"/>
  <c r="H51" i="24"/>
  <c r="I35" i="24"/>
  <c r="H35" i="24"/>
  <c r="I34" i="24"/>
  <c r="H34" i="24"/>
  <c r="I33" i="24"/>
  <c r="H33" i="24"/>
  <c r="I32" i="24"/>
  <c r="H32" i="24"/>
  <c r="I31" i="24"/>
  <c r="H31" i="24"/>
  <c r="I30" i="24"/>
  <c r="H30" i="24"/>
  <c r="I29" i="24"/>
  <c r="H29" i="24"/>
  <c r="I28" i="24"/>
  <c r="H28" i="24"/>
  <c r="I27" i="24"/>
  <c r="H27" i="24"/>
  <c r="I26" i="24"/>
  <c r="H26" i="24"/>
  <c r="I25" i="24"/>
  <c r="H25" i="24"/>
  <c r="I24" i="24"/>
  <c r="H24" i="24"/>
  <c r="I23" i="24"/>
  <c r="H23" i="24"/>
  <c r="I22" i="24"/>
  <c r="H22" i="24"/>
  <c r="I21" i="24"/>
  <c r="H21" i="24"/>
  <c r="I20" i="24"/>
  <c r="H20" i="24"/>
  <c r="I19" i="24"/>
  <c r="H19" i="24"/>
  <c r="I18" i="24"/>
  <c r="H18" i="24"/>
  <c r="I17" i="24"/>
  <c r="H17" i="24"/>
  <c r="I16" i="24"/>
  <c r="H16" i="24"/>
  <c r="J14" i="24"/>
  <c r="L14" i="24" s="1"/>
  <c r="N14" i="24" s="1"/>
  <c r="P14" i="24" s="1"/>
  <c r="R14" i="24" s="1"/>
  <c r="T14" i="24" s="1"/>
  <c r="AH11" i="24"/>
  <c r="AG11" i="24"/>
  <c r="AF11" i="24"/>
  <c r="AE11" i="24"/>
  <c r="AD11" i="24"/>
  <c r="AC11" i="24"/>
  <c r="AB11" i="24"/>
  <c r="AA11" i="24"/>
  <c r="Z11" i="24"/>
  <c r="Y11" i="24"/>
  <c r="X11" i="24"/>
  <c r="W11" i="24"/>
  <c r="V11" i="24"/>
  <c r="U11" i="24"/>
  <c r="T11" i="24"/>
  <c r="S11" i="24"/>
  <c r="R11" i="24"/>
  <c r="Q11" i="24"/>
  <c r="P11" i="24"/>
  <c r="O11" i="24"/>
  <c r="N11" i="24"/>
  <c r="M11" i="24"/>
  <c r="L11" i="24"/>
  <c r="K11" i="24"/>
  <c r="J11" i="24"/>
  <c r="E11" i="24"/>
  <c r="D11" i="24"/>
  <c r="I10" i="24"/>
  <c r="I11" i="24" s="1"/>
  <c r="H10" i="24"/>
  <c r="H11" i="24" s="1"/>
  <c r="L3" i="24"/>
  <c r="N3" i="24" s="1"/>
  <c r="P3" i="24" s="1"/>
  <c r="R3" i="24" s="1"/>
  <c r="T3" i="24" s="1"/>
  <c r="V3" i="24" s="1"/>
  <c r="X3" i="24" s="1"/>
  <c r="Z3" i="24" s="1"/>
  <c r="AB3" i="24" s="1"/>
  <c r="AD3" i="24" s="1"/>
  <c r="AF3" i="24" s="1"/>
  <c r="V35" i="23"/>
  <c r="V37" i="23" s="1"/>
  <c r="V38" i="23" s="1"/>
  <c r="U35" i="23"/>
  <c r="T35" i="23"/>
  <c r="S35" i="23"/>
  <c r="R35" i="23"/>
  <c r="V34" i="23"/>
  <c r="U34" i="23"/>
  <c r="T34" i="23"/>
  <c r="S34" i="23"/>
  <c r="V33" i="23"/>
  <c r="U33" i="23"/>
  <c r="T33" i="23"/>
  <c r="S33" i="23"/>
  <c r="V32" i="23"/>
  <c r="V31" i="23"/>
  <c r="R31" i="23"/>
  <c r="R53" i="23" s="1"/>
  <c r="V30" i="23"/>
  <c r="R28" i="23"/>
  <c r="V27" i="23"/>
  <c r="U27" i="23"/>
  <c r="T27" i="23"/>
  <c r="S27" i="23"/>
  <c r="R27" i="23"/>
  <c r="R34" i="23" s="1"/>
  <c r="JC26" i="23"/>
  <c r="V26" i="23"/>
  <c r="U26" i="23"/>
  <c r="T26" i="23"/>
  <c r="S26" i="23"/>
  <c r="JC25" i="23"/>
  <c r="IZ25" i="23"/>
  <c r="V25" i="23"/>
  <c r="U25" i="23"/>
  <c r="T25" i="23"/>
  <c r="S25" i="23"/>
  <c r="R25" i="23"/>
  <c r="R32" i="23" s="1"/>
  <c r="JE24" i="23"/>
  <c r="JE27" i="23" s="1"/>
  <c r="JE30" i="23" s="1"/>
  <c r="JC24" i="23"/>
  <c r="IZ24" i="23"/>
  <c r="V24" i="23"/>
  <c r="V53" i="23" s="1"/>
  <c r="U24" i="23"/>
  <c r="U53" i="23" s="1"/>
  <c r="T24" i="23"/>
  <c r="T53" i="23" s="1"/>
  <c r="S24" i="23"/>
  <c r="S53" i="23" s="1"/>
  <c r="R24" i="23"/>
  <c r="IZ23" i="23"/>
  <c r="V23" i="23"/>
  <c r="V52" i="23" s="1"/>
  <c r="V18" i="23"/>
  <c r="U18" i="23"/>
  <c r="U23" i="23" s="1"/>
  <c r="T18" i="23"/>
  <c r="T23" i="23" s="1"/>
  <c r="S18" i="23"/>
  <c r="S23" i="23" s="1"/>
  <c r="R18" i="23"/>
  <c r="R23" i="23" s="1"/>
  <c r="R52" i="23" s="1"/>
  <c r="R55" i="23" s="1"/>
  <c r="V17" i="23"/>
  <c r="U17" i="23"/>
  <c r="T17" i="23"/>
  <c r="S17" i="23"/>
  <c r="R17" i="23"/>
  <c r="N17" i="23"/>
  <c r="M17" i="23"/>
  <c r="L17" i="23"/>
  <c r="K17" i="23"/>
  <c r="J17" i="23"/>
  <c r="F17" i="23"/>
  <c r="E17" i="23"/>
  <c r="D17" i="23"/>
  <c r="D18" i="23" s="1"/>
  <c r="C17" i="23"/>
  <c r="B17" i="23"/>
  <c r="A16" i="23"/>
  <c r="Q16" i="23" s="1"/>
  <c r="E3" i="17"/>
  <c r="C21" i="17"/>
  <c r="B19" i="17"/>
  <c r="C18" i="23" l="1"/>
  <c r="E13" i="25"/>
  <c r="I16" i="23"/>
  <c r="A15" i="23"/>
  <c r="Q15" i="23" s="1"/>
  <c r="R40" i="23"/>
  <c r="F13" i="25"/>
  <c r="R36" i="26"/>
  <c r="H52" i="24"/>
  <c r="I52" i="24"/>
  <c r="E18" i="23"/>
  <c r="B18" i="23"/>
  <c r="F18" i="23"/>
  <c r="M36" i="26"/>
  <c r="G45" i="27"/>
  <c r="G25" i="27"/>
  <c r="G45" i="30"/>
  <c r="S31" i="23"/>
  <c r="S52" i="23"/>
  <c r="S30" i="23"/>
  <c r="T52" i="23"/>
  <c r="T30" i="23"/>
  <c r="T37" i="23" s="1"/>
  <c r="T38" i="23" s="1"/>
  <c r="T31" i="23"/>
  <c r="T32" i="23" s="1"/>
  <c r="U52" i="23"/>
  <c r="U30" i="23"/>
  <c r="U31" i="23"/>
  <c r="U32" i="23" s="1"/>
  <c r="S55" i="23"/>
  <c r="R30" i="23"/>
  <c r="R37" i="23" s="1"/>
  <c r="R38" i="23" s="1"/>
  <c r="T55" i="23"/>
  <c r="U36" i="23"/>
  <c r="U55" i="23"/>
  <c r="R36" i="23"/>
  <c r="V36" i="23"/>
  <c r="V55" i="23"/>
  <c r="B21" i="4"/>
  <c r="B5" i="1"/>
  <c r="T36" i="23" l="1"/>
  <c r="R58" i="23"/>
  <c r="I15" i="23"/>
  <c r="A14" i="23"/>
  <c r="I14" i="23" s="1"/>
  <c r="R45" i="23"/>
  <c r="B19" i="23"/>
  <c r="R44" i="23"/>
  <c r="U37" i="23"/>
  <c r="U38" i="23" s="1"/>
  <c r="R59" i="23"/>
  <c r="R60" i="23"/>
  <c r="S32" i="23"/>
  <c r="R61" i="23"/>
  <c r="F51" i="8"/>
  <c r="Q14" i="23" l="1"/>
  <c r="A13" i="23"/>
  <c r="I13" i="23" s="1"/>
  <c r="S36" i="23"/>
  <c r="S37" i="23"/>
  <c r="S38" i="23" s="1"/>
  <c r="S40" i="23"/>
  <c r="R43" i="23" s="1"/>
  <c r="B28" i="4"/>
  <c r="Q13" i="23" l="1"/>
  <c r="A12" i="23"/>
  <c r="Q12" i="23" s="1"/>
  <c r="R42" i="23"/>
  <c r="R41" i="23"/>
  <c r="A17" i="9"/>
  <c r="A16" i="9" s="1"/>
  <c r="A15" i="9" s="1"/>
  <c r="A14" i="9" s="1"/>
  <c r="A13" i="9" s="1"/>
  <c r="A12" i="9" s="1"/>
  <c r="A11" i="9" s="1"/>
  <c r="A10" i="9" s="1"/>
  <c r="A9" i="9" s="1"/>
  <c r="A8" i="9" s="1"/>
  <c r="A7" i="9" s="1"/>
  <c r="F36" i="8"/>
  <c r="F35" i="8"/>
  <c r="A11" i="23" l="1"/>
  <c r="A10" i="23" s="1"/>
  <c r="I12" i="23"/>
  <c r="F49" i="8"/>
  <c r="I11" i="23" l="1"/>
  <c r="Q11" i="23"/>
  <c r="Q10" i="23"/>
  <c r="I10" i="23"/>
  <c r="A9" i="23"/>
  <c r="B22" i="16"/>
  <c r="Q9" i="23" l="1"/>
  <c r="I9" i="23"/>
  <c r="A8" i="23"/>
  <c r="H82" i="16"/>
  <c r="F82" i="16"/>
  <c r="H81" i="16"/>
  <c r="F81" i="16"/>
  <c r="H64" i="16"/>
  <c r="F64" i="16"/>
  <c r="D64" i="16"/>
  <c r="B64" i="16"/>
  <c r="H63" i="16"/>
  <c r="F63" i="16"/>
  <c r="D63" i="16"/>
  <c r="B63" i="16"/>
  <c r="H62" i="16"/>
  <c r="H61" i="16" s="1"/>
  <c r="H99" i="16" s="1"/>
  <c r="F62" i="16"/>
  <c r="D62" i="16"/>
  <c r="B62" i="16"/>
  <c r="H60" i="16"/>
  <c r="F60" i="16"/>
  <c r="D60" i="16"/>
  <c r="B60" i="16"/>
  <c r="H59" i="16"/>
  <c r="F59" i="16"/>
  <c r="D59" i="16"/>
  <c r="B59" i="16"/>
  <c r="H58" i="16"/>
  <c r="F58" i="16"/>
  <c r="D58" i="16"/>
  <c r="B58" i="16"/>
  <c r="H56" i="16"/>
  <c r="F56" i="16"/>
  <c r="D56" i="16"/>
  <c r="B56" i="16"/>
  <c r="H55" i="16"/>
  <c r="F55" i="16"/>
  <c r="D55" i="16"/>
  <c r="B55" i="16"/>
  <c r="H53" i="16"/>
  <c r="F53" i="16"/>
  <c r="D53" i="16"/>
  <c r="B53" i="16"/>
  <c r="H52" i="16"/>
  <c r="F52" i="16"/>
  <c r="D52" i="16"/>
  <c r="B52" i="16"/>
  <c r="H51" i="16"/>
  <c r="F51" i="16"/>
  <c r="D51" i="16"/>
  <c r="B51" i="16"/>
  <c r="B50" i="16" s="1"/>
  <c r="H49" i="16"/>
  <c r="F49" i="16"/>
  <c r="D49" i="16"/>
  <c r="B49" i="16"/>
  <c r="H46" i="16"/>
  <c r="F46" i="16"/>
  <c r="D46" i="16"/>
  <c r="B46" i="16"/>
  <c r="H45" i="16"/>
  <c r="H44" i="16" s="1"/>
  <c r="H100" i="16" s="1"/>
  <c r="F45" i="16"/>
  <c r="D45" i="16"/>
  <c r="B45" i="16"/>
  <c r="H43" i="16"/>
  <c r="F43" i="16"/>
  <c r="D43" i="16"/>
  <c r="B43" i="16"/>
  <c r="H42" i="16"/>
  <c r="F42" i="16"/>
  <c r="D42" i="16"/>
  <c r="B42" i="16"/>
  <c r="H40" i="16"/>
  <c r="F40" i="16"/>
  <c r="D40" i="16"/>
  <c r="B40" i="16"/>
  <c r="H39" i="16"/>
  <c r="F39" i="16"/>
  <c r="D39" i="16"/>
  <c r="B39" i="16"/>
  <c r="H37" i="16"/>
  <c r="F37" i="16"/>
  <c r="D37" i="16"/>
  <c r="B37" i="16"/>
  <c r="H35" i="16"/>
  <c r="F35" i="16"/>
  <c r="D35" i="16"/>
  <c r="B35" i="16"/>
  <c r="H34" i="16"/>
  <c r="F34" i="16"/>
  <c r="D34" i="16"/>
  <c r="D36" i="16" s="1"/>
  <c r="B34" i="16"/>
  <c r="H28" i="16"/>
  <c r="F28" i="16"/>
  <c r="D28" i="16"/>
  <c r="C7" i="8" s="1"/>
  <c r="B28" i="16"/>
  <c r="B7" i="8" s="1"/>
  <c r="H27" i="16"/>
  <c r="F27" i="16"/>
  <c r="D27" i="16"/>
  <c r="C6" i="8" s="1"/>
  <c r="B27" i="16"/>
  <c r="B6" i="8" s="1"/>
  <c r="H24" i="16"/>
  <c r="F24" i="16"/>
  <c r="D24" i="16"/>
  <c r="C28" i="8" s="1"/>
  <c r="B24" i="16"/>
  <c r="B28" i="8" s="1"/>
  <c r="H22" i="16"/>
  <c r="F22" i="16"/>
  <c r="D22" i="16"/>
  <c r="H21" i="16"/>
  <c r="F21" i="16"/>
  <c r="D21" i="16"/>
  <c r="B21" i="16"/>
  <c r="H20" i="16"/>
  <c r="F20" i="16"/>
  <c r="D20" i="16"/>
  <c r="B20" i="16"/>
  <c r="H19" i="16"/>
  <c r="F19" i="16"/>
  <c r="D19" i="16"/>
  <c r="B19" i="16"/>
  <c r="H18" i="16"/>
  <c r="F18" i="16"/>
  <c r="D18" i="16"/>
  <c r="C8" i="8" s="1"/>
  <c r="B18" i="16"/>
  <c r="B8" i="8" s="1"/>
  <c r="H17" i="16"/>
  <c r="F17" i="16"/>
  <c r="D17" i="16"/>
  <c r="C5" i="8" s="1"/>
  <c r="B17" i="16"/>
  <c r="B5" i="8" s="1"/>
  <c r="H15" i="16"/>
  <c r="F15" i="16"/>
  <c r="D15" i="16"/>
  <c r="B15" i="16"/>
  <c r="H14" i="16"/>
  <c r="F14" i="16"/>
  <c r="D14" i="16"/>
  <c r="B14" i="16"/>
  <c r="H12" i="16"/>
  <c r="F12" i="16"/>
  <c r="D12" i="16"/>
  <c r="B12" i="16"/>
  <c r="H11" i="16"/>
  <c r="F11" i="16"/>
  <c r="D11" i="16"/>
  <c r="B11" i="16"/>
  <c r="H10" i="16"/>
  <c r="F10" i="16"/>
  <c r="D10" i="16"/>
  <c r="B10" i="16"/>
  <c r="H7" i="16"/>
  <c r="H94" i="16" s="1"/>
  <c r="F7" i="16"/>
  <c r="D7" i="16"/>
  <c r="B7" i="16"/>
  <c r="H6" i="16"/>
  <c r="F6" i="16"/>
  <c r="D6" i="16"/>
  <c r="B6" i="16"/>
  <c r="H5" i="16"/>
  <c r="F5" i="16"/>
  <c r="D5" i="16"/>
  <c r="B5" i="16"/>
  <c r="H104" i="15"/>
  <c r="F104" i="15"/>
  <c r="D104" i="15"/>
  <c r="B104" i="15"/>
  <c r="H98" i="15"/>
  <c r="F98" i="15"/>
  <c r="D98" i="15"/>
  <c r="B98" i="15"/>
  <c r="H94" i="15"/>
  <c r="F94" i="15"/>
  <c r="D94" i="15"/>
  <c r="B94" i="15"/>
  <c r="H93" i="15"/>
  <c r="F93" i="15"/>
  <c r="D93" i="15"/>
  <c r="B93" i="15"/>
  <c r="H92" i="15"/>
  <c r="F92" i="15"/>
  <c r="D92" i="15"/>
  <c r="B92" i="15"/>
  <c r="H91" i="15"/>
  <c r="F91" i="15"/>
  <c r="D91" i="15"/>
  <c r="B91" i="15"/>
  <c r="H90" i="15"/>
  <c r="F90" i="15"/>
  <c r="D90" i="15"/>
  <c r="B90" i="15"/>
  <c r="H89" i="15"/>
  <c r="F89" i="15"/>
  <c r="D89" i="15"/>
  <c r="B89" i="15"/>
  <c r="H88" i="15"/>
  <c r="F88" i="15"/>
  <c r="D88" i="15"/>
  <c r="B88" i="15"/>
  <c r="H82" i="15"/>
  <c r="F82" i="15"/>
  <c r="H81" i="15"/>
  <c r="F81" i="15"/>
  <c r="D81" i="15"/>
  <c r="B81" i="15"/>
  <c r="H71" i="15"/>
  <c r="F71" i="15"/>
  <c r="D71" i="15"/>
  <c r="B71" i="15"/>
  <c r="H70" i="15"/>
  <c r="F70" i="15"/>
  <c r="D70" i="15"/>
  <c r="B70" i="15"/>
  <c r="G64" i="15"/>
  <c r="E64" i="15"/>
  <c r="C64" i="15"/>
  <c r="G63" i="15"/>
  <c r="E63" i="15"/>
  <c r="C63" i="15"/>
  <c r="G62" i="15"/>
  <c r="E62" i="15"/>
  <c r="C62" i="15"/>
  <c r="H61" i="15"/>
  <c r="H99" i="15" s="1"/>
  <c r="F61" i="15"/>
  <c r="D61" i="15"/>
  <c r="B61" i="15"/>
  <c r="G60" i="15"/>
  <c r="E60" i="15"/>
  <c r="C60" i="15"/>
  <c r="G59" i="15"/>
  <c r="E59" i="15"/>
  <c r="C59" i="15"/>
  <c r="G58" i="15"/>
  <c r="E58" i="15"/>
  <c r="C58" i="15"/>
  <c r="H57" i="15"/>
  <c r="H97" i="15" s="1"/>
  <c r="F57" i="15"/>
  <c r="F69" i="15" s="1"/>
  <c r="D57" i="15"/>
  <c r="D69" i="15" s="1"/>
  <c r="B57" i="15"/>
  <c r="B69" i="15" s="1"/>
  <c r="G56" i="15"/>
  <c r="E56" i="15"/>
  <c r="C56" i="15"/>
  <c r="G55" i="15"/>
  <c r="E55" i="15"/>
  <c r="C55" i="15"/>
  <c r="G53" i="15"/>
  <c r="E53" i="15"/>
  <c r="C53" i="15"/>
  <c r="G52" i="15"/>
  <c r="E52" i="15"/>
  <c r="C52" i="15"/>
  <c r="G51" i="15"/>
  <c r="E51" i="15"/>
  <c r="C51" i="15"/>
  <c r="H50" i="15"/>
  <c r="F50" i="15"/>
  <c r="D50" i="15"/>
  <c r="B50" i="15"/>
  <c r="G49" i="15"/>
  <c r="E49" i="15"/>
  <c r="C49" i="15"/>
  <c r="G46" i="15"/>
  <c r="E46" i="15"/>
  <c r="C46" i="15"/>
  <c r="G45" i="15"/>
  <c r="E45" i="15"/>
  <c r="C45" i="15"/>
  <c r="H44" i="15"/>
  <c r="H100" i="15" s="1"/>
  <c r="F44" i="15"/>
  <c r="D44" i="15"/>
  <c r="B44" i="15"/>
  <c r="G43" i="15"/>
  <c r="E43" i="15"/>
  <c r="C43" i="15"/>
  <c r="G42" i="15"/>
  <c r="E42" i="15"/>
  <c r="C42" i="15"/>
  <c r="H41" i="15"/>
  <c r="F41" i="15"/>
  <c r="D41" i="15"/>
  <c r="D47" i="15" s="1"/>
  <c r="B41" i="15"/>
  <c r="G40" i="15"/>
  <c r="E40" i="15"/>
  <c r="C40" i="15"/>
  <c r="G39" i="15"/>
  <c r="E39" i="15"/>
  <c r="C39" i="15"/>
  <c r="H38" i="15"/>
  <c r="F38" i="15"/>
  <c r="D38" i="15"/>
  <c r="B38" i="15"/>
  <c r="G37" i="15"/>
  <c r="E37" i="15"/>
  <c r="C37" i="15"/>
  <c r="H36" i="15"/>
  <c r="H74" i="15" s="1"/>
  <c r="F36" i="15"/>
  <c r="F74" i="15" s="1"/>
  <c r="D36" i="15"/>
  <c r="B36" i="15"/>
  <c r="G35" i="15"/>
  <c r="E35" i="15"/>
  <c r="C35" i="15"/>
  <c r="G34" i="15"/>
  <c r="E34" i="15"/>
  <c r="C34" i="15"/>
  <c r="G33" i="15"/>
  <c r="E33" i="15"/>
  <c r="C33" i="15"/>
  <c r="F32" i="15"/>
  <c r="D32" i="15"/>
  <c r="B32" i="15"/>
  <c r="I28" i="15"/>
  <c r="G28" i="15"/>
  <c r="E28" i="15"/>
  <c r="C28" i="15"/>
  <c r="I27" i="15"/>
  <c r="G27" i="15"/>
  <c r="E27" i="15"/>
  <c r="C27" i="15"/>
  <c r="I24" i="15"/>
  <c r="G24" i="15"/>
  <c r="E24" i="15"/>
  <c r="C24" i="15"/>
  <c r="I22" i="15"/>
  <c r="G22" i="15"/>
  <c r="E22" i="15"/>
  <c r="C22" i="15"/>
  <c r="I21" i="15"/>
  <c r="G21" i="15"/>
  <c r="E21" i="15"/>
  <c r="C21" i="15"/>
  <c r="I20" i="15"/>
  <c r="G20" i="15"/>
  <c r="E20" i="15"/>
  <c r="C20" i="15"/>
  <c r="I19" i="15"/>
  <c r="G19" i="15"/>
  <c r="E19" i="15"/>
  <c r="C19" i="15"/>
  <c r="I18" i="15"/>
  <c r="G18" i="15"/>
  <c r="E18" i="15"/>
  <c r="C18" i="15"/>
  <c r="I17" i="15"/>
  <c r="G17" i="15"/>
  <c r="E17" i="15"/>
  <c r="C17" i="15"/>
  <c r="I15" i="15"/>
  <c r="G15" i="15"/>
  <c r="E15" i="15"/>
  <c r="C15" i="15"/>
  <c r="I14" i="15"/>
  <c r="G14" i="15"/>
  <c r="E14" i="15"/>
  <c r="C14" i="15"/>
  <c r="I12" i="15"/>
  <c r="G12" i="15"/>
  <c r="E12" i="15"/>
  <c r="C12" i="15"/>
  <c r="I11" i="15"/>
  <c r="G11" i="15"/>
  <c r="E11" i="15"/>
  <c r="C11" i="15"/>
  <c r="I10" i="15"/>
  <c r="G10" i="15"/>
  <c r="E10" i="15"/>
  <c r="C10" i="15"/>
  <c r="H8" i="15"/>
  <c r="H13" i="15" s="1"/>
  <c r="H78" i="15" s="1"/>
  <c r="F8" i="15"/>
  <c r="F13" i="15" s="1"/>
  <c r="F78" i="15" s="1"/>
  <c r="D8" i="15"/>
  <c r="B8" i="15"/>
  <c r="B13" i="15" s="1"/>
  <c r="G7" i="15"/>
  <c r="E7" i="15"/>
  <c r="C7" i="15"/>
  <c r="G6" i="15"/>
  <c r="E6" i="15"/>
  <c r="C6" i="15"/>
  <c r="G5" i="15"/>
  <c r="E5" i="15"/>
  <c r="C5" i="15"/>
  <c r="H104" i="14"/>
  <c r="F104" i="14"/>
  <c r="D104" i="14"/>
  <c r="B104" i="14"/>
  <c r="H98" i="14"/>
  <c r="F98" i="14"/>
  <c r="D98" i="14"/>
  <c r="B98" i="14"/>
  <c r="H94" i="14"/>
  <c r="F94" i="14"/>
  <c r="D94" i="14"/>
  <c r="B94" i="14"/>
  <c r="H93" i="14"/>
  <c r="F93" i="14"/>
  <c r="D93" i="14"/>
  <c r="B93" i="14"/>
  <c r="H92" i="14"/>
  <c r="F92" i="14"/>
  <c r="D92" i="14"/>
  <c r="B92" i="14"/>
  <c r="H91" i="14"/>
  <c r="F91" i="14"/>
  <c r="D91" i="14"/>
  <c r="B91" i="14"/>
  <c r="H90" i="14"/>
  <c r="F90" i="14"/>
  <c r="D90" i="14"/>
  <c r="B90" i="14"/>
  <c r="H89" i="14"/>
  <c r="F89" i="14"/>
  <c r="D89" i="14"/>
  <c r="B89" i="14"/>
  <c r="H88" i="14"/>
  <c r="F88" i="14"/>
  <c r="D88" i="14"/>
  <c r="B88" i="14"/>
  <c r="H82" i="14"/>
  <c r="F82" i="14"/>
  <c r="H81" i="14"/>
  <c r="F81" i="14"/>
  <c r="D81" i="14"/>
  <c r="B81" i="14"/>
  <c r="H71" i="14"/>
  <c r="F71" i="14"/>
  <c r="D71" i="14"/>
  <c r="B71" i="14"/>
  <c r="H70" i="14"/>
  <c r="F70" i="14"/>
  <c r="D70" i="14"/>
  <c r="B70" i="14"/>
  <c r="G64" i="14"/>
  <c r="E64" i="14"/>
  <c r="C64" i="14"/>
  <c r="G63" i="14"/>
  <c r="E63" i="14"/>
  <c r="C63" i="14"/>
  <c r="G62" i="14"/>
  <c r="E62" i="14"/>
  <c r="C62" i="14"/>
  <c r="H61" i="14"/>
  <c r="H99" i="14" s="1"/>
  <c r="F61" i="14"/>
  <c r="F99" i="14" s="1"/>
  <c r="D61" i="14"/>
  <c r="B61" i="14"/>
  <c r="G60" i="14"/>
  <c r="E60" i="14"/>
  <c r="C60" i="14"/>
  <c r="G59" i="14"/>
  <c r="E59" i="14"/>
  <c r="C59" i="14"/>
  <c r="G58" i="14"/>
  <c r="E58" i="14"/>
  <c r="C58" i="14"/>
  <c r="H57" i="14"/>
  <c r="H97" i="14" s="1"/>
  <c r="F57" i="14"/>
  <c r="F97" i="14" s="1"/>
  <c r="D57" i="14"/>
  <c r="D69" i="14" s="1"/>
  <c r="B57" i="14"/>
  <c r="B69" i="14" s="1"/>
  <c r="G56" i="14"/>
  <c r="E56" i="14"/>
  <c r="C56" i="14"/>
  <c r="G55" i="14"/>
  <c r="E55" i="14"/>
  <c r="C55" i="14"/>
  <c r="G53" i="14"/>
  <c r="E53" i="14"/>
  <c r="C53" i="14"/>
  <c r="G52" i="14"/>
  <c r="E52" i="14"/>
  <c r="C52" i="14"/>
  <c r="G51" i="14"/>
  <c r="E51" i="14"/>
  <c r="C51" i="14"/>
  <c r="H50" i="14"/>
  <c r="F50" i="14"/>
  <c r="D50" i="14"/>
  <c r="B50" i="14"/>
  <c r="G49" i="14"/>
  <c r="E49" i="14"/>
  <c r="C49" i="14"/>
  <c r="G46" i="14"/>
  <c r="E46" i="14"/>
  <c r="C46" i="14"/>
  <c r="G45" i="14"/>
  <c r="E45" i="14"/>
  <c r="C45" i="14"/>
  <c r="H44" i="14"/>
  <c r="H100" i="14" s="1"/>
  <c r="F44" i="14"/>
  <c r="D44" i="14"/>
  <c r="B44" i="14"/>
  <c r="G43" i="14"/>
  <c r="E43" i="14"/>
  <c r="C43" i="14"/>
  <c r="G42" i="14"/>
  <c r="E42" i="14"/>
  <c r="C42" i="14"/>
  <c r="H41" i="14"/>
  <c r="F41" i="14"/>
  <c r="D41" i="14"/>
  <c r="D47" i="14" s="1"/>
  <c r="B41" i="14"/>
  <c r="G40" i="14"/>
  <c r="E40" i="14"/>
  <c r="C40" i="14"/>
  <c r="G39" i="14"/>
  <c r="E39" i="14"/>
  <c r="C39" i="14"/>
  <c r="H38" i="14"/>
  <c r="F38" i="14"/>
  <c r="D38" i="14"/>
  <c r="B38" i="14"/>
  <c r="G37" i="14"/>
  <c r="E37" i="14"/>
  <c r="C37" i="14"/>
  <c r="H36" i="14"/>
  <c r="H74" i="14" s="1"/>
  <c r="F36" i="14"/>
  <c r="D36" i="14"/>
  <c r="B36" i="14"/>
  <c r="G35" i="14"/>
  <c r="E35" i="14"/>
  <c r="C35" i="14"/>
  <c r="G34" i="14"/>
  <c r="E34" i="14"/>
  <c r="C34" i="14"/>
  <c r="G33" i="14"/>
  <c r="E33" i="14"/>
  <c r="C33" i="14"/>
  <c r="F32" i="14"/>
  <c r="D32" i="14"/>
  <c r="B32" i="14"/>
  <c r="I28" i="14"/>
  <c r="G28" i="14"/>
  <c r="E28" i="14"/>
  <c r="C28" i="14"/>
  <c r="I27" i="14"/>
  <c r="G27" i="14"/>
  <c r="E27" i="14"/>
  <c r="C27" i="14"/>
  <c r="I24" i="14"/>
  <c r="G24" i="14"/>
  <c r="E24" i="14"/>
  <c r="C24" i="14"/>
  <c r="I22" i="14"/>
  <c r="G22" i="14"/>
  <c r="E22" i="14"/>
  <c r="C22" i="14"/>
  <c r="I21" i="14"/>
  <c r="G21" i="14"/>
  <c r="E21" i="14"/>
  <c r="C21" i="14"/>
  <c r="I20" i="14"/>
  <c r="G20" i="14"/>
  <c r="E20" i="14"/>
  <c r="C20" i="14"/>
  <c r="I19" i="14"/>
  <c r="G19" i="14"/>
  <c r="E19" i="14"/>
  <c r="C19" i="14"/>
  <c r="I18" i="14"/>
  <c r="G18" i="14"/>
  <c r="E18" i="14"/>
  <c r="C18" i="14"/>
  <c r="I17" i="14"/>
  <c r="G17" i="14"/>
  <c r="E17" i="14"/>
  <c r="C17" i="14"/>
  <c r="I15" i="14"/>
  <c r="G15" i="14"/>
  <c r="E15" i="14"/>
  <c r="C15" i="14"/>
  <c r="I14" i="14"/>
  <c r="G14" i="14"/>
  <c r="E14" i="14"/>
  <c r="C14" i="14"/>
  <c r="I12" i="14"/>
  <c r="G12" i="14"/>
  <c r="E12" i="14"/>
  <c r="C12" i="14"/>
  <c r="I11" i="14"/>
  <c r="G11" i="14"/>
  <c r="E11" i="14"/>
  <c r="C11" i="14"/>
  <c r="I10" i="14"/>
  <c r="G10" i="14"/>
  <c r="E10" i="14"/>
  <c r="C10" i="14"/>
  <c r="H8" i="14"/>
  <c r="H13" i="14" s="1"/>
  <c r="H78" i="14" s="1"/>
  <c r="F8" i="14"/>
  <c r="F13" i="14" s="1"/>
  <c r="D8" i="14"/>
  <c r="D13" i="14" s="1"/>
  <c r="D78" i="14" s="1"/>
  <c r="B8" i="14"/>
  <c r="B13" i="14" s="1"/>
  <c r="G7" i="14"/>
  <c r="E7" i="14"/>
  <c r="C7" i="14"/>
  <c r="G6" i="14"/>
  <c r="E6" i="14"/>
  <c r="C6" i="14"/>
  <c r="G5" i="14"/>
  <c r="E5" i="14"/>
  <c r="C5" i="14"/>
  <c r="H104" i="13"/>
  <c r="F104" i="13"/>
  <c r="D104" i="13"/>
  <c r="B104" i="13"/>
  <c r="H98" i="13"/>
  <c r="F98" i="13"/>
  <c r="D98" i="13"/>
  <c r="B98" i="13"/>
  <c r="H94" i="13"/>
  <c r="F94" i="13"/>
  <c r="D94" i="13"/>
  <c r="B94" i="13"/>
  <c r="H93" i="13"/>
  <c r="F93" i="13"/>
  <c r="D93" i="13"/>
  <c r="B93" i="13"/>
  <c r="H92" i="13"/>
  <c r="F92" i="13"/>
  <c r="D92" i="13"/>
  <c r="B92" i="13"/>
  <c r="H91" i="13"/>
  <c r="F91" i="13"/>
  <c r="D91" i="13"/>
  <c r="B91" i="13"/>
  <c r="H90" i="13"/>
  <c r="F90" i="13"/>
  <c r="D90" i="13"/>
  <c r="B90" i="13"/>
  <c r="H89" i="13"/>
  <c r="F89" i="13"/>
  <c r="D89" i="13"/>
  <c r="B89" i="13"/>
  <c r="H88" i="13"/>
  <c r="F88" i="13"/>
  <c r="D88" i="13"/>
  <c r="B88" i="13"/>
  <c r="H82" i="13"/>
  <c r="F82" i="13"/>
  <c r="H81" i="13"/>
  <c r="F81" i="13"/>
  <c r="D81" i="13"/>
  <c r="B81" i="13"/>
  <c r="H71" i="13"/>
  <c r="F71" i="13"/>
  <c r="D71" i="13"/>
  <c r="B71" i="13"/>
  <c r="H70" i="13"/>
  <c r="F70" i="13"/>
  <c r="D70" i="13"/>
  <c r="B70" i="13"/>
  <c r="G64" i="13"/>
  <c r="E64" i="13"/>
  <c r="C64" i="13"/>
  <c r="G63" i="13"/>
  <c r="E63" i="13"/>
  <c r="C63" i="13"/>
  <c r="G62" i="13"/>
  <c r="E62" i="13"/>
  <c r="C62" i="13"/>
  <c r="H61" i="13"/>
  <c r="H99" i="13" s="1"/>
  <c r="F61" i="13"/>
  <c r="F99" i="13" s="1"/>
  <c r="D61" i="13"/>
  <c r="B61" i="13"/>
  <c r="G60" i="13"/>
  <c r="E60" i="13"/>
  <c r="C60" i="13"/>
  <c r="G59" i="13"/>
  <c r="E59" i="13"/>
  <c r="C59" i="13"/>
  <c r="G58" i="13"/>
  <c r="E58" i="13"/>
  <c r="C58" i="13"/>
  <c r="H57" i="13"/>
  <c r="H97" i="13" s="1"/>
  <c r="F57" i="13"/>
  <c r="F97" i="13" s="1"/>
  <c r="D57" i="13"/>
  <c r="D69" i="13" s="1"/>
  <c r="B57" i="13"/>
  <c r="B69" i="13" s="1"/>
  <c r="G56" i="13"/>
  <c r="E56" i="13"/>
  <c r="C56" i="13"/>
  <c r="G55" i="13"/>
  <c r="E55" i="13"/>
  <c r="C55" i="13"/>
  <c r="G53" i="13"/>
  <c r="E53" i="13"/>
  <c r="C53" i="13"/>
  <c r="G52" i="13"/>
  <c r="E52" i="13"/>
  <c r="C52" i="13"/>
  <c r="G51" i="13"/>
  <c r="E51" i="13"/>
  <c r="C51" i="13"/>
  <c r="H50" i="13"/>
  <c r="F50" i="13"/>
  <c r="D50" i="13"/>
  <c r="B50" i="13"/>
  <c r="G49" i="13"/>
  <c r="E49" i="13"/>
  <c r="C49" i="13"/>
  <c r="G46" i="13"/>
  <c r="E46" i="13"/>
  <c r="C46" i="13"/>
  <c r="G45" i="13"/>
  <c r="E45" i="13"/>
  <c r="C45" i="13"/>
  <c r="H44" i="13"/>
  <c r="H100" i="13" s="1"/>
  <c r="F44" i="13"/>
  <c r="D44" i="13"/>
  <c r="B44" i="13"/>
  <c r="G43" i="13"/>
  <c r="E43" i="13"/>
  <c r="C43" i="13"/>
  <c r="G42" i="13"/>
  <c r="E42" i="13"/>
  <c r="C42" i="13"/>
  <c r="H41" i="13"/>
  <c r="F41" i="13"/>
  <c r="D41" i="13"/>
  <c r="D47" i="13" s="1"/>
  <c r="B41" i="13"/>
  <c r="B47" i="13" s="1"/>
  <c r="G40" i="13"/>
  <c r="E40" i="13"/>
  <c r="C40" i="13"/>
  <c r="G39" i="13"/>
  <c r="E39" i="13"/>
  <c r="C39" i="13"/>
  <c r="H38" i="13"/>
  <c r="F38" i="13"/>
  <c r="D38" i="13"/>
  <c r="B38" i="13"/>
  <c r="G37" i="13"/>
  <c r="E37" i="13"/>
  <c r="C37" i="13"/>
  <c r="H36" i="13"/>
  <c r="H74" i="13" s="1"/>
  <c r="F36" i="13"/>
  <c r="F74" i="13" s="1"/>
  <c r="D36" i="13"/>
  <c r="B36" i="13"/>
  <c r="G35" i="13"/>
  <c r="E35" i="13"/>
  <c r="C35" i="13"/>
  <c r="G34" i="13"/>
  <c r="E34" i="13"/>
  <c r="C34" i="13"/>
  <c r="G33" i="13"/>
  <c r="E33" i="13"/>
  <c r="C33" i="13"/>
  <c r="F32" i="13"/>
  <c r="D32" i="13"/>
  <c r="B32" i="13"/>
  <c r="I28" i="13"/>
  <c r="G28" i="13"/>
  <c r="E28" i="13"/>
  <c r="C28" i="13"/>
  <c r="I27" i="13"/>
  <c r="G27" i="13"/>
  <c r="E27" i="13"/>
  <c r="C27" i="13"/>
  <c r="I24" i="13"/>
  <c r="G24" i="13"/>
  <c r="E24" i="13"/>
  <c r="C24" i="13"/>
  <c r="I22" i="13"/>
  <c r="G22" i="13"/>
  <c r="E22" i="13"/>
  <c r="C22" i="13"/>
  <c r="I21" i="13"/>
  <c r="G21" i="13"/>
  <c r="E21" i="13"/>
  <c r="C21" i="13"/>
  <c r="I20" i="13"/>
  <c r="G20" i="13"/>
  <c r="E20" i="13"/>
  <c r="C20" i="13"/>
  <c r="I19" i="13"/>
  <c r="G19" i="13"/>
  <c r="E19" i="13"/>
  <c r="C19" i="13"/>
  <c r="I18" i="13"/>
  <c r="G18" i="13"/>
  <c r="E18" i="13"/>
  <c r="C18" i="13"/>
  <c r="I17" i="13"/>
  <c r="G17" i="13"/>
  <c r="E17" i="13"/>
  <c r="C17" i="13"/>
  <c r="I15" i="13"/>
  <c r="G15" i="13"/>
  <c r="E15" i="13"/>
  <c r="C15" i="13"/>
  <c r="I14" i="13"/>
  <c r="G14" i="13"/>
  <c r="E14" i="13"/>
  <c r="C14" i="13"/>
  <c r="I12" i="13"/>
  <c r="G12" i="13"/>
  <c r="E12" i="13"/>
  <c r="C12" i="13"/>
  <c r="I11" i="13"/>
  <c r="G11" i="13"/>
  <c r="E11" i="13"/>
  <c r="C11" i="13"/>
  <c r="I10" i="13"/>
  <c r="G10" i="13"/>
  <c r="E10" i="13"/>
  <c r="C10" i="13"/>
  <c r="H8" i="13"/>
  <c r="H13" i="13" s="1"/>
  <c r="H78" i="13" s="1"/>
  <c r="F8" i="13"/>
  <c r="F13" i="13" s="1"/>
  <c r="F78" i="13" s="1"/>
  <c r="D8" i="13"/>
  <c r="B8" i="13"/>
  <c r="B13" i="13" s="1"/>
  <c r="G7" i="13"/>
  <c r="E7" i="13"/>
  <c r="C7" i="13"/>
  <c r="G6" i="13"/>
  <c r="E6" i="13"/>
  <c r="C6" i="13"/>
  <c r="G5" i="13"/>
  <c r="E5" i="13"/>
  <c r="C5" i="13"/>
  <c r="H104" i="12"/>
  <c r="F104" i="12"/>
  <c r="D104" i="12"/>
  <c r="B104" i="12"/>
  <c r="H98" i="12"/>
  <c r="F98" i="12"/>
  <c r="D98" i="12"/>
  <c r="B98" i="12"/>
  <c r="H94" i="12"/>
  <c r="F94" i="12"/>
  <c r="D94" i="12"/>
  <c r="B94" i="12"/>
  <c r="H93" i="12"/>
  <c r="F93" i="12"/>
  <c r="D93" i="12"/>
  <c r="B93" i="12"/>
  <c r="H92" i="12"/>
  <c r="F92" i="12"/>
  <c r="D92" i="12"/>
  <c r="B92" i="12"/>
  <c r="H91" i="12"/>
  <c r="F91" i="12"/>
  <c r="D91" i="12"/>
  <c r="B91" i="12"/>
  <c r="H90" i="12"/>
  <c r="F90" i="12"/>
  <c r="D90" i="12"/>
  <c r="B90" i="12"/>
  <c r="H89" i="12"/>
  <c r="F89" i="12"/>
  <c r="D89" i="12"/>
  <c r="B89" i="12"/>
  <c r="H88" i="12"/>
  <c r="F88" i="12"/>
  <c r="D88" i="12"/>
  <c r="B88" i="12"/>
  <c r="H82" i="12"/>
  <c r="F82" i="12"/>
  <c r="H81" i="12"/>
  <c r="F81" i="12"/>
  <c r="D81" i="12"/>
  <c r="B81" i="12"/>
  <c r="H71" i="12"/>
  <c r="F71" i="12"/>
  <c r="D71" i="12"/>
  <c r="B71" i="12"/>
  <c r="H70" i="12"/>
  <c r="F70" i="12"/>
  <c r="D70" i="12"/>
  <c r="B70" i="12"/>
  <c r="G64" i="12"/>
  <c r="E64" i="12"/>
  <c r="C64" i="12"/>
  <c r="G63" i="12"/>
  <c r="E63" i="12"/>
  <c r="C63" i="12"/>
  <c r="G62" i="12"/>
  <c r="E62" i="12"/>
  <c r="C62" i="12"/>
  <c r="H61" i="12"/>
  <c r="H99" i="12" s="1"/>
  <c r="F61" i="12"/>
  <c r="F99" i="12" s="1"/>
  <c r="D61" i="12"/>
  <c r="B61" i="12"/>
  <c r="G60" i="12"/>
  <c r="E60" i="12"/>
  <c r="C60" i="12"/>
  <c r="G59" i="12"/>
  <c r="E59" i="12"/>
  <c r="C59" i="12"/>
  <c r="G58" i="12"/>
  <c r="E58" i="12"/>
  <c r="C58" i="12"/>
  <c r="H57" i="12"/>
  <c r="H97" i="12" s="1"/>
  <c r="F57" i="12"/>
  <c r="F97" i="12" s="1"/>
  <c r="D57" i="12"/>
  <c r="B57" i="12"/>
  <c r="B69" i="12" s="1"/>
  <c r="G56" i="12"/>
  <c r="E56" i="12"/>
  <c r="C56" i="12"/>
  <c r="G55" i="12"/>
  <c r="E55" i="12"/>
  <c r="C55" i="12"/>
  <c r="G53" i="12"/>
  <c r="E53" i="12"/>
  <c r="C53" i="12"/>
  <c r="G52" i="12"/>
  <c r="E52" i="12"/>
  <c r="C52" i="12"/>
  <c r="G51" i="12"/>
  <c r="E51" i="12"/>
  <c r="C51" i="12"/>
  <c r="H50" i="12"/>
  <c r="F50" i="12"/>
  <c r="D50" i="12"/>
  <c r="B50" i="12"/>
  <c r="G49" i="12"/>
  <c r="E49" i="12"/>
  <c r="C49" i="12"/>
  <c r="G46" i="12"/>
  <c r="E46" i="12"/>
  <c r="C46" i="12"/>
  <c r="G45" i="12"/>
  <c r="E45" i="12"/>
  <c r="C45" i="12"/>
  <c r="H44" i="12"/>
  <c r="H100" i="12" s="1"/>
  <c r="F44" i="12"/>
  <c r="D44" i="12"/>
  <c r="B44" i="12"/>
  <c r="G43" i="12"/>
  <c r="E43" i="12"/>
  <c r="C43" i="12"/>
  <c r="G42" i="12"/>
  <c r="E42" i="12"/>
  <c r="C42" i="12"/>
  <c r="H41" i="12"/>
  <c r="F41" i="12"/>
  <c r="D41" i="12"/>
  <c r="B41" i="12"/>
  <c r="G40" i="12"/>
  <c r="E40" i="12"/>
  <c r="C40" i="12"/>
  <c r="G39" i="12"/>
  <c r="E39" i="12"/>
  <c r="C39" i="12"/>
  <c r="H38" i="12"/>
  <c r="F38" i="12"/>
  <c r="D38" i="12"/>
  <c r="B38" i="12"/>
  <c r="G37" i="12"/>
  <c r="E37" i="12"/>
  <c r="C37" i="12"/>
  <c r="H36" i="12"/>
  <c r="H74" i="12" s="1"/>
  <c r="F36" i="12"/>
  <c r="D36" i="12"/>
  <c r="D74" i="12" s="1"/>
  <c r="B36" i="12"/>
  <c r="G35" i="12"/>
  <c r="E35" i="12"/>
  <c r="C35" i="12"/>
  <c r="G34" i="12"/>
  <c r="E34" i="12"/>
  <c r="C34" i="12"/>
  <c r="G33" i="12"/>
  <c r="E33" i="12"/>
  <c r="C33" i="12"/>
  <c r="F32" i="12"/>
  <c r="D32" i="12"/>
  <c r="B32" i="12"/>
  <c r="I28" i="12"/>
  <c r="G28" i="12"/>
  <c r="E28" i="12"/>
  <c r="C28" i="12"/>
  <c r="I27" i="12"/>
  <c r="G27" i="12"/>
  <c r="E27" i="12"/>
  <c r="C27" i="12"/>
  <c r="I24" i="12"/>
  <c r="G24" i="12"/>
  <c r="E24" i="12"/>
  <c r="C24" i="12"/>
  <c r="I22" i="12"/>
  <c r="G22" i="12"/>
  <c r="E22" i="12"/>
  <c r="C22" i="12"/>
  <c r="I21" i="12"/>
  <c r="G21" i="12"/>
  <c r="E21" i="12"/>
  <c r="C21" i="12"/>
  <c r="I20" i="12"/>
  <c r="G20" i="12"/>
  <c r="E20" i="12"/>
  <c r="C20" i="12"/>
  <c r="I19" i="12"/>
  <c r="G19" i="12"/>
  <c r="E19" i="12"/>
  <c r="C19" i="12"/>
  <c r="I18" i="12"/>
  <c r="G18" i="12"/>
  <c r="E18" i="12"/>
  <c r="C18" i="12"/>
  <c r="I17" i="12"/>
  <c r="G17" i="12"/>
  <c r="E17" i="12"/>
  <c r="C17" i="12"/>
  <c r="I15" i="12"/>
  <c r="G15" i="12"/>
  <c r="E15" i="12"/>
  <c r="C15" i="12"/>
  <c r="I14" i="12"/>
  <c r="G14" i="12"/>
  <c r="E14" i="12"/>
  <c r="C14" i="12"/>
  <c r="I12" i="12"/>
  <c r="G12" i="12"/>
  <c r="E12" i="12"/>
  <c r="C12" i="12"/>
  <c r="I11" i="12"/>
  <c r="G11" i="12"/>
  <c r="E11" i="12"/>
  <c r="C11" i="12"/>
  <c r="I10" i="12"/>
  <c r="G10" i="12"/>
  <c r="E10" i="12"/>
  <c r="C10" i="12"/>
  <c r="H8" i="12"/>
  <c r="H13" i="12" s="1"/>
  <c r="H78" i="12" s="1"/>
  <c r="F8" i="12"/>
  <c r="F13" i="12" s="1"/>
  <c r="F78" i="12" s="1"/>
  <c r="D8" i="12"/>
  <c r="B8" i="12"/>
  <c r="B13" i="12" s="1"/>
  <c r="G7" i="12"/>
  <c r="E7" i="12"/>
  <c r="C7" i="12"/>
  <c r="G6" i="12"/>
  <c r="E6" i="12"/>
  <c r="C6" i="12"/>
  <c r="G5" i="12"/>
  <c r="E5" i="12"/>
  <c r="C5" i="12"/>
  <c r="A7" i="23" l="1"/>
  <c r="I8" i="23"/>
  <c r="Q8" i="23"/>
  <c r="G13" i="14"/>
  <c r="F78" i="14"/>
  <c r="F47" i="12"/>
  <c r="F47" i="13"/>
  <c r="F47" i="15"/>
  <c r="C13" i="12"/>
  <c r="B78" i="12"/>
  <c r="H47" i="12"/>
  <c r="C13" i="13"/>
  <c r="B78" i="13"/>
  <c r="H47" i="13"/>
  <c r="C13" i="14"/>
  <c r="B78" i="14"/>
  <c r="H47" i="14"/>
  <c r="C13" i="15"/>
  <c r="B78" i="15"/>
  <c r="H47" i="15"/>
  <c r="B47" i="12"/>
  <c r="B57" i="16"/>
  <c r="F50" i="16"/>
  <c r="D47" i="12"/>
  <c r="C63" i="16"/>
  <c r="G63" i="16"/>
  <c r="B47" i="15"/>
  <c r="C47" i="15" s="1"/>
  <c r="D48" i="14"/>
  <c r="E8" i="15"/>
  <c r="C38" i="15"/>
  <c r="G38" i="15"/>
  <c r="G47" i="15"/>
  <c r="B54" i="15"/>
  <c r="B65" i="15" s="1"/>
  <c r="E45" i="16"/>
  <c r="E51" i="16"/>
  <c r="E53" i="16"/>
  <c r="E55" i="16"/>
  <c r="E59" i="16"/>
  <c r="E63" i="16"/>
  <c r="C41" i="14"/>
  <c r="G41" i="14"/>
  <c r="C64" i="16"/>
  <c r="G64" i="16"/>
  <c r="F54" i="12"/>
  <c r="F65" i="12" s="1"/>
  <c r="E57" i="12"/>
  <c r="B54" i="12"/>
  <c r="B72" i="12" s="1"/>
  <c r="F54" i="13"/>
  <c r="F73" i="13" s="1"/>
  <c r="B54" i="13"/>
  <c r="B73" i="13" s="1"/>
  <c r="C36" i="14"/>
  <c r="G36" i="14"/>
  <c r="E38" i="14"/>
  <c r="E41" i="14"/>
  <c r="C44" i="14"/>
  <c r="G44" i="14"/>
  <c r="B54" i="14"/>
  <c r="B65" i="14" s="1"/>
  <c r="C6" i="16"/>
  <c r="G6" i="16"/>
  <c r="H38" i="16"/>
  <c r="E35" i="16"/>
  <c r="E37" i="16"/>
  <c r="E39" i="16"/>
  <c r="E43" i="16"/>
  <c r="E61" i="12"/>
  <c r="E8" i="13"/>
  <c r="C38" i="13"/>
  <c r="G38" i="13"/>
  <c r="C47" i="13"/>
  <c r="G47" i="13"/>
  <c r="F54" i="14"/>
  <c r="F65" i="14" s="1"/>
  <c r="F54" i="15"/>
  <c r="F72" i="15" s="1"/>
  <c r="D44" i="16"/>
  <c r="C45" i="16"/>
  <c r="G45" i="16"/>
  <c r="C49" i="16"/>
  <c r="G49" i="16"/>
  <c r="C51" i="16"/>
  <c r="C61" i="12"/>
  <c r="E8" i="12"/>
  <c r="C38" i="12"/>
  <c r="G38" i="12"/>
  <c r="G47" i="12"/>
  <c r="B99" i="13"/>
  <c r="C8" i="14"/>
  <c r="E8" i="14"/>
  <c r="G8" i="14"/>
  <c r="B99" i="14"/>
  <c r="B99" i="15"/>
  <c r="C59" i="16"/>
  <c r="G59" i="16"/>
  <c r="F69" i="12"/>
  <c r="D100" i="12"/>
  <c r="D54" i="12"/>
  <c r="D73" i="12" s="1"/>
  <c r="H54" i="12"/>
  <c r="H65" i="12" s="1"/>
  <c r="C57" i="12"/>
  <c r="G57" i="12"/>
  <c r="G61" i="12"/>
  <c r="B48" i="13"/>
  <c r="E47" i="13"/>
  <c r="D54" i="13"/>
  <c r="D65" i="13" s="1"/>
  <c r="H54" i="13"/>
  <c r="H73" i="13" s="1"/>
  <c r="C61" i="13"/>
  <c r="D54" i="14"/>
  <c r="D73" i="14" s="1"/>
  <c r="H54" i="14"/>
  <c r="H73" i="14" s="1"/>
  <c r="C61" i="14"/>
  <c r="B48" i="15"/>
  <c r="E47" i="15"/>
  <c r="D54" i="15"/>
  <c r="H54" i="15"/>
  <c r="H65" i="15" s="1"/>
  <c r="C61" i="15"/>
  <c r="G61" i="15"/>
  <c r="E6" i="16"/>
  <c r="F38" i="16"/>
  <c r="C35" i="16"/>
  <c r="G35" i="16"/>
  <c r="C37" i="16"/>
  <c r="G37" i="16"/>
  <c r="C39" i="16"/>
  <c r="G39" i="16"/>
  <c r="C42" i="16"/>
  <c r="G42" i="16"/>
  <c r="C43" i="16"/>
  <c r="G43" i="16"/>
  <c r="E49" i="16"/>
  <c r="G51" i="16"/>
  <c r="C53" i="16"/>
  <c r="G53" i="16"/>
  <c r="C55" i="16"/>
  <c r="G55" i="16"/>
  <c r="H57" i="16"/>
  <c r="H54" i="16" s="1"/>
  <c r="C60" i="16"/>
  <c r="G60" i="16"/>
  <c r="E64" i="16"/>
  <c r="G13" i="13"/>
  <c r="G13" i="15"/>
  <c r="C57" i="13"/>
  <c r="E57" i="13"/>
  <c r="G57" i="13"/>
  <c r="E61" i="13"/>
  <c r="G61" i="13"/>
  <c r="F69" i="13"/>
  <c r="H48" i="14"/>
  <c r="C57" i="14"/>
  <c r="E57" i="14"/>
  <c r="G57" i="14"/>
  <c r="E61" i="14"/>
  <c r="G61" i="14"/>
  <c r="F69" i="14"/>
  <c r="D13" i="15"/>
  <c r="D78" i="15" s="1"/>
  <c r="F48" i="15"/>
  <c r="C57" i="15"/>
  <c r="E57" i="15"/>
  <c r="G57" i="15"/>
  <c r="E61" i="15"/>
  <c r="E40" i="16"/>
  <c r="H50" i="16"/>
  <c r="G50" i="16" s="1"/>
  <c r="D13" i="12"/>
  <c r="D78" i="12" s="1"/>
  <c r="H73" i="12"/>
  <c r="D13" i="13"/>
  <c r="D78" i="13" s="1"/>
  <c r="F48" i="13"/>
  <c r="C8" i="12"/>
  <c r="G8" i="12"/>
  <c r="C36" i="12"/>
  <c r="G36" i="12"/>
  <c r="E38" i="12"/>
  <c r="C41" i="12"/>
  <c r="E41" i="12"/>
  <c r="G41" i="12"/>
  <c r="B100" i="12"/>
  <c r="G44" i="12"/>
  <c r="B97" i="12"/>
  <c r="B99" i="12"/>
  <c r="C8" i="13"/>
  <c r="G8" i="13"/>
  <c r="C41" i="13"/>
  <c r="E41" i="13"/>
  <c r="G41" i="13"/>
  <c r="D97" i="13"/>
  <c r="D99" i="13"/>
  <c r="B97" i="13"/>
  <c r="D97" i="14"/>
  <c r="D99" i="14"/>
  <c r="B97" i="14"/>
  <c r="C8" i="15"/>
  <c r="G8" i="15"/>
  <c r="C41" i="15"/>
  <c r="E41" i="15"/>
  <c r="G41" i="15"/>
  <c r="B97" i="15"/>
  <c r="H36" i="16"/>
  <c r="H74" i="16" s="1"/>
  <c r="B16" i="12"/>
  <c r="F16" i="12"/>
  <c r="H16" i="12"/>
  <c r="B48" i="12"/>
  <c r="D48" i="12"/>
  <c r="F48" i="12"/>
  <c r="H48" i="12"/>
  <c r="B74" i="12"/>
  <c r="F74" i="12"/>
  <c r="F100" i="12"/>
  <c r="F101" i="12" s="1"/>
  <c r="I13" i="13"/>
  <c r="H16" i="13"/>
  <c r="D74" i="13"/>
  <c r="E36" i="13"/>
  <c r="D100" i="13"/>
  <c r="E44" i="13"/>
  <c r="E50" i="13"/>
  <c r="H101" i="13"/>
  <c r="B100" i="13"/>
  <c r="B16" i="14"/>
  <c r="F16" i="14"/>
  <c r="C50" i="14"/>
  <c r="G50" i="14"/>
  <c r="B74" i="14"/>
  <c r="F100" i="14"/>
  <c r="F101" i="14" s="1"/>
  <c r="I13" i="15"/>
  <c r="H16" i="15"/>
  <c r="D74" i="15"/>
  <c r="E36" i="15"/>
  <c r="D100" i="15"/>
  <c r="E44" i="15"/>
  <c r="E50" i="15"/>
  <c r="E52" i="16"/>
  <c r="D50" i="16"/>
  <c r="E50" i="16" s="1"/>
  <c r="D71" i="16"/>
  <c r="D70" i="16"/>
  <c r="B98" i="16"/>
  <c r="E56" i="16"/>
  <c r="H98" i="16"/>
  <c r="H71" i="16"/>
  <c r="H70" i="16"/>
  <c r="E62" i="16"/>
  <c r="D61" i="16"/>
  <c r="G13" i="12"/>
  <c r="I13" i="12"/>
  <c r="E36" i="12"/>
  <c r="C44" i="12"/>
  <c r="E44" i="12"/>
  <c r="C50" i="12"/>
  <c r="E50" i="12"/>
  <c r="G50" i="12"/>
  <c r="D97" i="12"/>
  <c r="H101" i="12"/>
  <c r="D99" i="12"/>
  <c r="D69" i="12"/>
  <c r="H69" i="12"/>
  <c r="B16" i="13"/>
  <c r="F16" i="13"/>
  <c r="C36" i="13"/>
  <c r="G36" i="13"/>
  <c r="E38" i="13"/>
  <c r="C44" i="13"/>
  <c r="G44" i="13"/>
  <c r="D48" i="13"/>
  <c r="H48" i="13"/>
  <c r="C50" i="13"/>
  <c r="G50" i="13"/>
  <c r="B74" i="13"/>
  <c r="F100" i="13"/>
  <c r="F101" i="13" s="1"/>
  <c r="E13" i="14"/>
  <c r="I13" i="14"/>
  <c r="D16" i="14"/>
  <c r="H16" i="14"/>
  <c r="D74" i="14"/>
  <c r="E36" i="14"/>
  <c r="C38" i="14"/>
  <c r="G38" i="14"/>
  <c r="B47" i="14"/>
  <c r="C47" i="14" s="1"/>
  <c r="F47" i="14"/>
  <c r="G47" i="14" s="1"/>
  <c r="D100" i="14"/>
  <c r="E44" i="14"/>
  <c r="B48" i="14"/>
  <c r="F48" i="14"/>
  <c r="E50" i="14"/>
  <c r="H101" i="14"/>
  <c r="F74" i="14"/>
  <c r="B100" i="14"/>
  <c r="B16" i="15"/>
  <c r="F16" i="15"/>
  <c r="C36" i="15"/>
  <c r="G36" i="15"/>
  <c r="E38" i="15"/>
  <c r="C44" i="15"/>
  <c r="F100" i="15"/>
  <c r="G44" i="15"/>
  <c r="D48" i="15"/>
  <c r="H48" i="15"/>
  <c r="C50" i="15"/>
  <c r="G50" i="15"/>
  <c r="B74" i="15"/>
  <c r="B100" i="15"/>
  <c r="B81" i="16"/>
  <c r="B8" i="16"/>
  <c r="C5" i="16"/>
  <c r="F8" i="16"/>
  <c r="G5" i="16"/>
  <c r="D94" i="16"/>
  <c r="E7" i="16"/>
  <c r="C10" i="16"/>
  <c r="G10" i="16"/>
  <c r="C11" i="16"/>
  <c r="G11" i="16"/>
  <c r="C12" i="16"/>
  <c r="G12" i="16"/>
  <c r="C14" i="16"/>
  <c r="G14" i="16"/>
  <c r="C15" i="16"/>
  <c r="G15" i="16"/>
  <c r="B88" i="16"/>
  <c r="C17" i="16"/>
  <c r="F88" i="16"/>
  <c r="G17" i="16"/>
  <c r="B93" i="16"/>
  <c r="C18" i="16"/>
  <c r="F93" i="16"/>
  <c r="G18" i="16"/>
  <c r="C19" i="16"/>
  <c r="G19" i="16"/>
  <c r="C20" i="16"/>
  <c r="G20" i="16"/>
  <c r="C21" i="16"/>
  <c r="G21" i="16"/>
  <c r="B89" i="16"/>
  <c r="C22" i="16"/>
  <c r="F89" i="16"/>
  <c r="G22" i="16"/>
  <c r="B104" i="16"/>
  <c r="B92" i="16"/>
  <c r="C24" i="16"/>
  <c r="F104" i="16"/>
  <c r="F92" i="16"/>
  <c r="G24" i="16"/>
  <c r="B90" i="16"/>
  <c r="C27" i="16"/>
  <c r="F90" i="16"/>
  <c r="G27" i="16"/>
  <c r="B91" i="16"/>
  <c r="C28" i="16"/>
  <c r="F91" i="16"/>
  <c r="G28" i="16"/>
  <c r="C34" i="16"/>
  <c r="B36" i="16"/>
  <c r="B74" i="16" s="1"/>
  <c r="G34" i="16"/>
  <c r="F36" i="16"/>
  <c r="F74" i="16" s="1"/>
  <c r="B38" i="16"/>
  <c r="C46" i="16"/>
  <c r="B44" i="16"/>
  <c r="G46" i="16"/>
  <c r="F44" i="16"/>
  <c r="H69" i="13"/>
  <c r="H69" i="14"/>
  <c r="D97" i="15"/>
  <c r="H101" i="15"/>
  <c r="D99" i="15"/>
  <c r="H69" i="15"/>
  <c r="F97" i="15"/>
  <c r="F99" i="15"/>
  <c r="D81" i="16"/>
  <c r="D8" i="16"/>
  <c r="E5" i="16"/>
  <c r="H8" i="16"/>
  <c r="H13" i="16" s="1"/>
  <c r="H78" i="16" s="1"/>
  <c r="B94" i="16"/>
  <c r="C7" i="16"/>
  <c r="F94" i="16"/>
  <c r="G7" i="16"/>
  <c r="E10" i="16"/>
  <c r="I10" i="16"/>
  <c r="E11" i="16"/>
  <c r="I11" i="16"/>
  <c r="E12" i="16"/>
  <c r="I12" i="16"/>
  <c r="E14" i="16"/>
  <c r="I14" i="16"/>
  <c r="E15" i="16"/>
  <c r="I15" i="16"/>
  <c r="D88" i="16"/>
  <c r="E17" i="16"/>
  <c r="H88" i="16"/>
  <c r="I17" i="16"/>
  <c r="D93" i="16"/>
  <c r="E18" i="16"/>
  <c r="H93" i="16"/>
  <c r="I18" i="16"/>
  <c r="E19" i="16"/>
  <c r="I19" i="16"/>
  <c r="E20" i="16"/>
  <c r="I20" i="16"/>
  <c r="E21" i="16"/>
  <c r="I21" i="16"/>
  <c r="D89" i="16"/>
  <c r="E22" i="16"/>
  <c r="H89" i="16"/>
  <c r="I22" i="16"/>
  <c r="D104" i="16"/>
  <c r="D92" i="16"/>
  <c r="E24" i="16"/>
  <c r="H104" i="16"/>
  <c r="H92" i="16"/>
  <c r="I24" i="16"/>
  <c r="D90" i="16"/>
  <c r="E27" i="16"/>
  <c r="H90" i="16"/>
  <c r="I27" i="16"/>
  <c r="D91" i="16"/>
  <c r="E28" i="16"/>
  <c r="H91" i="16"/>
  <c r="I28" i="16"/>
  <c r="E34" i="16"/>
  <c r="D38" i="16"/>
  <c r="C40" i="16"/>
  <c r="G40" i="16"/>
  <c r="E42" i="16"/>
  <c r="E46" i="16"/>
  <c r="C52" i="16"/>
  <c r="G52" i="16"/>
  <c r="B71" i="16"/>
  <c r="B70" i="16"/>
  <c r="C56" i="16"/>
  <c r="D98" i="16"/>
  <c r="F98" i="16"/>
  <c r="F71" i="16"/>
  <c r="F70" i="16"/>
  <c r="G56" i="16"/>
  <c r="E58" i="16"/>
  <c r="D57" i="16"/>
  <c r="D74" i="16"/>
  <c r="B41" i="16"/>
  <c r="D41" i="16"/>
  <c r="F41" i="16"/>
  <c r="H41" i="16"/>
  <c r="B69" i="16"/>
  <c r="C58" i="16"/>
  <c r="G58" i="16"/>
  <c r="F57" i="16"/>
  <c r="E60" i="16"/>
  <c r="C62" i="16"/>
  <c r="B61" i="16"/>
  <c r="G62" i="16"/>
  <c r="F61" i="16"/>
  <c r="Q7" i="23" l="1"/>
  <c r="I7" i="23"/>
  <c r="A6" i="23"/>
  <c r="D3" i="22"/>
  <c r="E3" i="22" s="1"/>
  <c r="G3" i="22" s="1"/>
  <c r="C47" i="12"/>
  <c r="F72" i="12"/>
  <c r="B65" i="12"/>
  <c r="E47" i="12"/>
  <c r="B72" i="15"/>
  <c r="H69" i="16"/>
  <c r="B73" i="15"/>
  <c r="F72" i="14"/>
  <c r="C48" i="14"/>
  <c r="B73" i="14"/>
  <c r="F72" i="13"/>
  <c r="C54" i="15"/>
  <c r="H97" i="16"/>
  <c r="H101" i="16" s="1"/>
  <c r="G54" i="14"/>
  <c r="D73" i="15"/>
  <c r="G48" i="15"/>
  <c r="D72" i="13"/>
  <c r="H72" i="14"/>
  <c r="F73" i="12"/>
  <c r="G38" i="16"/>
  <c r="B72" i="13"/>
  <c r="B65" i="13"/>
  <c r="C65" i="13" s="1"/>
  <c r="F73" i="15"/>
  <c r="B73" i="12"/>
  <c r="G65" i="12"/>
  <c r="G54" i="12"/>
  <c r="H65" i="16"/>
  <c r="D72" i="15"/>
  <c r="E48" i="15"/>
  <c r="F73" i="14"/>
  <c r="H65" i="14"/>
  <c r="G65" i="14" s="1"/>
  <c r="G48" i="14"/>
  <c r="E54" i="13"/>
  <c r="D73" i="13"/>
  <c r="F65" i="13"/>
  <c r="E65" i="13" s="1"/>
  <c r="E48" i="13"/>
  <c r="H72" i="12"/>
  <c r="D65" i="15"/>
  <c r="B72" i="14"/>
  <c r="D101" i="13"/>
  <c r="E54" i="15"/>
  <c r="F65" i="15"/>
  <c r="D65" i="14"/>
  <c r="C65" i="14" s="1"/>
  <c r="H72" i="13"/>
  <c r="C54" i="13"/>
  <c r="E38" i="16"/>
  <c r="H72" i="15"/>
  <c r="B101" i="14"/>
  <c r="E13" i="12"/>
  <c r="E13" i="15"/>
  <c r="D72" i="14"/>
  <c r="E13" i="13"/>
  <c r="B101" i="15"/>
  <c r="C65" i="15"/>
  <c r="E65" i="14"/>
  <c r="B101" i="13"/>
  <c r="D16" i="13"/>
  <c r="D101" i="14"/>
  <c r="B101" i="12"/>
  <c r="G65" i="15"/>
  <c r="G54" i="13"/>
  <c r="H65" i="13"/>
  <c r="H73" i="15"/>
  <c r="C54" i="14"/>
  <c r="G48" i="13"/>
  <c r="D72" i="12"/>
  <c r="E54" i="12"/>
  <c r="D16" i="15"/>
  <c r="E54" i="14"/>
  <c r="E48" i="12"/>
  <c r="D16" i="12"/>
  <c r="C54" i="12"/>
  <c r="D65" i="12"/>
  <c r="G54" i="15"/>
  <c r="D97" i="16"/>
  <c r="F97" i="16"/>
  <c r="F69" i="16"/>
  <c r="G57" i="16"/>
  <c r="F54" i="16"/>
  <c r="H47" i="16"/>
  <c r="H48" i="16"/>
  <c r="D47" i="16"/>
  <c r="E41" i="16"/>
  <c r="D69" i="16"/>
  <c r="B97" i="16"/>
  <c r="E57" i="16"/>
  <c r="C57" i="16"/>
  <c r="I13" i="16"/>
  <c r="H16" i="16"/>
  <c r="D13" i="16"/>
  <c r="D78" i="16" s="1"/>
  <c r="E8" i="16"/>
  <c r="F100" i="16"/>
  <c r="G44" i="16"/>
  <c r="B100" i="16"/>
  <c r="C44" i="16"/>
  <c r="C38" i="16"/>
  <c r="G8" i="16"/>
  <c r="F13" i="16"/>
  <c r="F78" i="16" s="1"/>
  <c r="C8" i="16"/>
  <c r="B13" i="16"/>
  <c r="B78" i="16" s="1"/>
  <c r="G16" i="15"/>
  <c r="F23" i="15"/>
  <c r="F76" i="15"/>
  <c r="F75" i="15"/>
  <c r="H76" i="14"/>
  <c r="H75" i="14"/>
  <c r="I16" i="14"/>
  <c r="H23" i="14"/>
  <c r="C16" i="13"/>
  <c r="B76" i="13"/>
  <c r="B75" i="13"/>
  <c r="B23" i="13"/>
  <c r="B99" i="16"/>
  <c r="E61" i="16"/>
  <c r="H73" i="16"/>
  <c r="H72" i="16"/>
  <c r="D54" i="16"/>
  <c r="E44" i="16"/>
  <c r="H76" i="15"/>
  <c r="H75" i="15"/>
  <c r="I16" i="15"/>
  <c r="H23" i="15"/>
  <c r="E48" i="14"/>
  <c r="C16" i="14"/>
  <c r="B76" i="14"/>
  <c r="B75" i="14"/>
  <c r="B23" i="14"/>
  <c r="H76" i="13"/>
  <c r="H75" i="13"/>
  <c r="I16" i="13"/>
  <c r="H23" i="13"/>
  <c r="H76" i="12"/>
  <c r="H75" i="12"/>
  <c r="I16" i="12"/>
  <c r="H23" i="12"/>
  <c r="E47" i="14"/>
  <c r="D99" i="16"/>
  <c r="F99" i="16"/>
  <c r="G61" i="16"/>
  <c r="C61" i="16"/>
  <c r="B54" i="16"/>
  <c r="D18" i="22" s="1"/>
  <c r="E18" i="22" s="1"/>
  <c r="G18" i="22" s="1"/>
  <c r="F47" i="16"/>
  <c r="G41" i="16"/>
  <c r="B47" i="16"/>
  <c r="C41" i="16"/>
  <c r="F101" i="15"/>
  <c r="D101" i="15"/>
  <c r="D48" i="16"/>
  <c r="G36" i="16"/>
  <c r="F48" i="16"/>
  <c r="C36" i="16"/>
  <c r="B48" i="16"/>
  <c r="C16" i="15"/>
  <c r="B76" i="15"/>
  <c r="B75" i="15"/>
  <c r="B23" i="15"/>
  <c r="D76" i="14"/>
  <c r="D75" i="14"/>
  <c r="E16" i="14"/>
  <c r="D23" i="14"/>
  <c r="G16" i="13"/>
  <c r="F23" i="13"/>
  <c r="F76" i="13"/>
  <c r="F75" i="13"/>
  <c r="D101" i="12"/>
  <c r="C50" i="16"/>
  <c r="D100" i="16"/>
  <c r="E36" i="16"/>
  <c r="C48" i="15"/>
  <c r="G16" i="14"/>
  <c r="F76" i="14"/>
  <c r="F75" i="14"/>
  <c r="F23" i="14"/>
  <c r="C48" i="13"/>
  <c r="G48" i="12"/>
  <c r="C48" i="12"/>
  <c r="F76" i="12"/>
  <c r="G16" i="12"/>
  <c r="F75" i="12"/>
  <c r="F23" i="12"/>
  <c r="C16" i="12"/>
  <c r="B76" i="12"/>
  <c r="B75" i="12"/>
  <c r="B23" i="12"/>
  <c r="Q6" i="23" l="1"/>
  <c r="I6" i="23"/>
  <c r="A5" i="23"/>
  <c r="G65" i="13"/>
  <c r="E65" i="15"/>
  <c r="E16" i="12"/>
  <c r="H66" i="16"/>
  <c r="D76" i="12"/>
  <c r="D76" i="13"/>
  <c r="E16" i="15"/>
  <c r="E16" i="13"/>
  <c r="D76" i="15"/>
  <c r="D23" i="13"/>
  <c r="E23" i="13" s="1"/>
  <c r="D75" i="13"/>
  <c r="D23" i="15"/>
  <c r="E23" i="15" s="1"/>
  <c r="D75" i="15"/>
  <c r="E65" i="12"/>
  <c r="C65" i="12"/>
  <c r="D23" i="12"/>
  <c r="D25" i="12" s="1"/>
  <c r="D79" i="12" s="1"/>
  <c r="D75" i="12"/>
  <c r="E47" i="16"/>
  <c r="F101" i="16"/>
  <c r="G23" i="12"/>
  <c r="F25" i="12"/>
  <c r="F79" i="12" s="1"/>
  <c r="G23" i="14"/>
  <c r="F25" i="14"/>
  <c r="F79" i="14" s="1"/>
  <c r="C23" i="15"/>
  <c r="B25" i="15"/>
  <c r="B73" i="16"/>
  <c r="B72" i="16"/>
  <c r="C54" i="16"/>
  <c r="B65" i="16"/>
  <c r="B66" i="16" s="1"/>
  <c r="I23" i="13"/>
  <c r="H25" i="13"/>
  <c r="H79" i="13" s="1"/>
  <c r="C23" i="13"/>
  <c r="B25" i="13"/>
  <c r="B79" i="13" s="1"/>
  <c r="H76" i="16"/>
  <c r="H75" i="16"/>
  <c r="I16" i="16"/>
  <c r="H23" i="16"/>
  <c r="C23" i="12"/>
  <c r="B25" i="12"/>
  <c r="B79" i="12" s="1"/>
  <c r="G23" i="13"/>
  <c r="F25" i="13"/>
  <c r="F79" i="13" s="1"/>
  <c r="E23" i="14"/>
  <c r="D25" i="14"/>
  <c r="D79" i="14" s="1"/>
  <c r="C48" i="16"/>
  <c r="G48" i="16"/>
  <c r="E48" i="16"/>
  <c r="C47" i="16"/>
  <c r="G47" i="16"/>
  <c r="I23" i="12"/>
  <c r="H25" i="12"/>
  <c r="H79" i="12" s="1"/>
  <c r="C23" i="14"/>
  <c r="B25" i="14"/>
  <c r="B79" i="14" s="1"/>
  <c r="I23" i="15"/>
  <c r="H25" i="15"/>
  <c r="H79" i="15" s="1"/>
  <c r="D73" i="16"/>
  <c r="D72" i="16"/>
  <c r="E54" i="16"/>
  <c r="D65" i="16"/>
  <c r="D66" i="16" s="1"/>
  <c r="I23" i="14"/>
  <c r="H25" i="14"/>
  <c r="H79" i="14" s="1"/>
  <c r="G23" i="15"/>
  <c r="F25" i="15"/>
  <c r="F79" i="15" s="1"/>
  <c r="C13" i="16"/>
  <c r="B16" i="16"/>
  <c r="G13" i="16"/>
  <c r="F16" i="16"/>
  <c r="E13" i="16"/>
  <c r="D16" i="16"/>
  <c r="B101" i="16"/>
  <c r="F73" i="16"/>
  <c r="F72" i="16"/>
  <c r="G54" i="16"/>
  <c r="F65" i="16"/>
  <c r="G65" i="16" s="1"/>
  <c r="D101" i="16"/>
  <c r="I5" i="23" l="1"/>
  <c r="Q5" i="23"/>
  <c r="B26" i="15"/>
  <c r="B79" i="15"/>
  <c r="D8" i="22"/>
  <c r="E8" i="22" s="1"/>
  <c r="G8" i="22" s="1"/>
  <c r="D25" i="13"/>
  <c r="E23" i="12"/>
  <c r="D25" i="15"/>
  <c r="F66" i="16"/>
  <c r="C65" i="16"/>
  <c r="D76" i="16"/>
  <c r="D75" i="16"/>
  <c r="E16" i="16"/>
  <c r="D23" i="16"/>
  <c r="C4" i="8" s="1"/>
  <c r="B76" i="16"/>
  <c r="B75" i="16"/>
  <c r="C16" i="16"/>
  <c r="B23" i="16"/>
  <c r="B4" i="8" s="1"/>
  <c r="C25" i="13"/>
  <c r="B26" i="13"/>
  <c r="B80" i="13" s="1"/>
  <c r="B86" i="13"/>
  <c r="B96" i="13" s="1"/>
  <c r="B102" i="13" s="1"/>
  <c r="B106" i="13" s="1"/>
  <c r="H86" i="13"/>
  <c r="H96" i="13" s="1"/>
  <c r="H102" i="13" s="1"/>
  <c r="H106" i="13" s="1"/>
  <c r="I25" i="13"/>
  <c r="H26" i="13"/>
  <c r="H80" i="13" s="1"/>
  <c r="D86" i="12"/>
  <c r="D96" i="12" s="1"/>
  <c r="D102" i="12" s="1"/>
  <c r="D106" i="12" s="1"/>
  <c r="D82" i="12"/>
  <c r="E25" i="12"/>
  <c r="D26" i="12"/>
  <c r="D80" i="12" s="1"/>
  <c r="C25" i="15"/>
  <c r="B86" i="15"/>
  <c r="B96" i="15" s="1"/>
  <c r="B102" i="15" s="1"/>
  <c r="B106" i="15" s="1"/>
  <c r="G25" i="14"/>
  <c r="F86" i="14"/>
  <c r="F96" i="14" s="1"/>
  <c r="F102" i="14" s="1"/>
  <c r="F106" i="14" s="1"/>
  <c r="F26" i="14"/>
  <c r="F80" i="14" s="1"/>
  <c r="G25" i="12"/>
  <c r="F86" i="12"/>
  <c r="F96" i="12" s="1"/>
  <c r="F102" i="12" s="1"/>
  <c r="F106" i="12" s="1"/>
  <c r="F26" i="12"/>
  <c r="F80" i="12" s="1"/>
  <c r="F76" i="16"/>
  <c r="F75" i="16"/>
  <c r="G16" i="16"/>
  <c r="F23" i="16"/>
  <c r="F86" i="15"/>
  <c r="F96" i="15" s="1"/>
  <c r="F102" i="15" s="1"/>
  <c r="F106" i="15" s="1"/>
  <c r="G25" i="15"/>
  <c r="F26" i="15"/>
  <c r="F80" i="15" s="1"/>
  <c r="H86" i="14"/>
  <c r="H96" i="14" s="1"/>
  <c r="H102" i="14" s="1"/>
  <c r="H106" i="14" s="1"/>
  <c r="I25" i="14"/>
  <c r="H26" i="14"/>
  <c r="H80" i="14" s="1"/>
  <c r="E65" i="16"/>
  <c r="H86" i="15"/>
  <c r="H96" i="15" s="1"/>
  <c r="H102" i="15" s="1"/>
  <c r="H106" i="15" s="1"/>
  <c r="I25" i="15"/>
  <c r="H26" i="15"/>
  <c r="H80" i="15" s="1"/>
  <c r="C25" i="14"/>
  <c r="B86" i="14"/>
  <c r="B96" i="14" s="1"/>
  <c r="B102" i="14" s="1"/>
  <c r="B106" i="14" s="1"/>
  <c r="B82" i="14"/>
  <c r="B26" i="14"/>
  <c r="B80" i="14" s="1"/>
  <c r="H86" i="12"/>
  <c r="H96" i="12" s="1"/>
  <c r="H102" i="12" s="1"/>
  <c r="H106" i="12" s="1"/>
  <c r="I25" i="12"/>
  <c r="H26" i="12"/>
  <c r="H80" i="12" s="1"/>
  <c r="D86" i="14"/>
  <c r="D96" i="14" s="1"/>
  <c r="D102" i="14" s="1"/>
  <c r="D106" i="14" s="1"/>
  <c r="D82" i="14"/>
  <c r="E25" i="14"/>
  <c r="D26" i="14"/>
  <c r="D80" i="14" s="1"/>
  <c r="G25" i="13"/>
  <c r="F86" i="13"/>
  <c r="F96" i="13" s="1"/>
  <c r="F102" i="13" s="1"/>
  <c r="F106" i="13" s="1"/>
  <c r="F26" i="13"/>
  <c r="F80" i="13" s="1"/>
  <c r="B86" i="12"/>
  <c r="B96" i="12" s="1"/>
  <c r="B102" i="12" s="1"/>
  <c r="B106" i="12" s="1"/>
  <c r="C25" i="12"/>
  <c r="B82" i="12"/>
  <c r="B26" i="12"/>
  <c r="B80" i="12" s="1"/>
  <c r="I23" i="16"/>
  <c r="H25" i="16"/>
  <c r="H79" i="16" s="1"/>
  <c r="B82" i="13" l="1"/>
  <c r="D79" i="13"/>
  <c r="D82" i="15"/>
  <c r="D79" i="15"/>
  <c r="B29" i="15"/>
  <c r="B80" i="15"/>
  <c r="D82" i="13"/>
  <c r="E25" i="13"/>
  <c r="D86" i="15"/>
  <c r="D96" i="15" s="1"/>
  <c r="D102" i="15" s="1"/>
  <c r="D106" i="15" s="1"/>
  <c r="B82" i="15"/>
  <c r="D26" i="13"/>
  <c r="D80" i="13" s="1"/>
  <c r="D86" i="13"/>
  <c r="D96" i="13" s="1"/>
  <c r="D102" i="13" s="1"/>
  <c r="D106" i="13" s="1"/>
  <c r="D26" i="15"/>
  <c r="E25" i="15"/>
  <c r="H86" i="16"/>
  <c r="H96" i="16" s="1"/>
  <c r="H102" i="16" s="1"/>
  <c r="H106" i="16" s="1"/>
  <c r="I25" i="16"/>
  <c r="H26" i="16"/>
  <c r="H80" i="16" s="1"/>
  <c r="C26" i="12"/>
  <c r="B29" i="12"/>
  <c r="C29" i="12" s="1"/>
  <c r="G26" i="13"/>
  <c r="F29" i="13"/>
  <c r="G29" i="13" s="1"/>
  <c r="I26" i="12"/>
  <c r="H29" i="12"/>
  <c r="I29" i="12" s="1"/>
  <c r="C26" i="14"/>
  <c r="B29" i="14"/>
  <c r="C29" i="14" s="1"/>
  <c r="I26" i="14"/>
  <c r="H29" i="14"/>
  <c r="I29" i="14" s="1"/>
  <c r="G26" i="15"/>
  <c r="F29" i="15"/>
  <c r="G29" i="15" s="1"/>
  <c r="G23" i="16"/>
  <c r="F25" i="16"/>
  <c r="F79" i="16" s="1"/>
  <c r="E26" i="12"/>
  <c r="D29" i="12"/>
  <c r="E29" i="12" s="1"/>
  <c r="C26" i="13"/>
  <c r="B29" i="13"/>
  <c r="C29" i="13" s="1"/>
  <c r="C23" i="16"/>
  <c r="B25" i="16"/>
  <c r="B79" i="16" s="1"/>
  <c r="E26" i="14"/>
  <c r="D29" i="14"/>
  <c r="E29" i="14" s="1"/>
  <c r="I26" i="15"/>
  <c r="H29" i="15"/>
  <c r="I29" i="15" s="1"/>
  <c r="G26" i="12"/>
  <c r="F29" i="12"/>
  <c r="G29" i="12" s="1"/>
  <c r="G26" i="14"/>
  <c r="F29" i="14"/>
  <c r="G29" i="14" s="1"/>
  <c r="C26" i="15"/>
  <c r="C29" i="15"/>
  <c r="I26" i="13"/>
  <c r="H29" i="13"/>
  <c r="I29" i="13" s="1"/>
  <c r="E23" i="16"/>
  <c r="D25" i="16"/>
  <c r="D79" i="16" s="1"/>
  <c r="E26" i="15" l="1"/>
  <c r="D80" i="15"/>
  <c r="E26" i="13"/>
  <c r="D29" i="13"/>
  <c r="E29" i="13" s="1"/>
  <c r="D29" i="15"/>
  <c r="E29" i="15" s="1"/>
  <c r="D86" i="16"/>
  <c r="D96" i="16" s="1"/>
  <c r="D102" i="16" s="1"/>
  <c r="D106" i="16" s="1"/>
  <c r="D82" i="16"/>
  <c r="E25" i="16"/>
  <c r="D26" i="16"/>
  <c r="D80" i="16" s="1"/>
  <c r="I26" i="16"/>
  <c r="H29" i="16"/>
  <c r="I29" i="16" s="1"/>
  <c r="B86" i="16"/>
  <c r="B96" i="16" s="1"/>
  <c r="B102" i="16" s="1"/>
  <c r="B106" i="16" s="1"/>
  <c r="B82" i="16"/>
  <c r="C25" i="16"/>
  <c r="B26" i="16"/>
  <c r="B80" i="16" s="1"/>
  <c r="F86" i="16"/>
  <c r="F96" i="16" s="1"/>
  <c r="F102" i="16" s="1"/>
  <c r="F106" i="16" s="1"/>
  <c r="G25" i="16"/>
  <c r="F26" i="16"/>
  <c r="F80" i="16" s="1"/>
  <c r="G26" i="16" l="1"/>
  <c r="F29" i="16"/>
  <c r="G29" i="16" s="1"/>
  <c r="C26" i="16"/>
  <c r="B29" i="16"/>
  <c r="E26" i="16"/>
  <c r="D29" i="16"/>
  <c r="E29" i="16" s="1"/>
  <c r="C29" i="16" l="1"/>
  <c r="D13" i="22"/>
  <c r="E13" i="22" s="1"/>
  <c r="G13" i="22" s="1"/>
  <c r="G23" i="22" s="1"/>
  <c r="G19" i="9"/>
  <c r="F19" i="9"/>
  <c r="E19" i="9"/>
  <c r="Z19" i="9"/>
  <c r="Y19" i="9"/>
  <c r="X19" i="9"/>
  <c r="W19" i="9"/>
  <c r="V19" i="9"/>
  <c r="U19" i="9"/>
  <c r="T19" i="9"/>
  <c r="S19" i="9"/>
  <c r="R19" i="9"/>
  <c r="Q19" i="9"/>
  <c r="P19" i="9"/>
  <c r="O19" i="9"/>
  <c r="N19" i="9"/>
  <c r="M19" i="9"/>
  <c r="L19" i="9"/>
  <c r="K19" i="9"/>
  <c r="J19" i="9"/>
  <c r="I19" i="9"/>
  <c r="H19" i="9"/>
  <c r="D19" i="9"/>
  <c r="C19" i="9"/>
  <c r="B19" i="9"/>
  <c r="F20" i="9" l="1"/>
  <c r="B20" i="4" s="1"/>
  <c r="F22" i="9"/>
  <c r="B17" i="4" s="1"/>
  <c r="B19" i="4" s="1"/>
  <c r="F48" i="8"/>
  <c r="F41" i="8"/>
  <c r="F40" i="8"/>
  <c r="F37" i="8"/>
  <c r="F43" i="8" s="1"/>
  <c r="F32" i="8"/>
  <c r="D27" i="8"/>
  <c r="F27" i="8" s="1"/>
  <c r="D26" i="8"/>
  <c r="F26" i="8" s="1"/>
  <c r="D25" i="8"/>
  <c r="F25" i="8" s="1"/>
  <c r="D24" i="8"/>
  <c r="F24" i="8" s="1"/>
  <c r="D23" i="8"/>
  <c r="F23" i="8" s="1"/>
  <c r="D22" i="8"/>
  <c r="F22" i="8" s="1"/>
  <c r="D21" i="8"/>
  <c r="F21" i="8" s="1"/>
  <c r="D20" i="8"/>
  <c r="F20" i="8" s="1"/>
  <c r="D19" i="8"/>
  <c r="F19" i="8" s="1"/>
  <c r="D18" i="8"/>
  <c r="F18" i="8" s="1"/>
  <c r="D17" i="8"/>
  <c r="F17" i="8" s="1"/>
  <c r="D16" i="8"/>
  <c r="F16" i="8" s="1"/>
  <c r="D15" i="8"/>
  <c r="F15" i="8" s="1"/>
  <c r="D14" i="8"/>
  <c r="F14" i="8" s="1"/>
  <c r="D13" i="8"/>
  <c r="F13" i="8" s="1"/>
  <c r="D12" i="8"/>
  <c r="F12" i="8" s="1"/>
  <c r="D11" i="8"/>
  <c r="F11" i="8" s="1"/>
  <c r="D10" i="8"/>
  <c r="F10" i="8" s="1"/>
  <c r="D9" i="8"/>
  <c r="F9" i="8" s="1"/>
  <c r="D8" i="8"/>
  <c r="F8" i="8" s="1"/>
  <c r="D7" i="8"/>
  <c r="F7" i="8" s="1"/>
  <c r="D6" i="8"/>
  <c r="F6" i="8" s="1"/>
  <c r="D5" i="8"/>
  <c r="F5" i="8" s="1"/>
  <c r="D4" i="8"/>
  <c r="F4" i="8" s="1"/>
  <c r="B24" i="4" l="1"/>
  <c r="B22" i="4"/>
  <c r="B77" i="16"/>
  <c r="B77" i="15"/>
  <c r="B77" i="14"/>
  <c r="B77" i="13"/>
  <c r="D77" i="12"/>
  <c r="H77" i="16"/>
  <c r="H77" i="15"/>
  <c r="H77" i="14"/>
  <c r="H77" i="13"/>
  <c r="B77" i="12"/>
  <c r="F77" i="15"/>
  <c r="F77" i="14"/>
  <c r="F77" i="13"/>
  <c r="H77" i="12"/>
  <c r="D77" i="16"/>
  <c r="D77" i="15"/>
  <c r="D77" i="14"/>
  <c r="D77" i="13"/>
  <c r="F77" i="12"/>
  <c r="F77" i="16"/>
  <c r="D28" i="8"/>
  <c r="F28" i="8" s="1"/>
  <c r="F29" i="8" s="1"/>
  <c r="F30" i="8" s="1"/>
  <c r="K5" i="9"/>
  <c r="F34" i="8" l="1"/>
  <c r="F38" i="8" s="1"/>
  <c r="F52" i="8" s="1"/>
  <c r="F44" i="8"/>
  <c r="F50" i="8" s="1"/>
  <c r="Z5" i="9"/>
  <c r="U5" i="9"/>
  <c r="P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Mahesh Shetty</author>
  </authors>
  <commentList>
    <comment ref="I3" authorId="0" shapeId="0" xr:uid="{A38CE239-0D6F-477C-9C27-D394E7E51635}">
      <text>
        <r>
          <rPr>
            <b/>
            <sz val="9"/>
            <color indexed="81"/>
            <rFont val="Tahoma"/>
            <family val="2"/>
          </rPr>
          <t>Exclusions includes:</t>
        </r>
        <r>
          <rPr>
            <sz val="9"/>
            <color indexed="81"/>
            <rFont val="Tahoma"/>
            <family val="2"/>
          </rPr>
          <t xml:space="preserve"> OUTWARD-RETURN, INWARD-RETURN, LOAN-CREDIT, EMI-RETURN, INTER-FIRM, REVERSED, TRANSACTION-MISSING, INVESTMENT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Devendra Mehta     /MP_DEPT/IBANK/BKC</author>
  </authors>
  <commentList>
    <comment ref="B2" authorId="0" shapeId="0" xr:uid="{00000000-0006-0000-0A00-000001000000}">
      <text>
        <r>
          <rPr>
            <b/>
            <sz val="9"/>
            <color indexed="81"/>
            <rFont val="Tahoma"/>
            <family val="2"/>
          </rPr>
          <t>Devendra Mehta     /MP_DEPT/IBANK/BKC:</t>
        </r>
        <r>
          <rPr>
            <sz val="9"/>
            <color indexed="81"/>
            <rFont val="Tahoma"/>
            <family val="2"/>
          </rPr>
          <t xml:space="preserve">
Need to check on the account vintage norm consideration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<sst xmlns="http://schemas.openxmlformats.org/spreadsheetml/2006/main" count="3113" uniqueCount="1247">
  <si>
    <t xml:space="preserve">LOAN DETAILS </t>
  </si>
  <si>
    <t xml:space="preserve">Input Sheet </t>
  </si>
  <si>
    <t xml:space="preserve">Location </t>
  </si>
  <si>
    <t xml:space="preserve">Profile </t>
  </si>
  <si>
    <t xml:space="preserve">Product Type </t>
  </si>
  <si>
    <t xml:space="preserve">Check for BT or Top up </t>
  </si>
  <si>
    <t>Bank/NBFC</t>
  </si>
  <si>
    <t>Principal Outstanding</t>
  </si>
  <si>
    <t>Pre-Closure Charges</t>
  </si>
  <si>
    <t>No of EMIS paid</t>
  </si>
  <si>
    <t>Current EMI</t>
  </si>
  <si>
    <t>Original Tenure - months</t>
  </si>
  <si>
    <t xml:space="preserve">Original Loan Amount </t>
  </si>
  <si>
    <t>ADDITIONAL DETAILS: BT (To be shown if BT)</t>
  </si>
  <si>
    <t xml:space="preserve">BT </t>
  </si>
  <si>
    <t xml:space="preserve">Existing Top up </t>
  </si>
  <si>
    <t>ADDITIONAL DETAILS: BT (To be shown if Product Type is Top-up)</t>
  </si>
  <si>
    <t>Particulars</t>
  </si>
  <si>
    <t xml:space="preserve">Click to view CAM </t>
  </si>
  <si>
    <t xml:space="preserve">Click </t>
  </si>
  <si>
    <t>Normal (LTV+FOIR)</t>
  </si>
  <si>
    <t xml:space="preserve">Loan Amount -RAAC </t>
  </si>
  <si>
    <t xml:space="preserve">GTP </t>
  </si>
  <si>
    <t xml:space="preserve">Express BT-HL </t>
  </si>
  <si>
    <t xml:space="preserve">Express BT Non-HL </t>
  </si>
  <si>
    <t xml:space="preserve">Banking Product </t>
  </si>
  <si>
    <t xml:space="preserve">Output: Loan Final Eligibility </t>
  </si>
  <si>
    <t xml:space="preserve">Amount </t>
  </si>
  <si>
    <t xml:space="preserve">Ratio Check </t>
  </si>
  <si>
    <t xml:space="preserve">RAAC Norm </t>
  </si>
  <si>
    <t>GTP-Loan Amount to Turnover%</t>
  </si>
  <si>
    <t xml:space="preserve">GTP to Normal Eligibility </t>
  </si>
  <si>
    <t>Debt Equity Ratio</t>
  </si>
  <si>
    <t xml:space="preserve">LTV </t>
  </si>
  <si>
    <t xml:space="preserve">Normal Eligibility </t>
  </si>
  <si>
    <t>&lt;Static&gt;</t>
  </si>
  <si>
    <t>RAAC Ratio</t>
  </si>
  <si>
    <t>Product</t>
  </si>
  <si>
    <t>Yes</t>
  </si>
  <si>
    <t xml:space="preserve">Loan Amount </t>
  </si>
  <si>
    <t>ADB-EMI Ratio</t>
  </si>
  <si>
    <t xml:space="preserve">Enter Recommended Loan Amount </t>
  </si>
  <si>
    <t xml:space="preserve">Same business premise for 5 years </t>
  </si>
  <si>
    <t xml:space="preserve">Office Landline- Available </t>
  </si>
  <si>
    <t xml:space="preserve">Office FI done </t>
  </si>
  <si>
    <t xml:space="preserve">Same Business for last 5 years </t>
  </si>
  <si>
    <t xml:space="preserve">Output: Loan Eligibility </t>
  </si>
  <si>
    <t>GAP between ITRs 9 months or more</t>
  </si>
  <si>
    <t xml:space="preserve">Turnover reflecting in bank statement </t>
  </si>
  <si>
    <t xml:space="preserve">Actual Ratio </t>
  </si>
  <si>
    <t xml:space="preserve">Other Credit checks </t>
  </si>
  <si>
    <t>NFA Level</t>
  </si>
  <si>
    <t>NFA  Level</t>
  </si>
  <si>
    <t>Decline in Turnover &gt;10%</t>
  </si>
  <si>
    <t>Decline in Net Profits &gt;10%</t>
  </si>
  <si>
    <t xml:space="preserve">Tenure </t>
  </si>
  <si>
    <t xml:space="preserve">ROI </t>
  </si>
  <si>
    <t xml:space="preserve">EMI </t>
  </si>
  <si>
    <t>Click to modify</t>
  </si>
  <si>
    <t xml:space="preserve">Click to modify property value </t>
  </si>
  <si>
    <t xml:space="preserve">CAM and Recommendation Summary </t>
  </si>
  <si>
    <t>Recommended Loan Amount (B6)</t>
  </si>
  <si>
    <t>Enter Values</t>
  </si>
  <si>
    <t>Ratio Check at recommended Loan Amount (B6)</t>
  </si>
  <si>
    <t xml:space="preserve">Click to view Eligibility Calculations </t>
  </si>
  <si>
    <t xml:space="preserve">Applicable Margin </t>
  </si>
  <si>
    <t xml:space="preserve">OD / CC Interest </t>
  </si>
  <si>
    <t xml:space="preserve">Particulars  </t>
  </si>
  <si>
    <t>Tax</t>
  </si>
  <si>
    <t>Gross Profit considered (Lower of A and B)</t>
  </si>
  <si>
    <t>Existing Obligations</t>
  </si>
  <si>
    <t>Case to be recommended to               (Highest NFA Level)</t>
  </si>
  <si>
    <r>
      <t xml:space="preserve">Actual Gross Profit </t>
    </r>
    <r>
      <rPr>
        <b/>
        <sz val="10"/>
        <color theme="1" tint="0.34998626667073579"/>
        <rFont val="Zurich BT"/>
        <family val="2"/>
      </rPr>
      <t>(A)</t>
    </r>
  </si>
  <si>
    <r>
      <t xml:space="preserve">Imputed Profit </t>
    </r>
    <r>
      <rPr>
        <b/>
        <sz val="10"/>
        <color theme="1" tint="0.34998626667073579"/>
        <rFont val="Zurich BT"/>
        <family val="2"/>
      </rPr>
      <t>(B)</t>
    </r>
  </si>
  <si>
    <t xml:space="preserve">Loan Amount at RAAC Norms </t>
  </si>
  <si>
    <t xml:space="preserve">Office Landline available </t>
  </si>
  <si>
    <t xml:space="preserve">Caution Profile </t>
  </si>
  <si>
    <t>Office set up available  (including resi cum office)</t>
  </si>
  <si>
    <t>If Inherited Property- Is it inherited within last 4 years</t>
  </si>
  <si>
    <t xml:space="preserve">Specialized Property </t>
  </si>
  <si>
    <t>ADB/EMI</t>
  </si>
  <si>
    <t xml:space="preserve">Credit Summation to Loan Amount </t>
  </si>
  <si>
    <t>Ratio Check at recommended Loan Amount (B8)</t>
  </si>
  <si>
    <t>No of inward cheque returns- Insufficient Funds</t>
  </si>
  <si>
    <t>Case to be recommended to  (Highest NFA Level)</t>
  </si>
  <si>
    <t xml:space="preserve">Location Limit- Breach </t>
  </si>
  <si>
    <t>Unsecured loan (LAP/Gold Loan etc taken in last 12 months)</t>
  </si>
  <si>
    <t xml:space="preserve">Loan Amount- with NFA </t>
  </si>
  <si>
    <t xml:space="preserve">Amounts as per Ratio Sheet Combined </t>
  </si>
  <si>
    <t xml:space="preserve">Credit Summation </t>
  </si>
  <si>
    <t>Average Daily Balance (ADB)</t>
  </si>
  <si>
    <t xml:space="preserve">Average Net Profits </t>
  </si>
  <si>
    <t>Applicable Credit Summation Ratio</t>
  </si>
  <si>
    <t>Credit Summation (CS)</t>
  </si>
  <si>
    <t>Loan Amount as per CS (A)</t>
  </si>
  <si>
    <t xml:space="preserve">Proposed EMI based on ADB/Factor </t>
  </si>
  <si>
    <t xml:space="preserve">Click to modify </t>
  </si>
  <si>
    <t xml:space="preserve">Property Value </t>
  </si>
  <si>
    <t xml:space="preserve">Applicable LTV </t>
  </si>
  <si>
    <t>Final Loan Eligibility - Lowest of A,B,C and D</t>
  </si>
  <si>
    <t>Conditions</t>
  </si>
  <si>
    <t>Main account</t>
  </si>
  <si>
    <t>Other account</t>
  </si>
  <si>
    <t>Number of Months Credits less than 3</t>
  </si>
  <si>
    <t>Number of Months with nil credits</t>
  </si>
  <si>
    <t>Number of Months Credits less than 3 (last 3 months)</t>
  </si>
  <si>
    <t>Number of Months with nil credits (last 3 months)</t>
  </si>
  <si>
    <t xml:space="preserve"> No of credits summary </t>
  </si>
  <si>
    <t>Total Number of Credits</t>
  </si>
  <si>
    <t xml:space="preserve">NFA at </t>
  </si>
  <si>
    <t xml:space="preserve">Click for summary </t>
  </si>
  <si>
    <t>Minimum account credit/transaction norms met</t>
  </si>
  <si>
    <t xml:space="preserve">Output: Loan Eligibility for Express BT-Home Loan </t>
  </si>
  <si>
    <t xml:space="preserve">Loan Amount- BT </t>
  </si>
  <si>
    <t xml:space="preserve">Loan Amount- Top up </t>
  </si>
  <si>
    <t>Ratio Check at recommended Loan Amount (B5)</t>
  </si>
  <si>
    <t xml:space="preserve">Top up </t>
  </si>
  <si>
    <t xml:space="preserve">4 years in same business </t>
  </si>
  <si>
    <t>No bounces in last 6 months, max 2 bounces in last 18 months</t>
  </si>
  <si>
    <t>Office set up available (including resi cum office)</t>
  </si>
  <si>
    <t>No Unsecured/LAP loan in last 12 months</t>
  </si>
  <si>
    <t>Never 30+ dpd and no current overdues</t>
  </si>
  <si>
    <t xml:space="preserve">Average Monthly Balance/EMI </t>
  </si>
  <si>
    <t xml:space="preserve">Loan Amount/ Normal Eligibility </t>
  </si>
  <si>
    <t xml:space="preserve">L1 if loan not being closed from Top up </t>
  </si>
  <si>
    <t>Ratio Checks</t>
  </si>
  <si>
    <t xml:space="preserve">Principal Outstanding </t>
  </si>
  <si>
    <t xml:space="preserve">BT Amount </t>
  </si>
  <si>
    <t xml:space="preserve">Loan Eligbility as per 1.5 times normal FOIR </t>
  </si>
  <si>
    <t>Loan Amount as per seasoning (A)</t>
  </si>
  <si>
    <t>Loan Amount as per EMI cap of 115% (B)</t>
  </si>
  <si>
    <t>Loan Amount as per INSR cap of 90% (C)</t>
  </si>
  <si>
    <t xml:space="preserve">Applicable % of Original Sanction basis seasoning </t>
  </si>
  <si>
    <t>Loan Amount as per Location cap (D)</t>
  </si>
  <si>
    <t>Loan Amount as per LTV  (E)</t>
  </si>
  <si>
    <t>Final Loan Eligibility - Lowest of A,B,C,D and E</t>
  </si>
  <si>
    <t>Top up Amount @ 1.25 times No of EMIs Paid*EMI Amt</t>
  </si>
  <si>
    <t xml:space="preserve">Loan Eligibility as per POS+Top up </t>
  </si>
  <si>
    <t>Loan Amount as LTV (C )</t>
  </si>
  <si>
    <t>Loan Amount as Location Cap (D )</t>
  </si>
  <si>
    <t>Final Loan eligibiltiy- Lower of A,B,C and D</t>
  </si>
  <si>
    <t>Loan Amount-GTP at RAAC norms (A)</t>
  </si>
  <si>
    <t>Loan Amount-Normal eligibility at 1.5 times normal FOIR (B)</t>
  </si>
  <si>
    <t>Click to modify Property Value</t>
  </si>
  <si>
    <t>Months</t>
  </si>
  <si>
    <t>Total</t>
  </si>
  <si>
    <t xml:space="preserve">Bank Name </t>
  </si>
  <si>
    <t xml:space="preserve">Account No </t>
  </si>
  <si>
    <t>Average Daily Balance across all accounts</t>
  </si>
  <si>
    <t>Average Daily Balance across all accounts for BT</t>
  </si>
  <si>
    <t xml:space="preserve">Daily Balance </t>
  </si>
  <si>
    <t>Credit summation for year across all accounts</t>
  </si>
  <si>
    <t xml:space="preserve">Account Type </t>
  </si>
  <si>
    <t>Additional Savings Account</t>
  </si>
  <si>
    <t xml:space="preserve">No of Business Credits </t>
  </si>
  <si>
    <t xml:space="preserve">For the month </t>
  </si>
  <si>
    <t>No of EMIs paid</t>
  </si>
  <si>
    <t>Index</t>
  </si>
  <si>
    <t xml:space="preserve">No of exisitng home loans </t>
  </si>
  <si>
    <t xml:space="preserve">Ratio Summary </t>
  </si>
  <si>
    <t xml:space="preserve">Property Details </t>
  </si>
  <si>
    <t xml:space="preserve">Sourcing Details </t>
  </si>
  <si>
    <t xml:space="preserve">Credit Remarks </t>
  </si>
  <si>
    <t xml:space="preserve">Fee Amount </t>
  </si>
  <si>
    <t>Financier</t>
  </si>
  <si>
    <t>Loan Type</t>
  </si>
  <si>
    <t>Sanction Amount</t>
  </si>
  <si>
    <t>POS</t>
  </si>
  <si>
    <t xml:space="preserve">Seasoning </t>
  </si>
  <si>
    <t xml:space="preserve">Total Tenure </t>
  </si>
  <si>
    <t xml:space="preserve">Balance Tenure </t>
  </si>
  <si>
    <t>EMI Amount</t>
  </si>
  <si>
    <t xml:space="preserve">Considered for Eligbility </t>
  </si>
  <si>
    <t xml:space="preserve">Yes/No </t>
  </si>
  <si>
    <t>Property Address</t>
  </si>
  <si>
    <t xml:space="preserve">S No </t>
  </si>
  <si>
    <t xml:space="preserve">Applicant and CIBIL Summary </t>
  </si>
  <si>
    <t xml:space="preserve">Applicant Type </t>
  </si>
  <si>
    <t xml:space="preserve">Applicant Name </t>
  </si>
  <si>
    <t xml:space="preserve">Relationship with Applicant </t>
  </si>
  <si>
    <t xml:space="preserve">Current Age </t>
  </si>
  <si>
    <t xml:space="preserve">Age at Maturity </t>
  </si>
  <si>
    <t>Income Considered (Y/N)</t>
  </si>
  <si>
    <t xml:space="preserve">CIBIL Score </t>
  </si>
  <si>
    <t xml:space="preserve">Remarks </t>
  </si>
  <si>
    <t>Sales</t>
  </si>
  <si>
    <t>PAT</t>
  </si>
  <si>
    <t>Actual Cash Profit</t>
  </si>
  <si>
    <t>Total Networth</t>
  </si>
  <si>
    <t xml:space="preserve">Long Term Loans from Banks/FI </t>
  </si>
  <si>
    <t>Working Capital Limits from Banks/FI's</t>
  </si>
  <si>
    <t xml:space="preserve">Average Collection Period </t>
  </si>
  <si>
    <t xml:space="preserve">Current Ratio </t>
  </si>
  <si>
    <t xml:space="preserve">Liquidity Ratio </t>
  </si>
  <si>
    <t xml:space="preserve">Debt Equity Ratio </t>
  </si>
  <si>
    <t xml:space="preserve">Interest Coverage Ratio </t>
  </si>
  <si>
    <t xml:space="preserve">Gross Profit Margin Ratio </t>
  </si>
  <si>
    <t xml:space="preserve">Net Profit Margin Ratio </t>
  </si>
  <si>
    <t>Year 1</t>
  </si>
  <si>
    <t>Year 2</t>
  </si>
  <si>
    <t>Year 3</t>
  </si>
  <si>
    <t xml:space="preserve">Other Income </t>
  </si>
  <si>
    <t>Financials Snapshot</t>
  </si>
  <si>
    <t>RAAC Norm- HL&amp; NRP/ RAAC Norm LAP</t>
  </si>
  <si>
    <t xml:space="preserve">Within norms- Yes/No </t>
  </si>
  <si>
    <t>Financial Summary  (Loan Type)</t>
  </si>
  <si>
    <t xml:space="preserve">NFA Level </t>
  </si>
  <si>
    <t xml:space="preserve">Cash Profit Trend </t>
  </si>
  <si>
    <t>Debt Service Coverage Ratio(DSCR)</t>
  </si>
  <si>
    <t xml:space="preserve">Net Profit Margin </t>
  </si>
  <si>
    <t>Case to be recommended to</t>
  </si>
  <si>
    <t>Any Unsecured/LAP loan in last 12 months</t>
  </si>
  <si>
    <t>Eligibility(Rs. In lacs)</t>
  </si>
  <si>
    <t xml:space="preserve">Average </t>
  </si>
  <si>
    <t>Eligibility</t>
  </si>
  <si>
    <t xml:space="preserve">Eligible Income </t>
  </si>
  <si>
    <t>Profile</t>
  </si>
  <si>
    <t>PBT</t>
  </si>
  <si>
    <t>Depreciation</t>
  </si>
  <si>
    <t>Director Remuneration/Partners Salary</t>
  </si>
  <si>
    <t>Interest Expenses paid to partners/director</t>
  </si>
  <si>
    <t>Interest on loans</t>
  </si>
  <si>
    <t>Rent income</t>
  </si>
  <si>
    <t>Agricultural Income</t>
  </si>
  <si>
    <t>Interets on FD/Dividends</t>
  </si>
  <si>
    <t>Other income</t>
  </si>
  <si>
    <t>One time Income (exceptional)</t>
  </si>
  <si>
    <t>One time Expense (exceptional)</t>
  </si>
  <si>
    <t>Tax on Director remenuration/salary to partners</t>
  </si>
  <si>
    <t>Tax on interest paid to partners</t>
  </si>
  <si>
    <t>Any Additional income (editable)</t>
  </si>
  <si>
    <t xml:space="preserve">Total          </t>
  </si>
  <si>
    <t xml:space="preserve">Appraised Monthly Income          </t>
  </si>
  <si>
    <t>If Topup, Click here to enter</t>
  </si>
  <si>
    <t xml:space="preserve">Appraised Obligations          </t>
  </si>
  <si>
    <t xml:space="preserve">Max FOIR(for a combined LTV and FOIR of 130)          </t>
  </si>
  <si>
    <t xml:space="preserve">Max EMI          </t>
  </si>
  <si>
    <t xml:space="preserve">Tenor (Months)          </t>
  </si>
  <si>
    <t xml:space="preserve">Rate Of Interest          </t>
  </si>
  <si>
    <t xml:space="preserve">EMI Factor          </t>
  </si>
  <si>
    <t>Normal Eligibility(Rs. In lacs)</t>
  </si>
  <si>
    <t xml:space="preserve">RECOMMENDATION          </t>
  </si>
  <si>
    <t xml:space="preserve">ROI          </t>
  </si>
  <si>
    <t>Loan Amt(Rs. In lacs)</t>
  </si>
  <si>
    <t xml:space="preserve">EMI          </t>
  </si>
  <si>
    <t xml:space="preserve">Actual FOIR          </t>
  </si>
  <si>
    <t xml:space="preserve">Max LTV as per policy          </t>
  </si>
  <si>
    <t xml:space="preserve">Property Value          </t>
  </si>
  <si>
    <t>LTV on incremental exposure</t>
  </si>
  <si>
    <t>Combined LTV</t>
  </si>
  <si>
    <t xml:space="preserve">FOIR + LTV          </t>
  </si>
  <si>
    <t xml:space="preserve">Loan Amount -Head Credit </t>
  </si>
  <si>
    <t xml:space="preserve">Loan Amount -Head CPG </t>
  </si>
  <si>
    <t xml:space="preserve">Obligations Summary </t>
  </si>
  <si>
    <t xml:space="preserve">Gross  Turnover </t>
  </si>
  <si>
    <t xml:space="preserve">NFA </t>
  </si>
  <si>
    <t xml:space="preserve">Banking </t>
  </si>
  <si>
    <t>Credits</t>
  </si>
  <si>
    <t>Cheque bounces</t>
  </si>
  <si>
    <t>Express BT-HL</t>
  </si>
  <si>
    <t xml:space="preserve">Express BT-LAP </t>
  </si>
  <si>
    <t xml:space="preserve">MOD </t>
  </si>
  <si>
    <t xml:space="preserve">Loan against Specialized Property </t>
  </si>
  <si>
    <t xml:space="preserve">Empower HL </t>
  </si>
  <si>
    <t xml:space="preserve">LRD </t>
  </si>
  <si>
    <t xml:space="preserve">LRD-Warehouse </t>
  </si>
  <si>
    <t>Eligible Products</t>
  </si>
  <si>
    <t xml:space="preserve">Loan for Comm/Ind Plots </t>
  </si>
  <si>
    <t xml:space="preserve">Home Loan </t>
  </si>
  <si>
    <t xml:space="preserve">LAP-Resi </t>
  </si>
  <si>
    <t>LAP-Comm</t>
  </si>
  <si>
    <t>NRP-Self occ</t>
  </si>
  <si>
    <t>NRP-Non Self-occ</t>
  </si>
  <si>
    <t xml:space="preserve">HL-Top-up </t>
  </si>
  <si>
    <t xml:space="preserve">LAP-Top-up </t>
  </si>
  <si>
    <t>LRD</t>
  </si>
  <si>
    <t>BT-LRD</t>
  </si>
  <si>
    <t>Commercial Plot+Cons</t>
  </si>
  <si>
    <t>Indstrial Plot+Cons</t>
  </si>
  <si>
    <t xml:space="preserve">Pragat </t>
  </si>
  <si>
    <t xml:space="preserve">HL-Top-up upto 12 months seasoning </t>
  </si>
  <si>
    <t xml:space="preserve">HL-Top-up &gt; 12 months seasoning </t>
  </si>
  <si>
    <t xml:space="preserve">HL-Top-up &gt; 12 and upto 24 months seasoning </t>
  </si>
  <si>
    <t xml:space="preserve">HL-Top-up &gt; 24 months seasoning </t>
  </si>
  <si>
    <t xml:space="preserve">NRP Top-up </t>
  </si>
  <si>
    <t xml:space="preserve">NRP-Top-up </t>
  </si>
  <si>
    <t xml:space="preserve">HL- &gt;30 Lakhs and upto 75 Lakhs </t>
  </si>
  <si>
    <t xml:space="preserve">HL&gt;75 Lakhs </t>
  </si>
  <si>
    <t xml:space="preserve">HL- upto 30 Lakhs </t>
  </si>
  <si>
    <t>NA</t>
  </si>
  <si>
    <t>LAP-MOD</t>
  </si>
  <si>
    <t>LAP- BT</t>
  </si>
  <si>
    <t xml:space="preserve">LAP- BT </t>
  </si>
  <si>
    <t>BT of Commercial Plot+Cons</t>
  </si>
  <si>
    <t>BT of Industrial Plot+Cons</t>
  </si>
  <si>
    <t>Mortgage Guarantee- Variant 1</t>
  </si>
  <si>
    <t>Mortgage Guarantee- Variant 2</t>
  </si>
  <si>
    <t>Mortgage Guarantee- Variant 3</t>
  </si>
  <si>
    <t>Mortgage Guarantee- Variant 4</t>
  </si>
  <si>
    <t xml:space="preserve">HL-Top-up upto 6 months seasoning </t>
  </si>
  <si>
    <t xml:space="preserve">HL-Top-up &gt;6 motnhs and upto 12 months seasoning </t>
  </si>
  <si>
    <t>Profit &amp; Loss Account</t>
  </si>
  <si>
    <t>31.03.2013</t>
  </si>
  <si>
    <t>% Growth</t>
  </si>
  <si>
    <t>31.03.2012</t>
  </si>
  <si>
    <t>31.03.2011</t>
  </si>
  <si>
    <t>31.03.2010</t>
  </si>
  <si>
    <t>Rs. lacs</t>
  </si>
  <si>
    <t>In 2013</t>
  </si>
  <si>
    <t>In 2012</t>
  </si>
  <si>
    <t>In 2011</t>
  </si>
  <si>
    <t>Other Income (incidental to Business/Business income)</t>
  </si>
  <si>
    <t>Other Income (Non Business income)</t>
  </si>
  <si>
    <t>Total Income</t>
  </si>
  <si>
    <t>Raw Material Cost</t>
  </si>
  <si>
    <t>Manufacturing expenses</t>
  </si>
  <si>
    <t>Wages &amp; employee cost</t>
  </si>
  <si>
    <t>Gross Profit</t>
  </si>
  <si>
    <t>Administrative Expenses</t>
  </si>
  <si>
    <t>Selling &amp; Distribution Expenses</t>
  </si>
  <si>
    <t>PBDIT</t>
  </si>
  <si>
    <t>Interest on Term Loan from Banks</t>
  </si>
  <si>
    <t>Interest on Term Loan from Relatives</t>
  </si>
  <si>
    <t>Interest on unsecured loans from others</t>
  </si>
  <si>
    <t>Interest on CC/OD</t>
  </si>
  <si>
    <t>Non cash expenses written off</t>
  </si>
  <si>
    <t>Profit Before Tax</t>
  </si>
  <si>
    <t>Tax as per ITR</t>
  </si>
  <si>
    <t>Cash Profits</t>
  </si>
  <si>
    <t>Salary to Partner/Director</t>
  </si>
  <si>
    <t>.</t>
  </si>
  <si>
    <t xml:space="preserve">Balance Sheet </t>
  </si>
  <si>
    <t xml:space="preserve">Proprietorship Capital </t>
  </si>
  <si>
    <t>Reserves &amp; Surplus(excluding revaluation reserve)</t>
  </si>
  <si>
    <t>Revaluation Reserve</t>
  </si>
  <si>
    <t>Adjusted Networth</t>
  </si>
  <si>
    <t>Total Borrowings from banks/FI/NBFC's</t>
  </si>
  <si>
    <t>Unsecured loans  (others)</t>
  </si>
  <si>
    <t>Unsecured loans from partners/shareholders</t>
  </si>
  <si>
    <t>Current Liabilities &amp; Provisions</t>
  </si>
  <si>
    <t>Provision for taxation</t>
  </si>
  <si>
    <t>Other Liabilities</t>
  </si>
  <si>
    <t>Total Liabilities to outsiders</t>
  </si>
  <si>
    <t>Balance Sheet Total</t>
  </si>
  <si>
    <t>Fixed Assets less depreciation</t>
  </si>
  <si>
    <t>Investments</t>
  </si>
  <si>
    <t>Liquid/Marketable Investments</t>
  </si>
  <si>
    <t>Group Co. Investments</t>
  </si>
  <si>
    <t>Unquoted/Dead Investments</t>
  </si>
  <si>
    <t>Current Assets:</t>
  </si>
  <si>
    <t>Deferred Tax Asset</t>
  </si>
  <si>
    <t>Inventories</t>
  </si>
  <si>
    <t>Receivables / Debtors</t>
  </si>
  <si>
    <t xml:space="preserve"> Debtors &gt; 6 months</t>
  </si>
  <si>
    <t xml:space="preserve"> Debtors &lt; 6 months</t>
  </si>
  <si>
    <t>Cash and Bank</t>
  </si>
  <si>
    <t>Loans &amp; Advances</t>
  </si>
  <si>
    <t>Loans &amp; Advances given to directors/partners etc</t>
  </si>
  <si>
    <t>Loans and Advances given to others</t>
  </si>
  <si>
    <t>Misc Expenses (DRE+Preop+Preliminary+Acc P&amp;L)</t>
  </si>
  <si>
    <t xml:space="preserve">Ratios    </t>
  </si>
  <si>
    <t xml:space="preserve">Average Collection Period    </t>
  </si>
  <si>
    <t xml:space="preserve">Average Days in Inventory    </t>
  </si>
  <si>
    <t xml:space="preserve">Inventory to Cost of Goods Sold    </t>
  </si>
  <si>
    <t xml:space="preserve">Current Ratio    </t>
  </si>
  <si>
    <t xml:space="preserve">Liquidity Ratio    </t>
  </si>
  <si>
    <t xml:space="preserve">Debt Equity Ratio    </t>
  </si>
  <si>
    <t xml:space="preserve">Interest Coverage Ratio    </t>
  </si>
  <si>
    <t xml:space="preserve">DSCR    </t>
  </si>
  <si>
    <t xml:space="preserve">DSCR after the proposed Loan    </t>
  </si>
  <si>
    <t xml:space="preserve">Gross Profit Margin Ratio    </t>
  </si>
  <si>
    <t xml:space="preserve">Net Profit Margin Ratio    </t>
  </si>
  <si>
    <t xml:space="preserve">Cash Profit Ratio    </t>
  </si>
  <si>
    <t xml:space="preserve">Growth in Sales    </t>
  </si>
  <si>
    <t xml:space="preserve">Growth in Net Profits    </t>
  </si>
  <si>
    <t xml:space="preserve">Cash Flow Statement    </t>
  </si>
  <si>
    <t xml:space="preserve">Net Profit After Tax    </t>
  </si>
  <si>
    <t xml:space="preserve">Add :    </t>
  </si>
  <si>
    <t xml:space="preserve">Depreciation    </t>
  </si>
  <si>
    <t xml:space="preserve">Misc expenses written off/non cash expenses    </t>
  </si>
  <si>
    <t xml:space="preserve">Salary paid to promoter/partners    </t>
  </si>
  <si>
    <t xml:space="preserve">Interest paid to promoters    </t>
  </si>
  <si>
    <t xml:space="preserve">Provision for tax    </t>
  </si>
  <si>
    <t xml:space="preserve">Interest    </t>
  </si>
  <si>
    <t xml:space="preserve">Less : Other income (non business income)    </t>
  </si>
  <si>
    <t xml:space="preserve">Operating cash profit/(Loss ) before working capital changes    </t>
  </si>
  <si>
    <t xml:space="preserve">Trade and other receivables    </t>
  </si>
  <si>
    <t xml:space="preserve">Inventories    </t>
  </si>
  <si>
    <t xml:space="preserve">Loans &amp; Advances    </t>
  </si>
  <si>
    <t xml:space="preserve">other current liabilities    </t>
  </si>
  <si>
    <t xml:space="preserve">Total    </t>
  </si>
  <si>
    <t xml:space="preserve">Cash Generated from operations    </t>
  </si>
  <si>
    <t xml:space="preserve">Less taxes paid    </t>
  </si>
  <si>
    <t xml:space="preserve">Net Cash from Operations    </t>
  </si>
  <si>
    <t>Loan Amount-GST with NFAs</t>
  </si>
  <si>
    <t>GST-Bank Borrowing to Sales%</t>
  </si>
  <si>
    <t xml:space="preserve">GST Turnover </t>
  </si>
  <si>
    <t>Final Loan Eligibility</t>
  </si>
  <si>
    <t>Loan Amount-GST at RAAC norms</t>
  </si>
  <si>
    <t>Average delay in servicing &lt;=10 days in last 12 months</t>
  </si>
  <si>
    <t>No. of days where account is overdrawn &lt;=10 days in 12 months</t>
  </si>
  <si>
    <t>Inward check return &lt;=2% of no. of cheques issued in last 12 months</t>
  </si>
  <si>
    <t>No cheque bounce due to insuffucient funds in last 6 months</t>
  </si>
  <si>
    <t>Eligibility at RAAC LTV + FOIR</t>
  </si>
  <si>
    <t xml:space="preserve">Loan Amount -RAAC norms </t>
  </si>
  <si>
    <t>Loan Amount - with NFAs</t>
  </si>
  <si>
    <t xml:space="preserve">Loan Amount-at RAAC norms </t>
  </si>
  <si>
    <t>Imputed income</t>
  </si>
  <si>
    <t>School</t>
  </si>
  <si>
    <t>Marriage Garden</t>
  </si>
  <si>
    <t>Low LTV Banking</t>
  </si>
  <si>
    <t>Specialised Property</t>
  </si>
  <si>
    <t>GTP</t>
  </si>
  <si>
    <t>Parameter</t>
  </si>
  <si>
    <t>RCM</t>
  </si>
  <si>
    <t>ZCM</t>
  </si>
  <si>
    <t>RCH</t>
  </si>
  <si>
    <t>ZCH</t>
  </si>
  <si>
    <t>CH</t>
  </si>
  <si>
    <t>FOIR &gt; 65% with RAAC LTV</t>
  </si>
  <si>
    <t>Debt To Equity more than</t>
  </si>
  <si>
    <t>LTV for LAP residential - &gt; 60 but &lt; 65%</t>
  </si>
  <si>
    <t>LTV for LAP commercial - &gt; 55 but &lt; 60%</t>
  </si>
  <si>
    <t>Actual</t>
  </si>
  <si>
    <t>Deviation</t>
  </si>
  <si>
    <t>LTV for NRP Self Occupied</t>
  </si>
  <si>
    <t>LTV for NRP Non Self Occupied</t>
  </si>
  <si>
    <t>LTV for LAP residential &gt; 65%</t>
  </si>
  <si>
    <t>LTV for LAP commercial &gt; 60%</t>
  </si>
  <si>
    <t>LTV for NRP Self Occupied &gt; 70%</t>
  </si>
  <si>
    <t>LTV for NRP Non Self Occupied &gt; 60%</t>
  </si>
  <si>
    <t>Loan Amount &gt; 30 and &lt; 40 Million</t>
  </si>
  <si>
    <t>Loan Amount &gt; 40 and &lt; 50 Million</t>
  </si>
  <si>
    <t>Tenure for LAP/Top/NRP &gt; 15 years</t>
  </si>
  <si>
    <t>Min Turnover for loan of 15 - 30 million upto 2 times</t>
  </si>
  <si>
    <t>Min AQB / Total EMI for loan of 15 - 30 million upto 1.5 times</t>
  </si>
  <si>
    <t>Margins - Traders &gt; 7%</t>
  </si>
  <si>
    <t>Margins - Manufacturers &amp; Services &gt; 10%</t>
  </si>
  <si>
    <t>Turnover Dip &gt; 10%</t>
  </si>
  <si>
    <t>Turnover &gt; 6 million</t>
  </si>
  <si>
    <t>BT + Top Up: FOIR of 130% for eligibility upto 1 time the normal eligibility, LTV Cap</t>
  </si>
  <si>
    <t>For approach 1: LTV for LAP residential - &gt; 60 but &lt; 65%</t>
  </si>
  <si>
    <t>For approach 2: LTV for LAP residential - &gt; 60 but &lt; 65%</t>
  </si>
  <si>
    <t>For approach 1: LTV for LAP residential &gt; 65%</t>
  </si>
  <si>
    <t>For approach 1: LTV for NRP Self Occupied &gt; 70%</t>
  </si>
  <si>
    <t>For approach 1: LTV for NRP Non Self Occupied &gt; 60%</t>
  </si>
  <si>
    <t>For approach 1:LTV for NRP Self Occupied &gt; 65 but &lt; 70</t>
  </si>
  <si>
    <t>For approach 1:LTV for NRP Non Self Occupied &gt; 55 but &lt;60</t>
  </si>
  <si>
    <t>For approach 2:LTV for NRP Self Occupied &gt; 65 but &lt; 70</t>
  </si>
  <si>
    <t>For approach 2:LTV for NRP Non Self Occupied &gt; 55 but &lt;60</t>
  </si>
  <si>
    <t>For approach 2:LTV for NRP Self Occupied &gt; 70 but &lt; 75 - RBP</t>
  </si>
  <si>
    <t>For approach 2:LTV for NRP Non Self Occupied &gt; 60 but &lt;65</t>
  </si>
  <si>
    <t>For approach 2: LTV for LAP residential - &gt; 65 but &lt; 70% - RBP - Self Occupied</t>
  </si>
  <si>
    <t>For approach 2:LTV for LAP commercial - &gt; 60 but &lt; 65% - RBP - Self Occupied</t>
  </si>
  <si>
    <t>For approach 2: LTV for LAP residential - &gt; 70 but &lt; 75% - RBP - Self Occupied</t>
  </si>
  <si>
    <t>For approach 2:LTV for NRP Self Occupied &gt; 75 but &lt; 80 - RBP</t>
  </si>
  <si>
    <t>For approach 2:LTV for NRP Non Self Occupied &gt; 65 but &lt;70</t>
  </si>
  <si>
    <t>Express BT - NHL</t>
  </si>
  <si>
    <t>For approach 1:LTV for LAP commercial - &gt; 50 but &lt; 55%</t>
  </si>
  <si>
    <t>For approach 1: LTV for LAP commercial &gt; 55%</t>
  </si>
  <si>
    <t>For approach 2:LTV for LAP commercial - &gt; 50 but &lt; 55%</t>
  </si>
  <si>
    <t>For approach 2:LTV for LAP commercial - &gt; 55 but &lt; 60% - RBP - Self Occupied</t>
  </si>
  <si>
    <t>Business Vintage less than 4 years</t>
  </si>
  <si>
    <t>Banking</t>
  </si>
  <si>
    <t>Credit Summation &gt; = 2 times of loan amount for all except services sector</t>
  </si>
  <si>
    <t>Credit Summation &gt; = 1 times of loan amount for services sector</t>
  </si>
  <si>
    <t>RCF1</t>
  </si>
  <si>
    <t>LTV for Home Loan more than 75%</t>
  </si>
  <si>
    <t>LTV for NRP- Self-occupied Property  more than 70%</t>
  </si>
  <si>
    <t>No credit in only 1 month (not in last 3 months) but 36 in last 12 months</t>
  </si>
  <si>
    <t>LTV for Home Loan more than 70% and upto 75%,  but within RBI norms</t>
  </si>
  <si>
    <t>LTV for LAP- Resi more than 60% and upto 65%</t>
  </si>
  <si>
    <t>LTV for LAP- Comm more than 50% and upto 55%</t>
  </si>
  <si>
    <t>LTV for NRP- Self-occupied Property  more than 65% and upto 70%</t>
  </si>
  <si>
    <t>Credit Entries: Main account &lt; 3 in 1 month but 1 in month, 9 in quarter and 36 in year</t>
  </si>
  <si>
    <t>Credit Entries: Other CA &lt; 1 in 3 months but not in last 3 months, 12 in last 12 months</t>
  </si>
  <si>
    <t>Credit Entries: SA &lt; 3 in 3 months but 36 in last 12 months</t>
  </si>
  <si>
    <t>Cheque Bounces: &lt; = 2 in last 12 months but 0 in last 3 months</t>
  </si>
  <si>
    <t>Cheque Bounces: = 1 in last 12 months but 0 in last 3 months</t>
  </si>
  <si>
    <r>
      <t xml:space="preserve">Cheque Bounce in last 3 months &gt; 0 </t>
    </r>
    <r>
      <rPr>
        <b/>
        <sz val="11"/>
        <color theme="1"/>
        <rFont val="Calibri"/>
        <family val="2"/>
        <scheme val="minor"/>
      </rPr>
      <t>(No NFA)</t>
    </r>
  </si>
  <si>
    <t>Tenure for HL &gt; 20 years</t>
  </si>
  <si>
    <t>Express BT - HL</t>
  </si>
  <si>
    <t xml:space="preserve">Loan Amount: &gt; 130% of original sanction for self-employed; seasoning &gt; 24 months </t>
  </si>
  <si>
    <t xml:space="preserve">Loan Amount: &gt; 110% of original sanction for self-employed; seasoning  12 - 18 months </t>
  </si>
  <si>
    <t xml:space="preserve">Loan Amount: &gt; 110% of original sanction for self-employed; seasoning  18 - 24 months </t>
  </si>
  <si>
    <t xml:space="preserve">Loan Amount: &gt; 100% of original sanction for salaried; seasoning between 12-18 months </t>
  </si>
  <si>
    <t xml:space="preserve">Loan Amount: &gt; 120% of original sanction for salaried; seasoning between 18-24 months </t>
  </si>
  <si>
    <t xml:space="preserve">Loan Amount: &gt; 130% of original sanction for salaried; seasoning between &gt; 24 months </t>
  </si>
  <si>
    <t xml:space="preserve">Loan Amount: For &lt;=36 months, New EMI is &gt; 115% of existing EMI </t>
  </si>
  <si>
    <t xml:space="preserve">Loan Amount: For &gt;36 months, New EMI is &gt; 125% of existing EMI </t>
  </si>
  <si>
    <t>Minimum Seasoning &lt; 12 months</t>
  </si>
  <si>
    <t>Salaried: &lt;=30 lakhs - LTV 90% - 95%, subject to RBI norms</t>
  </si>
  <si>
    <t>Salaried: 30 - 75 lakhs - LTV 80% - 85%, subject to RBI norms</t>
  </si>
  <si>
    <t>Salaried: &lt;=30 lakhs - LTV 75% - 80%, subject to RBI norms</t>
  </si>
  <si>
    <t>Self Employed: &lt; = 75 lakhs - LTV 80% - 85%, subject to RBI norms</t>
  </si>
  <si>
    <t>Self Employed: &gt; 75 lakhs - LTV 75% - 80%, subject to RBI norms</t>
  </si>
  <si>
    <t>Other Financiers Salaried &gt; 75% - 80%</t>
  </si>
  <si>
    <t>Other Financiers Self Employed &gt; 70% - 75%</t>
  </si>
  <si>
    <t>Salaried: &lt;=30 lakhs - LTV &gt; 95%, subject to RBI norms</t>
  </si>
  <si>
    <t>Salaried: 30 - 75 lakhs - LTV 85%, subject to RBI norms</t>
  </si>
  <si>
    <t>Salaried: &lt;=30 lakhs - LTV 80%, subject to RBI norms</t>
  </si>
  <si>
    <t>Self Employed: &lt; = 75 lakhs - LTV 85%, subject to RBI norms</t>
  </si>
  <si>
    <t>Self Employed: &gt; 75 lakhs - LTV 80%, subject to RBI norms</t>
  </si>
  <si>
    <t>Other Financiers Salaried &gt; 80%</t>
  </si>
  <si>
    <t>Other Financiers Self Employed &gt; 75%</t>
  </si>
  <si>
    <t>Tenure for NRP &gt; 15 years</t>
  </si>
  <si>
    <t>Tenure for HEL/Top Up &gt; 10 years</t>
  </si>
  <si>
    <t>HEL/Top Up - ADB/EMI &lt; 1.5 times</t>
  </si>
  <si>
    <t>HL / NRP: Loan &lt; 7.5 million - ADB/EMI &lt; 1.5 times</t>
  </si>
  <si>
    <t>HL / NRP: Loan &lt; 10.0 million - ADB/EMI &lt; 1.5 times</t>
  </si>
  <si>
    <t>HL / NRP: Loan &gt; 10.0 million - ADB/EMI &lt; 2.0 times</t>
  </si>
  <si>
    <t>HL/NRP: CA/SA Vintage - main account &lt; 12 months</t>
  </si>
  <si>
    <t>HL/NRP: CA/SA Vintage - other accounts &lt; 6 months</t>
  </si>
  <si>
    <t>HL / NRP: Loan Amount &gt; 30 and &lt; 40 Million</t>
  </si>
  <si>
    <t>HL / NRP: Loan Amount &gt; 40 and &lt; 50 Million</t>
  </si>
  <si>
    <t>Credit Entries: Main account &lt; 3 in 1 month</t>
  </si>
  <si>
    <t>Credit Entries: Other CA &lt; 1 in 3 months</t>
  </si>
  <si>
    <t>Credit Entries: SA &lt; 3 in 1 month</t>
  </si>
  <si>
    <t>Cheque Bounces: &lt; = 2 in last 12 months</t>
  </si>
  <si>
    <t>Cheque Bounces: = 1 in last 12 months</t>
  </si>
  <si>
    <t>MOD for Salaried</t>
  </si>
  <si>
    <t>Loan Amount &gt; 10 and &lt; 30 Million</t>
  </si>
  <si>
    <t>CPG Head</t>
  </si>
  <si>
    <t>Loan Amount &gt; 10</t>
  </si>
  <si>
    <t>Pratham (Pragati)</t>
  </si>
  <si>
    <t>ADB for SE: ADB to EMI &lt; 0.5 with LTV lower by 5%</t>
  </si>
  <si>
    <t>Loan Amount: upto 5.5 Million</t>
  </si>
  <si>
    <t>FOIR: Salaried non PMAY Income &lt; 20,000 to be 50% instead of 45%</t>
  </si>
  <si>
    <t>FOIR: Salaried non PMAY Income &gt; 20,000 to be 55% instead of 50%</t>
  </si>
  <si>
    <t>FOIR: Salaried PMAY case - FOIR to be 60% instead of 55%</t>
  </si>
  <si>
    <t>INSR: Salaried non PMAY Income &lt; 20,000 to be 55% instead of 50%</t>
  </si>
  <si>
    <t>INSR: Salaried non PMAY Income &gt; 20,000 to be 60% instead of 55%</t>
  </si>
  <si>
    <t>INSR: Salaried PMAY case - FOIR to be 65% instead of 60%</t>
  </si>
  <si>
    <t>FOIR: Self Employed - LIP to be 70% instead of 65%</t>
  </si>
  <si>
    <t>FOIR: Self Employed - ITR to be 105% instead of 100%</t>
  </si>
  <si>
    <t>Bank Statements min of 6 months instead of 12 months</t>
  </si>
  <si>
    <t>LAP for Specialized Properties</t>
  </si>
  <si>
    <t>Nursing Homes upto 50 beds</t>
  </si>
  <si>
    <t>Land + Construction</t>
  </si>
  <si>
    <t>Loan Amount for Plot Purchase &gt; 20.0 million</t>
  </si>
  <si>
    <t>Loan Amount for Construction &gt; 10.0 million</t>
  </si>
  <si>
    <t>Loan Amount for Land + Construction &gt; 30.0 million</t>
  </si>
  <si>
    <t>GST</t>
  </si>
  <si>
    <t>Business Vintage less than 3 years</t>
  </si>
  <si>
    <t>Bank Borrowing to Sales max of 50%</t>
  </si>
  <si>
    <t>Minimum Turnover - 5.0 million</t>
  </si>
  <si>
    <t>Collateral Plus Secured</t>
  </si>
  <si>
    <t>Loan Amount &gt; 7.5 million &lt; 10.0 Million</t>
  </si>
  <si>
    <t>Simplified BT for HNI</t>
  </si>
  <si>
    <t>Tenure for NHL &gt; 15 years</t>
  </si>
  <si>
    <t>Express RTF</t>
  </si>
  <si>
    <t>LTV SORP / SOCP to be 55% instead of 50%</t>
  </si>
  <si>
    <t>LTV SORP / SOCP to be &gt; 55%</t>
  </si>
  <si>
    <t>Tenure of Loan &gt; 10 years</t>
  </si>
  <si>
    <t>Loan Amount &gt; 100 Million</t>
  </si>
  <si>
    <t>Loan Amount &gt; 50.0 million &lt; 100 million</t>
  </si>
  <si>
    <t>Business Vintage less than 5 years</t>
  </si>
  <si>
    <t>NRP</t>
  </si>
  <si>
    <t>31.03.2021</t>
  </si>
  <si>
    <t>31.03.2020</t>
  </si>
  <si>
    <t>31.03.2019</t>
  </si>
  <si>
    <t>31.03.2018</t>
  </si>
  <si>
    <t>In 2021</t>
  </si>
  <si>
    <t>In 2020</t>
  </si>
  <si>
    <t>In 2019</t>
  </si>
  <si>
    <t>Cost % of sales of 2021</t>
  </si>
  <si>
    <t>Cost % of sales of 2020</t>
  </si>
  <si>
    <t>Cost % of sales of 2019</t>
  </si>
  <si>
    <t>Cost % of sales of 2018</t>
  </si>
  <si>
    <t xml:space="preserve">Input Sheet - Multi-Variant Calculator </t>
  </si>
  <si>
    <t>Loan Amount required (Rs. Millions)</t>
  </si>
  <si>
    <t>Salaried</t>
  </si>
  <si>
    <t>Self Employed - Professionals</t>
  </si>
  <si>
    <t>Self Employed - Non Professionals</t>
  </si>
  <si>
    <t>Base Products</t>
  </si>
  <si>
    <t>Home Loan</t>
  </si>
  <si>
    <t>LAP - Residential</t>
  </si>
  <si>
    <t>LAP - Commercial</t>
  </si>
  <si>
    <t>Land Loan</t>
  </si>
  <si>
    <t>Fresh Case or BT+Top Up Case</t>
  </si>
  <si>
    <t>Fresh Case</t>
  </si>
  <si>
    <t>Balance Transfer + Top Up</t>
  </si>
  <si>
    <t>Top Up on Home Loan</t>
  </si>
  <si>
    <t>Top Up on Land Loan</t>
  </si>
  <si>
    <t>Top Up on LAP - Residential</t>
  </si>
  <si>
    <t>Top Up on LAP - Commercial</t>
  </si>
  <si>
    <t>Top Up on NRP</t>
  </si>
  <si>
    <t>Top Up on LRD</t>
  </si>
  <si>
    <t>Top Up on Land + Construction</t>
  </si>
  <si>
    <t>if Product Type contains Top up then  "Seasoning of Base Loan" (no. of months)</t>
  </si>
  <si>
    <t>Turnover as per GST returns of last 12 months (in Millions)</t>
  </si>
  <si>
    <t>Total EMI of Loans taken within last 12 months  (in Millions)</t>
  </si>
  <si>
    <t>Principal Outstanding (in Millions)</t>
  </si>
  <si>
    <t>Original Loan Amount (in Millions)</t>
  </si>
  <si>
    <t>Pre-Closure Charges (in Millions)</t>
  </si>
  <si>
    <t>Current EMI (in Lakhs)</t>
  </si>
  <si>
    <t>2020-21</t>
  </si>
  <si>
    <t>2019-20</t>
  </si>
  <si>
    <t>LTV</t>
  </si>
  <si>
    <t>Leverage (FOIR)</t>
  </si>
  <si>
    <t>Leverage (FOIR); appraised monthly income &lt;= 50,000</t>
  </si>
  <si>
    <t>Leverage (FOIR); appraised monthly income &gt; 50,000</t>
  </si>
  <si>
    <t>LTV+Leverage (FOIR)</t>
  </si>
  <si>
    <t>&gt; 20%</t>
  </si>
  <si>
    <t>Provide Inputs in Green Cells:</t>
  </si>
  <si>
    <t>Interest Rate</t>
  </si>
  <si>
    <t>To be based on Product Type selected</t>
  </si>
  <si>
    <t>Tenure (in months)</t>
  </si>
  <si>
    <t>LTV - for Doctors</t>
  </si>
  <si>
    <t>LTV - for Others</t>
  </si>
  <si>
    <t>LTV - Others</t>
  </si>
  <si>
    <t>LTV - Doctors (Loan &lt;= 30 lakhs)</t>
  </si>
  <si>
    <t>LTV - Doctors (Loan &gt; 30 Lakhs &amp; &lt;= 75 lakhs)</t>
  </si>
  <si>
    <t>LTV - Doctors (Loan &gt; 75 Lakhs)</t>
  </si>
  <si>
    <t>LTV - Others - Self Occupied CIBIL &lt;= 750</t>
  </si>
  <si>
    <t>LTV - Others - Self Occupied CIBIL &gt; 750</t>
  </si>
  <si>
    <t>LAP - Specialized</t>
  </si>
  <si>
    <t>Property Type</t>
  </si>
  <si>
    <t>Residential</t>
  </si>
  <si>
    <t>Commercial</t>
  </si>
  <si>
    <t>Industrial</t>
  </si>
  <si>
    <t>Warehouse</t>
  </si>
  <si>
    <t>Hospital/Nursing Home</t>
  </si>
  <si>
    <t>Hotels</t>
  </si>
  <si>
    <t>Banquet Halls</t>
  </si>
  <si>
    <t>Marriage Gardens</t>
  </si>
  <si>
    <t>Vacant Land - Residential</t>
  </si>
  <si>
    <t>Vacant Land - Commercial</t>
  </si>
  <si>
    <t>Industrial - LTV</t>
  </si>
  <si>
    <t>Warehouse - LTV</t>
  </si>
  <si>
    <t>Hospital / Nursing Home - LTV</t>
  </si>
  <si>
    <t>School - LTV</t>
  </si>
  <si>
    <t>Hotels - LTV</t>
  </si>
  <si>
    <t>Banquet Halls - LTV</t>
  </si>
  <si>
    <t>Marriage Gardens - LTV</t>
  </si>
  <si>
    <t>5th</t>
  </si>
  <si>
    <t>15th</t>
  </si>
  <si>
    <t>25th</t>
  </si>
  <si>
    <t>Date</t>
  </si>
  <si>
    <t>ADB / EMI Ratio</t>
  </si>
  <si>
    <t>&lt; 3</t>
  </si>
  <si>
    <t>LTV for Home Loan</t>
  </si>
  <si>
    <t>LTV for Home Loan more than 70% and upto 80%,  but within RBI norms</t>
  </si>
  <si>
    <t>LTV for LAP- Residential</t>
  </si>
  <si>
    <t>LTV for LAP- Resi more than 60% and upto 70%</t>
  </si>
  <si>
    <t>LTV for LAP- Comm more than 50% and upto 60%</t>
  </si>
  <si>
    <t>LTV for LAP- Commercial</t>
  </si>
  <si>
    <t>LTV for NRP- Self-occupied Property</t>
  </si>
  <si>
    <t>LTV for NRP- Self-occupied Property more than 65% and upto 70%</t>
  </si>
  <si>
    <t>LTV for NRP- Self-occupied Property more than 65% and upto 75%</t>
  </si>
  <si>
    <t>Applicable ADB/EMI Factor (3 times)</t>
  </si>
  <si>
    <t>Applicable ADB/EMI Factor (1.5 times)</t>
  </si>
  <si>
    <t>Obligations</t>
  </si>
  <si>
    <t>Loan Amount as per ADB/EMI of 3 times (B)</t>
  </si>
  <si>
    <t>Loan Amount as per ADB/EMI of 1.5 times (C)</t>
  </si>
  <si>
    <t>Loan Amount as per LTV (E)</t>
  </si>
  <si>
    <t>Final Loan Eligibility - For CIBIL &gt; 725 (Lowest of A, D and E)</t>
  </si>
  <si>
    <t>Final Loan Eligibility - For CIBIL &lt;= 725 (Lowest of A, B and E)</t>
  </si>
  <si>
    <t>Loan Amount (D) - Higher of (B) and (C)</t>
  </si>
  <si>
    <t>A</t>
  </si>
  <si>
    <t>B</t>
  </si>
  <si>
    <t>Highest of A &amp; B</t>
  </si>
  <si>
    <t>LTV for Loan &lt; = 30 Lakhs</t>
  </si>
  <si>
    <t>LTV for Loan &gt; 30 Lakhs and &lt; = 75 Lakhs</t>
  </si>
  <si>
    <t>LTV for Loan &gt; 75 Lakhs</t>
  </si>
  <si>
    <t>Leverage (FOIR) for all loan amounts</t>
  </si>
  <si>
    <t>LTV - Direct Allotment (Authority) Loan Amount &lt; = 75 Lakhs</t>
  </si>
  <si>
    <t>LTV - Direct Allotment (Authority) Loan Amount &gt; 75 Lakhs</t>
  </si>
  <si>
    <t>LTV - Direct Allotment (Society/Builder) All Loan Amounts</t>
  </si>
  <si>
    <t>LTV - Others including Resale -  All Loan Amounts</t>
  </si>
  <si>
    <t>Customer Profile</t>
  </si>
  <si>
    <t>Industry Segment</t>
  </si>
  <si>
    <t>Manufacturers</t>
  </si>
  <si>
    <t>Service</t>
  </si>
  <si>
    <t>Retailer</t>
  </si>
  <si>
    <t>Wholesaler</t>
  </si>
  <si>
    <t>Sl No</t>
  </si>
  <si>
    <t>Industry</t>
  </si>
  <si>
    <t>Industry Impact during COVID</t>
  </si>
  <si>
    <t>Recovery time Post COVID</t>
  </si>
  <si>
    <t>Self Employed - Impact</t>
  </si>
  <si>
    <t>Margins (%)</t>
  </si>
  <si>
    <t>Mfg</t>
  </si>
  <si>
    <t>Wholesaler Trade</t>
  </si>
  <si>
    <t>Retail</t>
  </si>
  <si>
    <t>Cotton Textiles</t>
  </si>
  <si>
    <t>Jute Textiles</t>
  </si>
  <si>
    <t>Textile-Others (eg. Wool, Silk &amp; Incl Textiles)</t>
  </si>
  <si>
    <t>Man-Made Fibers( eg. Synthetic, Rayon)</t>
  </si>
  <si>
    <t>Wearing Apparel (incl Garment, Fashion Items)</t>
  </si>
  <si>
    <t>Handloom Cooperative</t>
  </si>
  <si>
    <t>Dyes</t>
  </si>
  <si>
    <t>Advertising &amp; Marketing</t>
  </si>
  <si>
    <t>Photography</t>
  </si>
  <si>
    <t>Public Relation</t>
  </si>
  <si>
    <t>Media &amp; Entertainment (including Entertainment)</t>
  </si>
  <si>
    <t>Airline (incl Aviation &amp; Airport)</t>
  </si>
  <si>
    <t>Travel Agents</t>
  </si>
  <si>
    <t>Hotels (incl Hospitality)</t>
  </si>
  <si>
    <t>As Below</t>
  </si>
  <si>
    <t>13a</t>
  </si>
  <si>
    <t>Premium</t>
  </si>
  <si>
    <t>13b</t>
  </si>
  <si>
    <t>Other than Premium</t>
  </si>
  <si>
    <t>13c</t>
  </si>
  <si>
    <t>Restaurants</t>
  </si>
  <si>
    <t>NBFC - ACCEPTING PUBLIC DEPOSITS</t>
  </si>
  <si>
    <t>NBFC-NOT ACCEPTING PUBLIC DEPOSITS</t>
  </si>
  <si>
    <t>Services - Finance (incl Banking and Retail Finance)</t>
  </si>
  <si>
    <t>Micro Finance Institutions(incl Micro Credit)</t>
  </si>
  <si>
    <t>Mutual Fund</t>
  </si>
  <si>
    <t>Insurance</t>
  </si>
  <si>
    <t>Insurance Agent</t>
  </si>
  <si>
    <t>Asset Reconstruction (incl securitisation receipts)</t>
  </si>
  <si>
    <t>Brokerage Services</t>
  </si>
  <si>
    <t>Venture Capital Funds</t>
  </si>
  <si>
    <t>SSI (incl small scale business and service)</t>
  </si>
  <si>
    <t>Cottage Industry</t>
  </si>
  <si>
    <t>KVI(incl village industry)</t>
  </si>
  <si>
    <t>Supply Of Inputs To Artisans Village And Cottage Industries</t>
  </si>
  <si>
    <t>Marketing Of Outputs Of Artisans Village And Cottage Industries</t>
  </si>
  <si>
    <t>Agriculture(incl Harvesting)</t>
  </si>
  <si>
    <t>Farm Industry</t>
  </si>
  <si>
    <t>Fertilisers</t>
  </si>
  <si>
    <t>Pesticides</t>
  </si>
  <si>
    <t>Dairy And Dairy Products (incl Agri Allied activities of dairy)</t>
  </si>
  <si>
    <t xml:space="preserve"> </t>
  </si>
  <si>
    <t>Sugar</t>
  </si>
  <si>
    <t>Tea</t>
  </si>
  <si>
    <t>Vegetable Oils</t>
  </si>
  <si>
    <t>Floriculture</t>
  </si>
  <si>
    <t>Horticulture</t>
  </si>
  <si>
    <t>Poultry(incl agri &amp; allied act of poultry)</t>
  </si>
  <si>
    <t>Seeds</t>
  </si>
  <si>
    <t>Sericulture</t>
  </si>
  <si>
    <t>Self Help Groups</t>
  </si>
  <si>
    <t>Agricultural Allied Activities Of Fishery ( included aquaculture and fishing)</t>
  </si>
  <si>
    <t>Agricultural Allied Activities Of Animal Husbandry, Piggery, Bee-Keeping Etc</t>
  </si>
  <si>
    <t xml:space="preserve">Real Estate (incl construction, land developers, land developer, builder and developer, industrial estate, building contractor and realty civil contractor) </t>
  </si>
  <si>
    <t>44a</t>
  </si>
  <si>
    <t>Paints</t>
  </si>
  <si>
    <t>44b</t>
  </si>
  <si>
    <t>Building material</t>
  </si>
  <si>
    <t>Electrical Equipment</t>
  </si>
  <si>
    <t>Educational Institutions</t>
  </si>
  <si>
    <t>Sports</t>
  </si>
  <si>
    <t>47a</t>
  </si>
  <si>
    <t>Outdoor Sports</t>
  </si>
  <si>
    <t>Food &amp; Beverages (incl Beverages)</t>
  </si>
  <si>
    <t>48a</t>
  </si>
  <si>
    <t xml:space="preserve">   Food &amp; Beverages</t>
  </si>
  <si>
    <t>48b</t>
  </si>
  <si>
    <t xml:space="preserve">   Food Processing</t>
  </si>
  <si>
    <t>48c</t>
  </si>
  <si>
    <t xml:space="preserve">   Packaging of Food Processing</t>
  </si>
  <si>
    <t>48d</t>
  </si>
  <si>
    <t xml:space="preserve">   Technical Assistance to Food Process</t>
  </si>
  <si>
    <t>Gems and Jewellery</t>
  </si>
  <si>
    <t>49a</t>
  </si>
  <si>
    <t xml:space="preserve">   Gems and Jewellery</t>
  </si>
  <si>
    <t>49b</t>
  </si>
  <si>
    <t xml:space="preserve">   Cut and Polished Diamonds</t>
  </si>
  <si>
    <t>Glass and Glass Products</t>
  </si>
  <si>
    <t>Leather and Leather Products</t>
  </si>
  <si>
    <t>Mining</t>
  </si>
  <si>
    <t>52a</t>
  </si>
  <si>
    <t xml:space="preserve">   Coal</t>
  </si>
  <si>
    <t>52b</t>
  </si>
  <si>
    <t xml:space="preserve">   Others</t>
  </si>
  <si>
    <t>Metal and Metal Products</t>
  </si>
  <si>
    <t>Paper and Paper Products (incl Paper Manufacturer)</t>
  </si>
  <si>
    <t>Plastic and Plastic Prodcuts</t>
  </si>
  <si>
    <t>Rubber and Rubber Products</t>
  </si>
  <si>
    <t>Iron/Steel Products</t>
  </si>
  <si>
    <t>Tobacco &amp; Tobacco Products</t>
  </si>
  <si>
    <t>Trader</t>
  </si>
  <si>
    <t>60a</t>
  </si>
  <si>
    <t xml:space="preserve">   Hardware stores</t>
  </si>
  <si>
    <t>60b</t>
  </si>
  <si>
    <t xml:space="preserve">   Provision stores</t>
  </si>
  <si>
    <t>60c</t>
  </si>
  <si>
    <t xml:space="preserve">   Stockist/ Dealer (incl wholesale trader/ trader/ shopkeeper)</t>
  </si>
  <si>
    <t>As below</t>
  </si>
  <si>
    <t>60c(i)</t>
  </si>
  <si>
    <t xml:space="preserve">       a. Essential Commodity</t>
  </si>
  <si>
    <t>60c(ii)</t>
  </si>
  <si>
    <t xml:space="preserve">       b. Non-essentail commodity</t>
  </si>
  <si>
    <t>60d</t>
  </si>
  <si>
    <t xml:space="preserve">   Retail Stores (incl retail trade and other trading)</t>
  </si>
  <si>
    <t>60e</t>
  </si>
  <si>
    <t xml:space="preserve">   Watches/Clocks</t>
  </si>
  <si>
    <t>60f</t>
  </si>
  <si>
    <t xml:space="preserve">   Department Store or Supermarkets</t>
  </si>
  <si>
    <t>CONSULTANCY</t>
  </si>
  <si>
    <t>Impact on salaried</t>
  </si>
  <si>
    <t>BOUTIQUE</t>
  </si>
  <si>
    <t>DRY-CLEANERS</t>
  </si>
  <si>
    <t>HOME INTERIORS</t>
  </si>
  <si>
    <t>FMCG</t>
  </si>
  <si>
    <t>COURIER</t>
  </si>
  <si>
    <t xml:space="preserve"> Agencies as a whole</t>
  </si>
  <si>
    <t>IMPORT EXPORT</t>
  </si>
  <si>
    <t>Agencies as a whole</t>
  </si>
  <si>
    <t>BPO</t>
  </si>
  <si>
    <t>BPO Companies</t>
  </si>
  <si>
    <t>NGO</t>
  </si>
  <si>
    <t>NGOs</t>
  </si>
  <si>
    <t>HANDICRAFTS OR ANTIQUES</t>
  </si>
  <si>
    <t>Footwear</t>
  </si>
  <si>
    <t>CEMENT</t>
  </si>
  <si>
    <t>WOOD AND WOOD PRODUCTS</t>
  </si>
  <si>
    <t>OTHER SERVICES-NON FINANCIAL (services like electricians, mobile, AC repair services etc., mostly self employe), other service centers)</t>
  </si>
  <si>
    <t>PRINTING</t>
  </si>
  <si>
    <t>HIRING</t>
  </si>
  <si>
    <t>SECURITY SERVICES</t>
  </si>
  <si>
    <t>Governmet and Govt agencies like Defence, Railways, Excise, RTO, Railways, Sewage, Sanitation, Waste Disposal, Waterworks</t>
  </si>
  <si>
    <t>Ports</t>
  </si>
  <si>
    <t>Road</t>
  </si>
  <si>
    <t>Electricity (Incl Power and Energy)</t>
  </si>
  <si>
    <t>81a</t>
  </si>
  <si>
    <t>Generation</t>
  </si>
  <si>
    <t>81b</t>
  </si>
  <si>
    <t>Distribution</t>
  </si>
  <si>
    <t>81c</t>
  </si>
  <si>
    <t>Renewable Energy</t>
  </si>
  <si>
    <t>PETROCHEMICALS</t>
  </si>
  <si>
    <t>OIL GAS PETROLEUM AND REFINING (Incl Petrolium and Refining)</t>
  </si>
  <si>
    <t>As Under</t>
  </si>
  <si>
    <t>OFFSHORE DRILLING</t>
  </si>
  <si>
    <t>Chemicals</t>
  </si>
  <si>
    <t>Telecommunication (Other than Government)
Private Players like Airtel, Vodafone, Jio etc</t>
  </si>
  <si>
    <t>Information Technology</t>
  </si>
  <si>
    <t>87a</t>
  </si>
  <si>
    <t>SOFTWARE INDUSTRY (Incl Dot Com)</t>
  </si>
  <si>
    <t>87b</t>
  </si>
  <si>
    <t>COMPUTERS AND PERIPHERALS</t>
  </si>
  <si>
    <t xml:space="preserve">DRUGS AND PHARMACEUTICALS </t>
  </si>
  <si>
    <t>88a</t>
  </si>
  <si>
    <t>CHEMISTS</t>
  </si>
  <si>
    <t>HEALTH CARE AND PERSONAL HYGIENE (other than Hospitals)</t>
  </si>
  <si>
    <t>HOSPITALS</t>
  </si>
  <si>
    <t>CONSUMER DURABLES</t>
  </si>
  <si>
    <t>ELECTRONICS</t>
  </si>
  <si>
    <t>92a</t>
  </si>
  <si>
    <t>Automotive</t>
  </si>
  <si>
    <t>As per Auto Ancilliary</t>
  </si>
  <si>
    <t>92b</t>
  </si>
  <si>
    <t>Communication Equipment</t>
  </si>
  <si>
    <t>As per Telecom (Private)</t>
  </si>
  <si>
    <t>92c</t>
  </si>
  <si>
    <t>Enterprise System</t>
  </si>
  <si>
    <t>As per IT (Hardware)</t>
  </si>
  <si>
    <t>92d</t>
  </si>
  <si>
    <t>Industrial Electronics</t>
  </si>
  <si>
    <t>92e</t>
  </si>
  <si>
    <t>Personal Electronics</t>
  </si>
  <si>
    <t>As perConsumer Durables</t>
  </si>
  <si>
    <t>92e (i)</t>
  </si>
  <si>
    <t>Mobiles</t>
  </si>
  <si>
    <t>FURNITURE AND FURNISHINGS</t>
  </si>
  <si>
    <t>SHIPPING</t>
  </si>
  <si>
    <t>Shipping Cos owning ships</t>
  </si>
  <si>
    <t>The shipping Cos who book freight on a ship - more like commission agents MLO in truck transportation business</t>
  </si>
  <si>
    <t>TRANSPORTATION AND LOGISTICS</t>
  </si>
  <si>
    <t>Renting of Machinery and Equipments</t>
  </si>
  <si>
    <t>AUTOMOBILES</t>
  </si>
  <si>
    <t>AUTO ANCILLARIES</t>
  </si>
  <si>
    <t>TRAVEL/TOURISM</t>
  </si>
  <si>
    <t>TAXI SERVICE</t>
  </si>
  <si>
    <t>Ride hailing services like Ola, Uber etc</t>
  </si>
  <si>
    <t>Individual taxi operators</t>
  </si>
  <si>
    <t>INFRASTRUCTURE (Incl Other Infra / Urban Development projects)</t>
  </si>
  <si>
    <t>Large Contractors</t>
  </si>
  <si>
    <t xml:space="preserve"> Sub Contractors / MSME Govt Contractors</t>
  </si>
  <si>
    <t>Hirers</t>
  </si>
  <si>
    <t>Manpower Supply Services</t>
  </si>
  <si>
    <t>102 a</t>
  </si>
  <si>
    <t>Wage labour</t>
  </si>
  <si>
    <t xml:space="preserve"> Agencies</t>
  </si>
  <si>
    <t>102 b</t>
  </si>
  <si>
    <t>Office Staffing</t>
  </si>
  <si>
    <t>GST Margin</t>
  </si>
  <si>
    <t>To be populated from GST Margin sheet. Applicable for GST product</t>
  </si>
  <si>
    <t>To be in line with product category and its norms</t>
  </si>
  <si>
    <t>Minimum Turnover</t>
  </si>
  <si>
    <t>LTV as per CGTMSE</t>
  </si>
  <si>
    <t>Loan as per CGTMSE Policy</t>
  </si>
  <si>
    <t>Final Eligibility as per CGTMSE</t>
  </si>
  <si>
    <t>CGTMSE
(LTV+FOIR)</t>
  </si>
  <si>
    <t>Loan Amount - ZCM</t>
  </si>
  <si>
    <t>Loan Amount - ZCH</t>
  </si>
  <si>
    <t>Loan Amount - RCH</t>
  </si>
  <si>
    <t>Sheets to be populated from existing NC CAM</t>
  </si>
  <si>
    <t>NC-RTR</t>
  </si>
  <si>
    <t>Obligation Sheet</t>
  </si>
  <si>
    <t>Details of obligations covered in existing CAM's eligibility sheet</t>
  </si>
  <si>
    <t>Analysis - Debit</t>
  </si>
  <si>
    <t>Analysis - Credit</t>
  </si>
  <si>
    <t>Business Profile</t>
  </si>
  <si>
    <t>ITR</t>
  </si>
  <si>
    <t>ROC</t>
  </si>
  <si>
    <t>KYC</t>
  </si>
  <si>
    <t>If &lt;=85%, then RAAC, otherwise RCH</t>
  </si>
  <si>
    <t>In this case, the eligible EMI will be after substracting the obligations</t>
  </si>
  <si>
    <t>Credit</t>
  </si>
  <si>
    <t>CGTMSE Scorecard</t>
  </si>
  <si>
    <t>Range</t>
  </si>
  <si>
    <t>Scale</t>
  </si>
  <si>
    <t>Value</t>
  </si>
  <si>
    <t>Score</t>
  </si>
  <si>
    <t>Weight</t>
  </si>
  <si>
    <t>Final Score</t>
  </si>
  <si>
    <t>Remarks (Guidelines for Value (Column D))</t>
  </si>
  <si>
    <t>Sales Growth</t>
  </si>
  <si>
    <t>&gt;25%</t>
  </si>
  <si>
    <t>To be populated from Combined ratios Sheet as below:
Formula: (Total Income for Latest Year [Row 8 Column B] / Total Income for Previous Year [Row 8, Column D]) - 1</t>
  </si>
  <si>
    <t>20% - 25%</t>
  </si>
  <si>
    <t>10%-20%</t>
  </si>
  <si>
    <t>0% - 10%</t>
  </si>
  <si>
    <t>&lt;0%</t>
  </si>
  <si>
    <t>Operating Profit Growth</t>
  </si>
  <si>
    <t>To be populated from Combined ratios Sheet as below:
Formula: (PBDIT for Latest Year [Row 16 Column B] / PBDIT for Previous Year [Row 16, Column D]) - 1</t>
  </si>
  <si>
    <t>Actual Cash Profit Growth</t>
  </si>
  <si>
    <t>To be populated from Combined ratios Sheet as below:
Formula: (Actual Cash Profit for Latest Year [Row 29 Column B] / Actual Cash Profit for Previous Year [Row 29, Column D]) - 1</t>
  </si>
  <si>
    <t>Current Ratio</t>
  </si>
  <si>
    <t>&gt;=1.75</t>
  </si>
  <si>
    <t>To be populated from Combined ratios Sheet as below:
Current Assets (Row 54 Column B) / Current Liabilities &amp; Provisions (Row 44 Column B)</t>
  </si>
  <si>
    <t>&gt;=1.25 &lt; 1.75</t>
  </si>
  <si>
    <t>&gt;=1.00 &lt; 1.25</t>
  </si>
  <si>
    <t>&gt;=0.75 &lt; 1.00</t>
  </si>
  <si>
    <t>&lt; 0.75</t>
  </si>
  <si>
    <t>Out Of</t>
  </si>
  <si>
    <t xml:space="preserve">Automation </t>
  </si>
  <si>
    <t>Automation part</t>
  </si>
  <si>
    <t>Financials Existing cam</t>
  </si>
  <si>
    <t>Banking cam through Macros</t>
  </si>
  <si>
    <t>Services</t>
  </si>
  <si>
    <t xml:space="preserve">Banking of </t>
  </si>
  <si>
    <t>Number of Accounts considered</t>
  </si>
  <si>
    <t>Number of Months</t>
  </si>
  <si>
    <t>Credit Summation</t>
  </si>
  <si>
    <t>Exclusions:</t>
  </si>
  <si>
    <t>Number of credits in the Current Account &amp; number of transactions in Savings account</t>
  </si>
  <si>
    <t>AXIS BANK LTD - CORPORATE-CA-9092</t>
  </si>
  <si>
    <t>KARUR VYSYA BANK-SB-6312</t>
  </si>
  <si>
    <t>KARUR VYSYA BANK-SB-355</t>
  </si>
  <si>
    <t>KARUR VYSYA BANK-SB-3813</t>
  </si>
  <si>
    <t>Account 5</t>
  </si>
  <si>
    <t>Current Account</t>
  </si>
  <si>
    <t>Savings Account</t>
  </si>
  <si>
    <t>Sum</t>
  </si>
  <si>
    <t>Net off enties</t>
  </si>
  <si>
    <t>Number of Credits</t>
  </si>
  <si>
    <t>Account 1</t>
  </si>
  <si>
    <t>One</t>
  </si>
  <si>
    <t>Count of Zero</t>
  </si>
  <si>
    <t>Less than 3</t>
  </si>
  <si>
    <t>Sum of Credits</t>
  </si>
  <si>
    <t>Number of Months Credits less than 3/Less than 1(other account)</t>
  </si>
  <si>
    <t>Account 2</t>
  </si>
  <si>
    <t>Two</t>
  </si>
  <si>
    <t>Account 3</t>
  </si>
  <si>
    <t>Three</t>
  </si>
  <si>
    <t>Not Applicable</t>
  </si>
  <si>
    <t>Quarter Minimum 9 credits</t>
  </si>
  <si>
    <t>Cannot be done</t>
  </si>
  <si>
    <t>Approval at Head Secured Credit - one month has nil credits</t>
  </si>
  <si>
    <t>Action</t>
  </si>
  <si>
    <t>ok</t>
  </si>
  <si>
    <t>Allowed</t>
  </si>
  <si>
    <t>Account to Be considred</t>
  </si>
  <si>
    <t>Not Allowed - Sum</t>
  </si>
  <si>
    <t>Allowed - Sum</t>
  </si>
  <si>
    <t>Not Allowed</t>
  </si>
  <si>
    <r>
      <t>Eligibility (</t>
    </r>
    <r>
      <rPr>
        <b/>
        <sz val="11"/>
        <color indexed="9"/>
        <rFont val="Rupee Foradian"/>
        <family val="2"/>
      </rPr>
      <t>`</t>
    </r>
    <r>
      <rPr>
        <b/>
        <sz val="11"/>
        <color indexed="9"/>
        <rFont val="Zurich BT"/>
        <family val="2"/>
      </rPr>
      <t xml:space="preserve"> in lacs) - RAAC</t>
    </r>
  </si>
  <si>
    <r>
      <t>Eligibility (</t>
    </r>
    <r>
      <rPr>
        <b/>
        <sz val="11"/>
        <color indexed="9"/>
        <rFont val="Rupee Foradian"/>
        <family val="2"/>
      </rPr>
      <t>`</t>
    </r>
    <r>
      <rPr>
        <b/>
        <sz val="11"/>
        <color indexed="9"/>
        <rFont val="Zurich BT"/>
        <family val="2"/>
      </rPr>
      <t xml:space="preserve"> in lacs) - ZCH</t>
    </r>
  </si>
  <si>
    <r>
      <t>Eligibility (</t>
    </r>
    <r>
      <rPr>
        <b/>
        <sz val="11"/>
        <color indexed="9"/>
        <rFont val="Rupee Foradian"/>
        <family val="2"/>
      </rPr>
      <t>`</t>
    </r>
    <r>
      <rPr>
        <b/>
        <sz val="11"/>
        <color indexed="9"/>
        <rFont val="Zurich BT"/>
        <family val="2"/>
      </rPr>
      <t xml:space="preserve"> in lacs) - L1</t>
    </r>
  </si>
  <si>
    <t>Eligibility (` in lacs) - Head Secured Credit</t>
  </si>
  <si>
    <r>
      <t>Eligibility (</t>
    </r>
    <r>
      <rPr>
        <b/>
        <sz val="11"/>
        <color indexed="9"/>
        <rFont val="Rupee Foradian"/>
        <family val="2"/>
      </rPr>
      <t>`</t>
    </r>
    <r>
      <rPr>
        <b/>
        <sz val="11"/>
        <color indexed="9"/>
        <rFont val="Zurich BT"/>
        <family val="2"/>
      </rPr>
      <t xml:space="preserve"> in lacs) - Head CPG</t>
    </r>
  </si>
  <si>
    <t>Empower HL &amp; NRP</t>
  </si>
  <si>
    <t>Final Output</t>
  </si>
  <si>
    <r>
      <t>Eligibility (</t>
    </r>
    <r>
      <rPr>
        <b/>
        <sz val="11"/>
        <color indexed="9"/>
        <rFont val="Rupee Foradian"/>
        <family val="2"/>
      </rPr>
      <t>`</t>
    </r>
    <r>
      <rPr>
        <b/>
        <sz val="11"/>
        <color indexed="9"/>
        <rFont val="Zurich BT"/>
        <family val="2"/>
      </rPr>
      <t xml:space="preserve"> in lacs) - ZCM</t>
    </r>
  </si>
  <si>
    <t>Regular Debits Transaction</t>
  </si>
  <si>
    <t>Payment-Track</t>
  </si>
  <si>
    <t>Sl.No</t>
  </si>
  <si>
    <t>Favouring</t>
  </si>
  <si>
    <t>Amount</t>
  </si>
  <si>
    <t>Classification</t>
  </si>
  <si>
    <t>Bank Name</t>
  </si>
  <si>
    <t>Last 12 Months</t>
  </si>
  <si>
    <t>Remarks (Bounces)</t>
  </si>
  <si>
    <t>Count</t>
  </si>
  <si>
    <t>Charges Debit</t>
  </si>
  <si>
    <t>Charges-Track</t>
  </si>
  <si>
    <t>Charges type</t>
  </si>
  <si>
    <t>Last 6 Months</t>
  </si>
  <si>
    <t>Charges</t>
  </si>
  <si>
    <t xml:space="preserve">Inward-Bounce </t>
  </si>
  <si>
    <t>EMI-Bounce</t>
  </si>
  <si>
    <t>Outward-Bounce</t>
  </si>
  <si>
    <t>Minium Balance Charges</t>
  </si>
  <si>
    <t>Penal Interest</t>
  </si>
  <si>
    <t>Bulk Debits</t>
  </si>
  <si>
    <t>BRN-CLG-CHQ PAID TO D PRATEEKJAIN STATE BANK</t>
  </si>
  <si>
    <t>CHQ</t>
  </si>
  <si>
    <t>Consolidated Charges for A/c</t>
  </si>
  <si>
    <t>BANK-CHARGES</t>
  </si>
  <si>
    <t>RTGS DR-ICIC0001075-ark a international-MUMBAI -FORT-KVBLR52021 032581921825</t>
  </si>
  <si>
    <t>INTER-FIRM</t>
  </si>
  <si>
    <t>RTGS DR-ICIC0001075-ark a international-MUMBAI -FORT-KVBLR52021 032681941813</t>
  </si>
  <si>
    <t>RTGS DR-ICIC0001075-ark a international-MUMBAI -FORT-KVBLR52021 032781991402</t>
  </si>
  <si>
    <t>RTGS DR-ICIC0001075-ark a intemational-MUMBAI -FORT-KVBLR52021 032882006408</t>
  </si>
  <si>
    <t>RTGS DR-ICIC0001075-ark a interaalional-MUMBAI -FORT-KVBLR52021 090594133073</t>
  </si>
  <si>
    <t>FT - DR â€œ 130615500016381 3 - SOHANLAL M</t>
  </si>
  <si>
    <t>PROMOTER</t>
  </si>
  <si>
    <t>FT - DR - 130617200000063 2 - NANDA DEVI K</t>
  </si>
  <si>
    <t>FT - DR - 130615500016381 3 - SOHANLAL M</t>
  </si>
  <si>
    <t>FT - DR - 134315500002481 2 - NANDA DEVI K</t>
  </si>
  <si>
    <t>SMS Charges for JUN2021</t>
  </si>
  <si>
    <t>FT - DR - 130615500006078 9 - SOHANLAL M</t>
  </si>
  <si>
    <t>RTGS DR-ICIC0006308-ARAL STONE -V V PURAM-KVBLR52O 21020178293079</t>
  </si>
  <si>
    <t>RTGS</t>
  </si>
  <si>
    <t>RTGS DR-KAEB00001ia-PSI S TONES PVT LTD -V V PURAM-KVBLR52021010676925151</t>
  </si>
  <si>
    <t>RTGS DR-ICIC0001075-ARKA INTERNATIONAL-V V PURAM-KÂ VBLR52021032081600171</t>
  </si>
  <si>
    <t>TAX PAYMENT AHIPM4959M DR - 1615351000000022 - TAX CELL CUSTOMER TAX PAYMEN</t>
  </si>
  <si>
    <t>OTHER-STATUTORY</t>
  </si>
  <si>
    <t>Business Credits</t>
  </si>
  <si>
    <t>Bulk Credits</t>
  </si>
  <si>
    <t>Received from</t>
  </si>
  <si>
    <t>NEFT UKKBK212B55564832/DTWELVE SPACES PRIVATE</t>
  </si>
  <si>
    <t>NEFT</t>
  </si>
  <si>
    <t>NEFT/KKBK212280551284/DTWELVE SPACES PRIVATE</t>
  </si>
  <si>
    <t>NEFT/KKBK21256677707 l/DTWELVE SPACES PRIVATE</t>
  </si>
  <si>
    <t>NEFT/KKBK2I2B55567055/DTWELVE SPACES PRIVATE</t>
  </si>
  <si>
    <t>RTGS CR-INDB0000001-AA RAV GEMS-HARSH S-INDBR220210325O 0334236</t>
  </si>
  <si>
    <t>RTGS CR-ICIC0000011-AR KA INTERNATIONAL102 APARTMENT NO 7 HUD-harsh S-ICICR42021032900 506971</t>
  </si>
  <si>
    <t>RTGS I CR-ICIC0000011-AR KA I INTERNATION AL-har sh . S-ICICR42021073000 526140</t>
  </si>
  <si>
    <t>RTGS CR-ICIC0000011-AR KA INTERNATIONAL-har sh S-ICICR42021082300 538947</t>
  </si>
  <si>
    <t>RTGS CR-KKBK0000958-A RKA INTER NAT I ON AL-HA RSH S-KKBKR520210504 00697970</t>
  </si>
  <si>
    <t>NEFT CR-HDFCOOOOOOL-S SAM ARTHA-Sohanlal Nanda-N052</t>
  </si>
  <si>
    <t>NEFT CR-HDFCOOOOOOl-S SAM ARTHA-Sohanlal Nanda-N066 211431019987</t>
  </si>
  <si>
    <t>NEFT CR-HDFC0000240-S SAMARTHA-SOHANLAL NANDA-N095 211462392422</t>
  </si>
  <si>
    <t>NEFT CR-HDFC0000240-S SAM ARTHA-SOHANLAL HANDA-N125 211494223836</t>
  </si>
  <si>
    <t>NEFT CR-HDFC0000240-S SAM ARTHA-SOHANLAL NANDA-N156 211523450974</t>
  </si>
  <si>
    <t>RTGS CR-ICICOOOOOll-ARKA 650000.00 INTERNATIONAL-sohanlal m- ICICR42021080500509727</t>
  </si>
  <si>
    <t>NEFT CR-KKBK0000958-GLQBA L GRANITES-M SOHAN LAL-KK BKH21020783402</t>
  </si>
  <si>
    <t>NEFT CR-ICIC0SF0002-ARAL STONE-Sohanlal-2388744581 1DC</t>
  </si>
  <si>
    <t>RTGS SOHAN 0958</t>
  </si>
  <si>
    <t>RTGS CR-KKBK0000958-GLOBA L GRANITES-M SOHAN LAL-KK</t>
  </si>
  <si>
    <t>Credit Information Report</t>
  </si>
  <si>
    <t>Applicant</t>
  </si>
  <si>
    <t>Co-Applicant 1</t>
  </si>
  <si>
    <t>Co-Applicant 2</t>
  </si>
  <si>
    <t>Co-Applicant 3</t>
  </si>
  <si>
    <t>Co-Applicant 4</t>
  </si>
  <si>
    <t>Co-Applicant 5</t>
  </si>
  <si>
    <t>Credit Information Company</t>
  </si>
  <si>
    <t>Name</t>
  </si>
  <si>
    <t>DOB/DOI</t>
  </si>
  <si>
    <t>PAN No</t>
  </si>
  <si>
    <t>Credit Score</t>
  </si>
  <si>
    <t>No of Loan Accounts</t>
  </si>
  <si>
    <t>No of Active Loans</t>
  </si>
  <si>
    <t>Principal Outstanding (POS) as per Credit Report</t>
  </si>
  <si>
    <t>High Credit as per Credit Report</t>
  </si>
  <si>
    <t>POS to High Credit (%)</t>
  </si>
  <si>
    <t>Wilful Defaulter\Suit Filed</t>
  </si>
  <si>
    <t>SMA\SUB\DBT\LSS accounts</t>
  </si>
  <si>
    <t>No of Enquiries - No of Loans Sanctioned in Last 30 Days</t>
  </si>
  <si>
    <t>No of Enquiries - No of Loans Sanctioned in Last 3 Months</t>
  </si>
  <si>
    <t>No of Enquiries - No of Loans Sanctioned in Last 6 Months</t>
  </si>
  <si>
    <t>No of Enquiries - No of Loans Sanctioned in Last 12 Months</t>
  </si>
  <si>
    <t>No of Enquiries - No of Loans Sanctioned in Last 24 Months</t>
  </si>
  <si>
    <t>Remarks</t>
  </si>
  <si>
    <t>Loan Details</t>
  </si>
  <si>
    <t>Repayment-Track</t>
  </si>
  <si>
    <t>Sl. No</t>
  </si>
  <si>
    <t>Loan Type - Ownership</t>
  </si>
  <si>
    <t>Financier/Source</t>
  </si>
  <si>
    <t>Loan Credit/ Sanction Amt</t>
  </si>
  <si>
    <t>Loan Debit</t>
  </si>
  <si>
    <t>EMI</t>
  </si>
  <si>
    <t>Start on</t>
  </si>
  <si>
    <t>Outstanding Bal</t>
  </si>
  <si>
    <t>Tenor</t>
  </si>
  <si>
    <t>Tenor Left</t>
  </si>
  <si>
    <t>EMI Obligation</t>
  </si>
  <si>
    <t>Bank Name (EMI running)</t>
  </si>
  <si>
    <t>Remarks (Bounces/ DPD etc)</t>
  </si>
  <si>
    <t>EMI Paid</t>
  </si>
  <si>
    <t>EMI Bounce</t>
  </si>
  <si>
    <t>EMI Amt Paid</t>
  </si>
  <si>
    <t>Avg Previous Day Balance</t>
  </si>
  <si>
    <t>Previous Day Balance</t>
  </si>
  <si>
    <t>Previous Bal</t>
  </si>
  <si>
    <t>NC Reference ID</t>
  </si>
  <si>
    <t>ICICI Reference ID</t>
  </si>
  <si>
    <t>Case Name</t>
  </si>
  <si>
    <t>Name as per PAN document</t>
  </si>
  <si>
    <t>Name as per NSDL database</t>
  </si>
  <si>
    <t>PAN</t>
  </si>
  <si>
    <t>Verified on</t>
  </si>
  <si>
    <t>GSTIN</t>
  </si>
  <si>
    <t>Status</t>
  </si>
  <si>
    <t>Date of Incorporation</t>
  </si>
  <si>
    <t>Vintage</t>
  </si>
  <si>
    <t>Constitution</t>
  </si>
  <si>
    <t>Nature of Business</t>
  </si>
  <si>
    <t>CIN</t>
  </si>
  <si>
    <t>Authorised Capital</t>
  </si>
  <si>
    <t>Paid up Capital</t>
  </si>
  <si>
    <t>Registered Address</t>
  </si>
  <si>
    <t>Ownership Pattern</t>
  </si>
  <si>
    <t>Equity Shareholders</t>
  </si>
  <si>
    <t>No. of Shares</t>
  </si>
  <si>
    <t>% of Holding</t>
  </si>
  <si>
    <t>Others</t>
  </si>
  <si>
    <t>Preference Shareholders</t>
  </si>
  <si>
    <t>Debentures Holders</t>
  </si>
  <si>
    <t>Partnership / Profit Sharing</t>
  </si>
  <si>
    <t>Relation</t>
  </si>
  <si>
    <t>Address</t>
  </si>
  <si>
    <t>Source</t>
  </si>
  <si>
    <t>Credit Rating</t>
  </si>
  <si>
    <t>Agency</t>
  </si>
  <si>
    <t>Report Date:</t>
  </si>
  <si>
    <t>Credit Rating Long term:</t>
  </si>
  <si>
    <t>Credit Rating Short term:</t>
  </si>
  <si>
    <t>Rating Rationale</t>
  </si>
  <si>
    <t>As per documents uploaded by ICICI</t>
  </si>
  <si>
    <t>CA Membership</t>
  </si>
  <si>
    <t>Name as per document</t>
  </si>
  <si>
    <t>CA Membership No.</t>
  </si>
  <si>
    <t>Name as per ICAI database</t>
  </si>
  <si>
    <t>Location</t>
  </si>
  <si>
    <t>ITR-Verification</t>
  </si>
  <si>
    <t>Year</t>
  </si>
  <si>
    <t>Acknowledgement Number</t>
  </si>
  <si>
    <t>Filed On</t>
  </si>
  <si>
    <t>Verified On</t>
  </si>
  <si>
    <t>Company Profile</t>
  </si>
  <si>
    <t xml:space="preserve">CIN </t>
  </si>
  <si>
    <t>Company Name</t>
  </si>
  <si>
    <t>ROC Code</t>
  </si>
  <si>
    <t>Registration Number</t>
  </si>
  <si>
    <t>Company Category</t>
  </si>
  <si>
    <t>Company SubCategory</t>
  </si>
  <si>
    <t xml:space="preserve">Class of Company </t>
  </si>
  <si>
    <t>Authorised Capital (Rs)</t>
  </si>
  <si>
    <t>Paid up Capital (Rs)</t>
  </si>
  <si>
    <t>Number of Members(If Co. w/o Share Capital)</t>
  </si>
  <si>
    <t>Vintage:</t>
  </si>
  <si>
    <t xml:space="preserve">Registered Address </t>
  </si>
  <si>
    <t>Address other than R/o where all or any books of account and papers are maintained</t>
  </si>
  <si>
    <t>Email Id</t>
  </si>
  <si>
    <t>Whether Listed or not</t>
  </si>
  <si>
    <t>ACTIVE compliance</t>
  </si>
  <si>
    <t>Suspended at stock exchange</t>
  </si>
  <si>
    <t>Date of last AGM</t>
  </si>
  <si>
    <t>Date of Balance Sheet</t>
  </si>
  <si>
    <t>Company Status(for efiling)</t>
  </si>
  <si>
    <t>Active Loans</t>
  </si>
  <si>
    <t>Closed Loans</t>
  </si>
  <si>
    <t>Charges Registered</t>
  </si>
  <si>
    <t>SRN</t>
  </si>
  <si>
    <t>Charge Id</t>
  </si>
  <si>
    <t>Charge Holder Name</t>
  </si>
  <si>
    <t>Date of Creation</t>
  </si>
  <si>
    <t>Date of Modification</t>
  </si>
  <si>
    <t>Date of Satisfaction</t>
  </si>
  <si>
    <t>Signatory / Director Details</t>
  </si>
  <si>
    <t>DIN</t>
  </si>
  <si>
    <t>Position</t>
  </si>
  <si>
    <t>Registration Date</t>
  </si>
  <si>
    <t>DSC Registered</t>
  </si>
  <si>
    <t>Expiry Date</t>
  </si>
  <si>
    <t>Associated Companies</t>
  </si>
  <si>
    <t>Goods &amp; Service Tax</t>
  </si>
  <si>
    <t>GSTIN/UIN</t>
  </si>
  <si>
    <t>Legal Name of Business</t>
  </si>
  <si>
    <t>Trade Name</t>
  </si>
  <si>
    <t>Effective Date of registration</t>
  </si>
  <si>
    <t>Constitution of Business</t>
  </si>
  <si>
    <t>GSTIN / UIN Status</t>
  </si>
  <si>
    <t>Taxpayer Type</t>
  </si>
  <si>
    <t>Principal Place of Business</t>
  </si>
  <si>
    <t>Administrative Office</t>
  </si>
  <si>
    <t>Other Office</t>
  </si>
  <si>
    <t>Effective Date of Cancellation</t>
  </si>
  <si>
    <t>Return Type</t>
  </si>
  <si>
    <t>Financial Year</t>
  </si>
  <si>
    <t>Tax Period</t>
  </si>
  <si>
    <t>Date of filing</t>
  </si>
  <si>
    <t>GST Returns</t>
  </si>
  <si>
    <t>Legal Name</t>
  </si>
  <si>
    <t>GST Return Type:</t>
  </si>
  <si>
    <t>GSTIN:</t>
  </si>
  <si>
    <t>Return Type:</t>
  </si>
  <si>
    <t>Month</t>
  </si>
  <si>
    <t>Outward Supplies</t>
  </si>
  <si>
    <t xml:space="preserve">Total </t>
  </si>
  <si>
    <t>Taxable</t>
  </si>
  <si>
    <t>Zero Rated</t>
  </si>
  <si>
    <t>Nil Rated / Exempted</t>
  </si>
  <si>
    <t>Grand Total</t>
  </si>
  <si>
    <t>Average</t>
  </si>
  <si>
    <t>Individual Verification</t>
  </si>
  <si>
    <t>Firm / Company Name</t>
  </si>
  <si>
    <t>No. of Individuals</t>
  </si>
  <si>
    <t>Individual Name</t>
  </si>
  <si>
    <t>DL</t>
  </si>
  <si>
    <t>Voter ID</t>
  </si>
  <si>
    <t>Document</t>
  </si>
  <si>
    <t>Not Available</t>
  </si>
  <si>
    <t>Name as per Document</t>
  </si>
  <si>
    <t>ID No.</t>
  </si>
  <si>
    <t>Name as per Database</t>
  </si>
  <si>
    <t>DOB / Age</t>
  </si>
  <si>
    <t>Issued Date</t>
  </si>
  <si>
    <t>Total Revenue - 1900</t>
  </si>
  <si>
    <t>Net Profit - 1900</t>
  </si>
  <si>
    <t>-</t>
  </si>
  <si>
    <t>Account 4</t>
  </si>
  <si>
    <t>D- TPCAPFRST IDFC FIRST-510206251</t>
  </si>
  <si>
    <t>EMI 93710839 S937108390151 12209371 839</t>
  </si>
  <si>
    <t>EMI 8158244 S81582440061 122081582 44</t>
  </si>
  <si>
    <t>EMI 117012640 S11701264014 032111701 2640</t>
  </si>
  <si>
    <t>PAID-MICTS-CH-ICICI BANK LTD</t>
  </si>
  <si>
    <t>707/21 EMI 8158244 S81582440131 072181582</t>
  </si>
  <si>
    <t>EMI-DEBIT</t>
  </si>
  <si>
    <t>HDFC BANK LTD-CA-3303</t>
  </si>
  <si>
    <t>No</t>
  </si>
  <si>
    <t>BLANCO STEEL DETAILING SERVICES PVT LTD</t>
  </si>
  <si>
    <t>Bank Statment</t>
  </si>
  <si>
    <t>06858640000050-TPT-PART PAYMENT 906353-T RIMBLE SOLUTIONS INDIA PRIVATE LIMITED</t>
  </si>
  <si>
    <t>TRANSFER</t>
  </si>
  <si>
    <t>SALARY-BLANCO STEEL DETAILING DR 00652 990000118 SALARY TRANSITORY AC MYSORE</t>
  </si>
  <si>
    <t>SALARY-PAID</t>
  </si>
  <si>
    <t>06858640000050-TPT-BLANCO AMC-TRIMBLE SO LUTIONS INDIA PRIVATE LIMITED</t>
  </si>
  <si>
    <t>06858640000050-TPT-907260 BALANCE-TRIMBL E SOLUTIONS INDIA PRIVATE LIMITED</t>
  </si>
  <si>
    <t>MULTIPLE-SALARY-18890109.021.CSV</t>
  </si>
  <si>
    <t>INW 2806211049904547 USD108035.0@73.9</t>
  </si>
  <si>
    <t>FOREX-TRANSFER</t>
  </si>
  <si>
    <t>INW 2003211049902892 USD77215.0@71.85</t>
  </si>
  <si>
    <t>INW 2412201049905712 USD73760.0@72.9048</t>
  </si>
  <si>
    <t>INW 180321I049903419 ISD61040.0@71.8943</t>
  </si>
  <si>
    <t>INW 281021I049904050 USD49810.0@74.55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</si>
</sst>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5" formatCode="&quot;₹&quot;\ #,##0;&quot;₹&quot;\ \-#,##0"/>
    <numFmt numFmtId="164" formatCode="_(* #,##0.00_);_(* \(#,##0.00\);_(* &quot;-&quot;??_);_(@_)"/>
    <numFmt numFmtId="165" formatCode="_(* #,##0_);_(* \(#,##0\);_(* &quot;-&quot;??_);_(@_)"/>
    <numFmt numFmtId="166" formatCode="_(* #,##0.0_);_(* \(#,##0.0\);_(* &quot;-&quot;??_);_(@_)"/>
    <numFmt numFmtId="167" formatCode="#,##0\ ;&quot; (&quot;#,##0\);&quot; -&quot;#\ ;@\ "/>
    <numFmt numFmtId="168" formatCode="#,##0.00\ ;&quot; (&quot;#,##0.00\);&quot; -&quot;#\ ;@\ "/>
    <numFmt numFmtId="169" formatCode="0.000000"/>
    <numFmt numFmtId="170" formatCode="0.0000"/>
    <numFmt numFmtId="171" formatCode="0.0"/>
    <numFmt numFmtId="172" formatCode="0.0%"/>
    <numFmt numFmtId="173" formatCode="mmmm/yyyy"/>
    <numFmt numFmtId="174" formatCode="\ #,##0;\ \-#,##0;\-"/>
    <numFmt numFmtId="175" formatCode="0;;;@"/>
    <numFmt numFmtId="176" formatCode="dd/mmm/yyyy"/>
    <numFmt numFmtId="177" formatCode="General;General;\-"/>
    <numFmt numFmtId="178" formatCode="&quot;₹&quot;\ #,##0;&quot;₹&quot;\ \-#,##0;\-"/>
    <numFmt numFmtId="179" formatCode="yyyy;yyyy;\-"/>
    <numFmt numFmtId="180" formatCode="0%;\-0%;\-"/>
    <numFmt numFmtId="181" formatCode="_-* dd/mm/yyyy\ hh:mm;\-*dd/mm/yyyy\ hh:mm;\-"/>
  </numFmts>
  <fonts count="74">
    <font>
      <sz val="11"/>
      <color theme="1"/>
      <name val="Calibri"/>
      <family val="2"/>
      <scheme val="minor"/>
    </font>
    <font>
      <sz val="11"/>
      <color theme="1"/>
      <name val="Calibri"/>
      <family val="2"/>
      <scheme val="minor"/>
    </font>
    <font>
      <b/>
      <i/>
      <u/>
      <sz val="10"/>
      <color theme="0"/>
      <name val="Zurich BT"/>
      <family val="2"/>
    </font>
    <font>
      <b/>
      <sz val="10"/>
      <color theme="0"/>
      <name val="Zurich BT"/>
      <family val="2"/>
    </font>
    <font>
      <sz val="10"/>
      <color theme="1" tint="0.34998626667073579"/>
      <name val="Zurich BT"/>
      <family val="2"/>
    </font>
    <font>
      <sz val="11"/>
      <name val="Zurich BT"/>
      <family val="2"/>
    </font>
    <font>
      <sz val="10"/>
      <name val="Arial"/>
      <family val="2"/>
    </font>
    <font>
      <b/>
      <sz val="10"/>
      <color theme="1" tint="0.34998626667073579"/>
      <name val="Zurich BT"/>
      <family val="2"/>
    </font>
    <font>
      <sz val="10"/>
      <name val="Zurich BT"/>
      <family val="2"/>
    </font>
    <font>
      <sz val="10"/>
      <color theme="1"/>
      <name val="Calibri"/>
      <family val="2"/>
      <scheme val="minor"/>
    </font>
    <font>
      <sz val="10"/>
      <color theme="1"/>
      <name val="Zurich BT"/>
      <family val="2"/>
    </font>
    <font>
      <b/>
      <sz val="11"/>
      <color theme="1"/>
      <name val="Calibri"/>
      <family val="2"/>
      <scheme val="minor"/>
    </font>
    <font>
      <b/>
      <sz val="11"/>
      <name val="Zurich BT"/>
      <family val="2"/>
    </font>
    <font>
      <b/>
      <sz val="10"/>
      <color indexed="9"/>
      <name val="Zurich BT"/>
      <family val="2"/>
    </font>
    <font>
      <sz val="11"/>
      <color theme="1"/>
      <name val="Zurich BT"/>
      <family val="2"/>
    </font>
    <font>
      <b/>
      <sz val="10"/>
      <color theme="0"/>
      <name val="Zurich BT"/>
      <family val="2"/>
      <charset val="1"/>
    </font>
    <font>
      <u/>
      <sz val="11"/>
      <color theme="10"/>
      <name val="Zurich BT"/>
      <family val="2"/>
    </font>
    <font>
      <b/>
      <sz val="10"/>
      <color theme="1"/>
      <name val="Zurich BT"/>
      <family val="2"/>
    </font>
    <font>
      <b/>
      <sz val="10"/>
      <name val="Zurich BT"/>
      <family val="2"/>
    </font>
    <font>
      <sz val="11"/>
      <color theme="0"/>
      <name val="Calibri"/>
      <family val="2"/>
      <scheme val="minor"/>
    </font>
    <font>
      <b/>
      <sz val="13"/>
      <color indexed="8"/>
      <name val="Arial"/>
      <family val="2"/>
    </font>
    <font>
      <sz val="11"/>
      <name val="Zurich BT"/>
    </font>
    <font>
      <sz val="14"/>
      <name val="Arial"/>
      <family val="2"/>
    </font>
    <font>
      <b/>
      <sz val="10"/>
      <color indexed="8"/>
      <name val="Arial"/>
      <family val="2"/>
    </font>
    <font>
      <b/>
      <sz val="10"/>
      <name val="Arial"/>
      <family val="2"/>
    </font>
    <font>
      <sz val="10"/>
      <color indexed="8"/>
      <name val="Arial"/>
      <family val="2"/>
    </font>
    <font>
      <sz val="9"/>
      <name val="Arial"/>
      <family val="2"/>
    </font>
    <font>
      <b/>
      <sz val="14"/>
      <name val="Arial"/>
      <family val="2"/>
    </font>
    <font>
      <sz val="11"/>
      <name val="Arial"/>
      <family val="2"/>
    </font>
    <font>
      <sz val="8"/>
      <name val="Arial"/>
      <family val="2"/>
    </font>
    <font>
      <b/>
      <sz val="11"/>
      <name val="Arial"/>
      <family val="2"/>
    </font>
    <font>
      <sz val="11"/>
      <name val="Calibri"/>
      <family val="2"/>
      <scheme val="minor"/>
    </font>
    <font>
      <sz val="9"/>
      <color indexed="81"/>
      <name val="Tahoma"/>
      <family val="2"/>
    </font>
    <font>
      <b/>
      <sz val="9"/>
      <color indexed="81"/>
      <name val="Tahoma"/>
      <family val="2"/>
    </font>
    <font>
      <b/>
      <sz val="10.5"/>
      <color theme="0"/>
      <name val="Zurich BT"/>
      <family val="2"/>
    </font>
    <font>
      <b/>
      <sz val="10"/>
      <color rgb="FFFF0000"/>
      <name val="Zurich BT"/>
      <family val="2"/>
    </font>
    <font>
      <sz val="10.5"/>
      <color theme="1"/>
      <name val="Zurich BT"/>
      <family val="2"/>
    </font>
    <font>
      <i/>
      <sz val="10.5"/>
      <color theme="1"/>
      <name val="Zurich BT"/>
      <family val="2"/>
    </font>
    <font>
      <sz val="10"/>
      <color theme="0"/>
      <name val="Zurich BT"/>
      <family val="2"/>
    </font>
    <font>
      <sz val="10"/>
      <color rgb="FF000000"/>
      <name val="Zurich BT"/>
      <family val="2"/>
    </font>
    <font>
      <sz val="10"/>
      <color rgb="FFFF0000"/>
      <name val="Zurich BT"/>
      <family val="2"/>
    </font>
    <font>
      <i/>
      <sz val="11"/>
      <color theme="1"/>
      <name val="Zurich BT"/>
      <family val="2"/>
    </font>
    <font>
      <b/>
      <sz val="10"/>
      <color rgb="FF000000"/>
      <name val="Zurich BT1"/>
    </font>
    <font>
      <sz val="10"/>
      <color rgb="FF000000"/>
      <name val="Zurich BT1"/>
    </font>
    <font>
      <sz val="10"/>
      <color indexed="9"/>
      <name val="Zurich BT"/>
      <family val="2"/>
    </font>
    <font>
      <sz val="11"/>
      <color theme="0"/>
      <name val="Zurich BT"/>
      <family val="2"/>
    </font>
    <font>
      <b/>
      <sz val="11"/>
      <color theme="0"/>
      <name val="Zurich BT"/>
      <family val="2"/>
    </font>
    <font>
      <b/>
      <sz val="11"/>
      <color indexed="9"/>
      <name val="Rupee Foradian"/>
      <family val="2"/>
    </font>
    <font>
      <b/>
      <sz val="11"/>
      <color indexed="9"/>
      <name val="Zurich BT"/>
      <family val="2"/>
    </font>
    <font>
      <sz val="10"/>
      <color theme="0"/>
      <name val="Calibri"/>
      <family val="2"/>
      <scheme val="minor"/>
    </font>
    <font>
      <sz val="13"/>
      <color theme="0"/>
      <name val="Calibri"/>
      <family val="2"/>
      <scheme val="minor"/>
    </font>
    <font>
      <b/>
      <sz val="13"/>
      <color theme="0"/>
      <name val="Arial"/>
      <family val="2"/>
    </font>
    <font>
      <sz val="13"/>
      <color theme="1"/>
      <name val="Calibri"/>
      <family val="2"/>
      <scheme val="minor"/>
    </font>
    <font>
      <b/>
      <sz val="13"/>
      <color theme="0"/>
      <name val="Calibri"/>
      <family val="2"/>
      <scheme val="minor"/>
    </font>
    <font>
      <b/>
      <sz val="10"/>
      <color theme="0"/>
      <name val="Calibri"/>
      <family val="2"/>
      <scheme val="minor"/>
    </font>
    <font>
      <b/>
      <sz val="10"/>
      <color theme="1"/>
      <name val="Calibri"/>
      <family val="2"/>
      <scheme val="minor"/>
    </font>
    <font>
      <b/>
      <sz val="12"/>
      <color theme="1"/>
      <name val="Calibri"/>
      <family val="2"/>
      <scheme val="minor"/>
    </font>
    <font>
      <b/>
      <sz val="14"/>
      <color theme="0"/>
      <name val="Calibri"/>
      <family val="2"/>
      <scheme val="minor"/>
    </font>
    <font>
      <sz val="10"/>
      <name val="Calibri"/>
      <family val="2"/>
      <scheme val="minor"/>
    </font>
    <font>
      <sz val="11"/>
      <color theme="1"/>
      <name val="Arial"/>
      <family val="2"/>
    </font>
    <font>
      <sz val="10"/>
      <name val="MS Sans Serif"/>
      <family val="2"/>
    </font>
    <font>
      <b/>
      <sz val="14"/>
      <color rgb="FFFFFFFF"/>
      <name val="Arial"/>
      <family val="2"/>
    </font>
    <font>
      <sz val="11"/>
      <color rgb="FF333333"/>
      <name val="Arial"/>
      <family val="2"/>
    </font>
    <font>
      <b/>
      <sz val="11"/>
      <color theme="0"/>
      <name val="Arial"/>
      <family val="2"/>
    </font>
    <font>
      <b/>
      <sz val="11"/>
      <color theme="1"/>
      <name val="Arial"/>
      <family val="2"/>
    </font>
    <font>
      <u/>
      <sz val="11"/>
      <color theme="10"/>
      <name val="Calibri"/>
      <family val="2"/>
      <scheme val="minor"/>
    </font>
    <font>
      <b/>
      <sz val="9"/>
      <color theme="1"/>
      <name val="Arial"/>
      <family val="2"/>
    </font>
    <font>
      <sz val="10"/>
      <color theme="1"/>
      <name val="Arial"/>
      <family val="2"/>
    </font>
    <font>
      <b/>
      <sz val="10"/>
      <color theme="1"/>
      <name val="Arial"/>
      <family val="2"/>
    </font>
    <font>
      <b/>
      <sz val="11"/>
      <color rgb="FFFFFFFF"/>
      <name val="Arial"/>
      <family val="2"/>
    </font>
    <font>
      <sz val="11"/>
      <color theme="0"/>
      <name val="Arial"/>
      <family val="2"/>
    </font>
    <font>
      <sz val="10"/>
      <color theme="0"/>
      <name val="Arial"/>
      <family val="2"/>
    </font>
    <font>
      <sz val="9"/>
      <color theme="1"/>
      <name val="Calibri"/>
      <family val="2"/>
      <scheme val="minor"/>
    </font>
    <font>
      <sz val="8"/>
      <name val="Calibri"/>
      <family val="2"/>
      <scheme val="minor"/>
    </font>
  </fonts>
  <fills count="47">
    <fill>
      <patternFill patternType="none"/>
    </fill>
    <fill>
      <patternFill patternType="gray125"/>
    </fill>
    <fill>
      <patternFill patternType="solid">
        <fgColor rgb="FFE77817"/>
        <bgColor indexed="64"/>
      </patternFill>
    </fill>
    <fill>
      <patternFill patternType="solid">
        <fgColor rgb="FF97291E"/>
        <bgColor indexed="64"/>
      </patternFill>
    </fill>
    <fill>
      <patternFill patternType="solid">
        <fgColor theme="2"/>
        <bgColor indexed="64"/>
      </patternFill>
    </fill>
    <fill>
      <patternFill patternType="solid">
        <fgColor rgb="FF053C6D"/>
        <bgColor indexed="64"/>
      </patternFill>
    </fill>
    <fill>
      <patternFill patternType="solid">
        <fgColor rgb="FF002060"/>
        <bgColor indexed="64"/>
      </patternFill>
    </fill>
    <fill>
      <patternFill patternType="solid">
        <fgColor theme="9" tint="0.39997558519241921"/>
        <bgColor indexed="64"/>
      </patternFill>
    </fill>
    <fill>
      <patternFill patternType="solid">
        <fgColor indexed="16"/>
        <bgColor indexed="64"/>
      </patternFill>
    </fill>
    <fill>
      <patternFill patternType="solid">
        <fgColor rgb="FFC00000"/>
        <bgColor indexed="64"/>
      </patternFill>
    </fill>
    <fill>
      <patternFill patternType="solid">
        <fgColor rgb="FF8A0000"/>
        <bgColor indexed="64"/>
      </patternFill>
    </fill>
    <fill>
      <patternFill patternType="solid">
        <fgColor rgb="FF8000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indexed="22"/>
        <bgColor indexed="31"/>
      </patternFill>
    </fill>
    <fill>
      <patternFill patternType="solid">
        <fgColor rgb="FFC00000"/>
        <bgColor indexed="31"/>
      </patternFill>
    </fill>
    <fill>
      <patternFill patternType="solid">
        <fgColor indexed="47"/>
        <bgColor indexed="22"/>
      </patternFill>
    </fill>
    <fill>
      <patternFill patternType="solid">
        <fgColor theme="9" tint="0.39997558519241921"/>
        <bgColor indexed="31"/>
      </patternFill>
    </fill>
    <fill>
      <patternFill patternType="solid">
        <fgColor indexed="31"/>
        <bgColor indexed="22"/>
      </patternFill>
    </fill>
    <fill>
      <patternFill patternType="solid">
        <fgColor indexed="47"/>
        <bgColor indexed="31"/>
      </patternFill>
    </fill>
    <fill>
      <patternFill patternType="solid">
        <fgColor theme="0" tint="-0.14999847407452621"/>
        <bgColor indexed="22"/>
      </patternFill>
    </fill>
    <fill>
      <patternFill patternType="solid">
        <fgColor theme="0"/>
        <bgColor indexed="31"/>
      </patternFill>
    </fill>
    <fill>
      <patternFill patternType="solid">
        <fgColor rgb="FF002060"/>
        <bgColor indexed="31"/>
      </patternFill>
    </fill>
    <fill>
      <patternFill patternType="solid">
        <fgColor theme="7" tint="0.79998168889431442"/>
        <bgColor indexed="64"/>
      </patternFill>
    </fill>
    <fill>
      <patternFill patternType="solid">
        <fgColor indexed="9"/>
        <bgColor indexed="26"/>
      </patternFill>
    </fill>
    <fill>
      <patternFill patternType="solid">
        <fgColor indexed="55"/>
        <bgColor indexed="23"/>
      </patternFill>
    </fill>
    <fill>
      <patternFill patternType="solid">
        <fgColor theme="0" tint="-0.499984740745262"/>
        <bgColor indexed="34"/>
      </patternFill>
    </fill>
    <fill>
      <patternFill patternType="solid">
        <fgColor theme="0" tint="-0.499984740745262"/>
        <bgColor indexed="64"/>
      </patternFill>
    </fill>
    <fill>
      <patternFill patternType="solid">
        <fgColor theme="8"/>
        <bgColor theme="8"/>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7"/>
        <bgColor indexed="64"/>
      </patternFill>
    </fill>
    <fill>
      <patternFill patternType="solid">
        <fgColor rgb="FFFFFFA6"/>
        <bgColor indexed="64"/>
      </patternFill>
    </fill>
    <fill>
      <patternFill patternType="solid">
        <fgColor rgb="FF729FCF"/>
        <bgColor indexed="64"/>
      </patternFill>
    </fill>
    <fill>
      <patternFill patternType="solid">
        <fgColor theme="0"/>
        <bgColor indexed="64"/>
      </patternFill>
    </fill>
    <fill>
      <patternFill patternType="solid">
        <fgColor rgb="FFFFFF00"/>
        <bgColor indexed="64"/>
      </patternFill>
    </fill>
    <fill>
      <patternFill patternType="solid">
        <fgColor theme="4" tint="-0.499984740745262"/>
        <bgColor indexed="64"/>
      </patternFill>
    </fill>
    <fill>
      <patternFill patternType="solid">
        <fgColor theme="9" tint="0.39994506668294322"/>
        <bgColor indexed="64"/>
      </patternFill>
    </fill>
    <fill>
      <patternFill patternType="solid">
        <fgColor rgb="FFB4C6E7"/>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EDF1F9"/>
        <bgColor indexed="64"/>
      </patternFill>
    </fill>
    <fill>
      <patternFill patternType="solid">
        <fgColor theme="4" tint="0.79998168889431442"/>
        <bgColor indexed="64"/>
      </patternFill>
    </fill>
    <fill>
      <patternFill patternType="solid">
        <fgColor theme="4" tint="0.39997558519241921"/>
        <bgColor indexed="64"/>
      </patternFill>
    </fill>
  </fills>
  <borders count="126">
    <border>
      <left/>
      <right/>
      <top/>
      <bottom/>
      <diagonal/>
    </border>
    <border>
      <left style="medium">
        <color indexed="64"/>
      </left>
      <right/>
      <top/>
      <bottom/>
      <diagonal/>
    </border>
    <border>
      <left style="medium">
        <color indexed="64"/>
      </left>
      <right/>
      <top/>
      <bottom style="double">
        <color theme="0" tint="-0.499984740745262"/>
      </bottom>
      <diagonal/>
    </border>
    <border>
      <left/>
      <right/>
      <top/>
      <bottom style="double">
        <color theme="0" tint="-0.499984740745262"/>
      </bottom>
      <diagonal/>
    </border>
    <border>
      <left style="medium">
        <color indexed="64"/>
      </left>
      <right style="double">
        <color theme="0" tint="-0.499984740745262"/>
      </right>
      <top style="double">
        <color theme="0" tint="-0.499984740745262"/>
      </top>
      <bottom style="double">
        <color theme="0" tint="-0.499984740745262"/>
      </bottom>
      <diagonal/>
    </border>
    <border>
      <left style="double">
        <color theme="0" tint="-0.499984740745262"/>
      </left>
      <right/>
      <top style="double">
        <color theme="0" tint="-0.499984740745262"/>
      </top>
      <bottom style="double">
        <color theme="0" tint="-0.499984740745262"/>
      </bottom>
      <diagonal/>
    </border>
    <border>
      <left style="double">
        <color theme="0" tint="-0.499984740745262"/>
      </left>
      <right/>
      <top style="double">
        <color theme="0" tint="-0.499984740745262"/>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double">
        <color theme="0" tint="-0.499984740745262"/>
      </bottom>
      <diagonal/>
    </border>
    <border>
      <left style="double">
        <color theme="0" tint="-0.499984740745262"/>
      </left>
      <right style="medium">
        <color indexed="64"/>
      </right>
      <top style="double">
        <color theme="0" tint="-0.499984740745262"/>
      </top>
      <bottom style="double">
        <color theme="0" tint="-0.499984740745262"/>
      </bottom>
      <diagonal/>
    </border>
    <border>
      <left style="medium">
        <color indexed="64"/>
      </left>
      <right style="double">
        <color theme="0" tint="-0.499984740745262"/>
      </right>
      <top style="double">
        <color theme="0" tint="-0.499984740745262"/>
      </top>
      <bottom style="medium">
        <color indexed="64"/>
      </bottom>
      <diagonal/>
    </border>
    <border>
      <left style="double">
        <color theme="0" tint="-0.499984740745262"/>
      </left>
      <right/>
      <top style="double">
        <color theme="0" tint="-0.499984740745262"/>
      </top>
      <bottom style="medium">
        <color indexed="64"/>
      </bottom>
      <diagonal/>
    </border>
    <border>
      <left style="double">
        <color theme="0" tint="-0.499984740745262"/>
      </left>
      <right style="medium">
        <color indexed="64"/>
      </right>
      <top style="double">
        <color theme="0" tint="-0.499984740745262"/>
      </top>
      <bottom style="medium">
        <color indexed="64"/>
      </bottom>
      <diagonal/>
    </border>
    <border>
      <left style="medium">
        <color indexed="64"/>
      </left>
      <right style="medium">
        <color indexed="64"/>
      </right>
      <top style="double">
        <color theme="0" tint="-0.499984740745262"/>
      </top>
      <bottom style="double">
        <color theme="0" tint="-0.499984740745262"/>
      </bottom>
      <diagonal/>
    </border>
    <border>
      <left style="medium">
        <color indexed="64"/>
      </left>
      <right/>
      <top style="medium">
        <color indexed="64"/>
      </top>
      <bottom style="double">
        <color theme="0" tint="-0.499984740745262"/>
      </bottom>
      <diagonal/>
    </border>
    <border>
      <left/>
      <right style="medium">
        <color indexed="64"/>
      </right>
      <top style="medium">
        <color indexed="64"/>
      </top>
      <bottom style="double">
        <color theme="0" tint="-0.499984740745262"/>
      </bottom>
      <diagonal/>
    </border>
    <border>
      <left style="medium">
        <color indexed="64"/>
      </left>
      <right/>
      <top style="double">
        <color theme="0" tint="-0.499984740745262"/>
      </top>
      <bottom style="double">
        <color theme="0" tint="-0.499984740745262"/>
      </bottom>
      <diagonal/>
    </border>
    <border>
      <left/>
      <right style="medium">
        <color indexed="64"/>
      </right>
      <top style="double">
        <color theme="0" tint="-0.499984740745262"/>
      </top>
      <bottom style="double">
        <color theme="0" tint="-0.499984740745262"/>
      </bottom>
      <diagonal/>
    </border>
    <border>
      <left style="thin">
        <color indexed="64"/>
      </left>
      <right style="thin">
        <color indexed="64"/>
      </right>
      <top style="thin">
        <color indexed="64"/>
      </top>
      <bottom style="thin">
        <color indexed="64"/>
      </bottom>
      <diagonal/>
    </border>
    <border>
      <left style="medium">
        <color indexed="64"/>
      </left>
      <right style="double">
        <color theme="0" tint="-0.499984740745262"/>
      </right>
      <top/>
      <bottom/>
      <diagonal/>
    </border>
    <border>
      <left/>
      <right/>
      <top style="medium">
        <color indexed="64"/>
      </top>
      <bottom style="double">
        <color theme="0" tint="-0.499984740745262"/>
      </bottom>
      <diagonal/>
    </border>
    <border>
      <left/>
      <right/>
      <top style="double">
        <color theme="0" tint="-0.499984740745262"/>
      </top>
      <bottom style="double">
        <color theme="0" tint="-0.499984740745262"/>
      </bottom>
      <diagonal/>
    </border>
    <border>
      <left style="medium">
        <color indexed="64"/>
      </left>
      <right style="thin">
        <color indexed="64"/>
      </right>
      <top style="thin">
        <color indexed="64"/>
      </top>
      <bottom style="thin">
        <color indexed="64"/>
      </bottom>
      <diagonal/>
    </border>
    <border>
      <left/>
      <right/>
      <top style="double">
        <color theme="0" tint="-0.499984740745262"/>
      </top>
      <bottom/>
      <diagonal/>
    </border>
    <border>
      <left style="double">
        <color theme="0" tint="-0.499984740745262"/>
      </left>
      <right/>
      <top/>
      <bottom/>
      <diagonal/>
    </border>
    <border>
      <left/>
      <right style="medium">
        <color indexed="64"/>
      </right>
      <top style="double">
        <color theme="0" tint="-0.499984740745262"/>
      </top>
      <bottom style="medium">
        <color indexed="64"/>
      </bottom>
      <diagonal/>
    </border>
    <border>
      <left/>
      <right style="double">
        <color theme="0" tint="-0.499984740745262"/>
      </right>
      <top style="double">
        <color theme="0" tint="-0.499984740745262"/>
      </top>
      <bottom style="double">
        <color theme="0" tint="-0.499984740745262"/>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8"/>
      </left>
      <right style="thin">
        <color indexed="8"/>
      </right>
      <top style="thin">
        <color indexed="8"/>
      </top>
      <bottom style="thin">
        <color indexed="8"/>
      </bottom>
      <diagonal/>
    </border>
    <border>
      <left style="medium">
        <color indexed="64"/>
      </left>
      <right/>
      <top/>
      <bottom style="medium">
        <color indexed="64"/>
      </bottom>
      <diagonal/>
    </border>
    <border>
      <left/>
      <right/>
      <top/>
      <bottom style="medium">
        <color indexed="64"/>
      </bottom>
      <diagonal/>
    </border>
    <border>
      <left style="medium">
        <color rgb="FF000000"/>
      </left>
      <right style="medium">
        <color rgb="FF000000"/>
      </right>
      <top style="medium">
        <color rgb="FF000000"/>
      </top>
      <bottom style="medium">
        <color rgb="FF000000"/>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style="medium">
        <color rgb="FF000000"/>
      </top>
      <bottom style="medium">
        <color rgb="FF000000"/>
      </bottom>
      <diagonal/>
    </border>
    <border>
      <left style="medium">
        <color indexed="64"/>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style="medium">
        <color indexed="64"/>
      </top>
      <bottom style="medium">
        <color indexed="64"/>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right style="thin">
        <color indexed="64"/>
      </right>
      <top/>
      <bottom/>
      <diagonal/>
    </border>
    <border>
      <left/>
      <right style="medium">
        <color indexed="64"/>
      </right>
      <top style="thin">
        <color indexed="64"/>
      </top>
      <bottom/>
      <diagonal/>
    </border>
    <border>
      <left style="thin">
        <color theme="0"/>
      </left>
      <right style="thin">
        <color theme="0"/>
      </right>
      <top style="thin">
        <color theme="0"/>
      </top>
      <bottom style="thin">
        <color theme="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thin">
        <color indexed="64"/>
      </left>
      <right style="thin">
        <color indexed="64"/>
      </right>
      <top style="medium">
        <color theme="1"/>
      </top>
      <bottom/>
      <diagonal/>
    </border>
    <border>
      <left/>
      <right style="thin">
        <color indexed="64"/>
      </right>
      <top style="thin">
        <color indexed="64"/>
      </top>
      <bottom/>
      <diagonal/>
    </border>
    <border>
      <left style="thin">
        <color theme="1"/>
      </left>
      <right style="thin">
        <color theme="1"/>
      </right>
      <top/>
      <bottom style="thin">
        <color theme="1"/>
      </bottom>
      <diagonal/>
    </border>
    <border>
      <left style="medium">
        <color theme="1"/>
      </left>
      <right style="thin">
        <color indexed="64"/>
      </right>
      <top style="medium">
        <color theme="1"/>
      </top>
      <bottom style="medium">
        <color theme="1"/>
      </bottom>
      <diagonal/>
    </border>
    <border>
      <left style="thin">
        <color indexed="64"/>
      </left>
      <right style="thin">
        <color indexed="64"/>
      </right>
      <top style="medium">
        <color theme="1"/>
      </top>
      <bottom style="medium">
        <color theme="1"/>
      </bottom>
      <diagonal/>
    </border>
    <border>
      <left style="thin">
        <color indexed="64"/>
      </left>
      <right style="medium">
        <color theme="1"/>
      </right>
      <top style="medium">
        <color theme="1"/>
      </top>
      <bottom style="medium">
        <color theme="1"/>
      </bottom>
      <diagonal/>
    </border>
    <border>
      <left style="thin">
        <color indexed="64"/>
      </left>
      <right style="thin">
        <color indexed="64"/>
      </right>
      <top style="medium">
        <color indexed="64"/>
      </top>
      <bottom/>
      <diagonal/>
    </border>
    <border>
      <left style="thin">
        <color theme="0"/>
      </left>
      <right style="thin">
        <color theme="0"/>
      </right>
      <top/>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medium">
        <color indexed="64"/>
      </left>
      <right/>
      <top style="thin">
        <color indexed="64"/>
      </top>
      <bottom style="medium">
        <color indexed="64"/>
      </bottom>
      <diagonal/>
    </border>
    <border>
      <left style="medium">
        <color indexed="64"/>
      </left>
      <right style="thin">
        <color theme="0"/>
      </right>
      <top style="medium">
        <color indexed="64"/>
      </top>
      <bottom style="medium">
        <color indexed="64"/>
      </bottom>
      <diagonal/>
    </border>
    <border>
      <left style="thin">
        <color theme="0"/>
      </left>
      <right style="thin">
        <color theme="0"/>
      </right>
      <top style="medium">
        <color indexed="64"/>
      </top>
      <bottom style="medium">
        <color indexed="64"/>
      </bottom>
      <diagonal/>
    </border>
    <border>
      <left style="thin">
        <color theme="0"/>
      </left>
      <right style="medium">
        <color indexed="64"/>
      </right>
      <top style="medium">
        <color indexed="64"/>
      </top>
      <bottom style="medium">
        <color indexed="64"/>
      </bottom>
      <diagonal/>
    </border>
    <border>
      <left style="thin">
        <color theme="0"/>
      </left>
      <right/>
      <top/>
      <bottom/>
      <diagonal/>
    </border>
    <border>
      <left style="thin">
        <color theme="0"/>
      </left>
      <right style="thin">
        <color theme="0"/>
      </right>
      <top/>
      <bottom style="thin">
        <color theme="0"/>
      </bottom>
      <diagonal/>
    </border>
    <border>
      <left style="medium">
        <color indexed="64"/>
      </left>
      <right style="thin">
        <color indexed="64"/>
      </right>
      <top/>
      <bottom/>
      <diagonal/>
    </border>
    <border>
      <left style="medium">
        <color indexed="64"/>
      </left>
      <right style="thin">
        <color auto="1"/>
      </right>
      <top style="medium">
        <color indexed="64"/>
      </top>
      <bottom/>
      <diagonal/>
    </border>
    <border>
      <left/>
      <right style="medium">
        <color indexed="64"/>
      </right>
      <top/>
      <bottom/>
      <diagonal/>
    </border>
  </borders>
  <cellStyleXfs count="20">
    <xf numFmtId="0" fontId="0" fillId="0" borderId="0"/>
    <xf numFmtId="164" fontId="1" fillId="0" borderId="0" applyFont="0" applyFill="0" applyBorder="0" applyAlignment="0" applyProtection="0"/>
    <xf numFmtId="0" fontId="6" fillId="0" borderId="0"/>
    <xf numFmtId="9" fontId="1" fillId="0" borderId="0" applyFont="0" applyFill="0" applyBorder="0" applyAlignment="0" applyProtection="0"/>
    <xf numFmtId="0" fontId="6" fillId="0" borderId="0"/>
    <xf numFmtId="0" fontId="16" fillId="0" borderId="0" applyNumberFormat="0" applyFill="0" applyBorder="0" applyAlignment="0" applyProtection="0"/>
    <xf numFmtId="0" fontId="21" fillId="0" borderId="0"/>
    <xf numFmtId="168" fontId="5" fillId="0" borderId="0" applyFill="0" applyAlignment="0" applyProtection="0"/>
    <xf numFmtId="168" fontId="5" fillId="0" borderId="0" applyFill="0" applyAlignment="0" applyProtection="0"/>
    <xf numFmtId="0" fontId="5" fillId="0" borderId="0"/>
    <xf numFmtId="0" fontId="1" fillId="0" borderId="0"/>
    <xf numFmtId="9" fontId="6" fillId="0" borderId="0" applyFill="0" applyBorder="0" applyAlignment="0" applyProtection="0"/>
    <xf numFmtId="0" fontId="60" fillId="0" borderId="0"/>
    <xf numFmtId="0" fontId="65" fillId="0" borderId="0" applyNumberFormat="0" applyFill="0" applyBorder="0" applyAlignment="0" applyProtection="0"/>
    <xf numFmtId="9" fontId="1" fillId="0" borderId="0" applyFont="0" applyFill="0" applyBorder="0" applyAlignment="0" applyProtection="0"/>
    <xf numFmtId="0" fontId="1" fillId="0" borderId="0"/>
    <xf numFmtId="0" fontId="6" fillId="0" borderId="0" applyNumberFormat="0" applyFill="0" applyBorder="0" applyAlignment="0" applyProtection="0"/>
    <xf numFmtId="0" fontId="1" fillId="0" borderId="0"/>
    <xf numFmtId="0" fontId="6" fillId="0" borderId="0" applyNumberFormat="0" applyFill="0" applyBorder="0" applyAlignment="0" applyProtection="0"/>
    <xf numFmtId="0" fontId="6" fillId="0" borderId="0"/>
  </cellStyleXfs>
  <cellXfs count="963">
    <xf numFmtId="0" fontId="0" fillId="0" borderId="0" xfId="0"/>
    <xf numFmtId="0" fontId="4" fillId="4" borderId="4" xfId="0" applyFont="1" applyFill="1" applyBorder="1" applyProtection="1"/>
    <xf numFmtId="0" fontId="4" fillId="4" borderId="4" xfId="0" applyFont="1" applyFill="1" applyBorder="1" applyAlignment="1" applyProtection="1">
      <alignment wrapText="1"/>
    </xf>
    <xf numFmtId="0" fontId="3" fillId="3" borderId="2" xfId="0" applyFont="1" applyFill="1" applyBorder="1" applyAlignment="1" applyProtection="1">
      <alignment horizontal="left"/>
    </xf>
    <xf numFmtId="0" fontId="3" fillId="3" borderId="3" xfId="0" applyFont="1" applyFill="1" applyBorder="1" applyAlignment="1" applyProtection="1">
      <alignment horizontal="left"/>
    </xf>
    <xf numFmtId="0" fontId="3" fillId="3" borderId="10" xfId="0" applyFont="1" applyFill="1" applyBorder="1" applyAlignment="1" applyProtection="1">
      <alignment horizontal="left"/>
    </xf>
    <xf numFmtId="0" fontId="4" fillId="4" borderId="12" xfId="0" applyFont="1" applyFill="1" applyBorder="1" applyAlignment="1" applyProtection="1">
      <alignment wrapText="1"/>
    </xf>
    <xf numFmtId="0" fontId="3" fillId="3" borderId="15" xfId="0" applyFont="1" applyFill="1" applyBorder="1" applyAlignment="1" applyProtection="1">
      <alignment wrapText="1"/>
    </xf>
    <xf numFmtId="165" fontId="3" fillId="5" borderId="11" xfId="1" applyNumberFormat="1" applyFont="1" applyFill="1" applyBorder="1" applyAlignment="1" applyProtection="1">
      <alignment horizontal="right"/>
      <protection locked="0"/>
    </xf>
    <xf numFmtId="165" fontId="3" fillId="5" borderId="5" xfId="1" applyNumberFormat="1" applyFont="1" applyFill="1" applyBorder="1" applyAlignment="1" applyProtection="1">
      <protection locked="0"/>
    </xf>
    <xf numFmtId="0" fontId="4" fillId="4" borderId="1" xfId="0" applyFont="1" applyFill="1" applyBorder="1" applyAlignment="1" applyProtection="1">
      <alignment wrapText="1"/>
    </xf>
    <xf numFmtId="0" fontId="3" fillId="3" borderId="2" xfId="0" applyFont="1" applyFill="1" applyBorder="1" applyAlignment="1" applyProtection="1">
      <alignment horizontal="left"/>
    </xf>
    <xf numFmtId="0" fontId="3" fillId="3" borderId="3" xfId="0" applyFont="1" applyFill="1" applyBorder="1" applyAlignment="1" applyProtection="1">
      <alignment horizontal="left"/>
    </xf>
    <xf numFmtId="165" fontId="3" fillId="5" borderId="14" xfId="1" applyNumberFormat="1" applyFont="1" applyFill="1" applyBorder="1" applyAlignment="1" applyProtection="1">
      <alignment horizontal="right"/>
      <protection locked="0"/>
    </xf>
    <xf numFmtId="165" fontId="3" fillId="7" borderId="11" xfId="1" applyNumberFormat="1" applyFont="1" applyFill="1" applyBorder="1" applyAlignment="1" applyProtection="1">
      <alignment horizontal="right"/>
      <protection locked="0"/>
    </xf>
    <xf numFmtId="0" fontId="5" fillId="0" borderId="0" xfId="0" applyFont="1" applyBorder="1" applyProtection="1"/>
    <xf numFmtId="0" fontId="4" fillId="4" borderId="21" xfId="0" applyFont="1" applyFill="1" applyBorder="1" applyAlignment="1" applyProtection="1">
      <alignment wrapText="1"/>
    </xf>
    <xf numFmtId="0" fontId="3" fillId="3" borderId="18" xfId="0" applyFont="1" applyFill="1" applyBorder="1" applyAlignment="1" applyProtection="1">
      <alignment wrapText="1"/>
    </xf>
    <xf numFmtId="0" fontId="3" fillId="3" borderId="19" xfId="0" applyFont="1" applyFill="1" applyBorder="1" applyAlignment="1" applyProtection="1">
      <alignment wrapText="1"/>
    </xf>
    <xf numFmtId="0" fontId="7" fillId="4" borderId="4" xfId="0" applyFont="1" applyFill="1" applyBorder="1" applyAlignment="1" applyProtection="1">
      <alignment wrapText="1"/>
    </xf>
    <xf numFmtId="0" fontId="8" fillId="0" borderId="0" xfId="0" applyFont="1" applyBorder="1" applyProtection="1"/>
    <xf numFmtId="0" fontId="9" fillId="0" borderId="0" xfId="0" applyFont="1"/>
    <xf numFmtId="0" fontId="8" fillId="0" borderId="0" xfId="0" applyFont="1" applyBorder="1" applyAlignment="1" applyProtection="1">
      <alignment wrapText="1"/>
    </xf>
    <xf numFmtId="165" fontId="3" fillId="5" borderId="5" xfId="1" applyNumberFormat="1" applyFont="1" applyFill="1" applyBorder="1" applyAlignment="1" applyProtection="1">
      <alignment horizontal="right"/>
      <protection locked="0"/>
    </xf>
    <xf numFmtId="0" fontId="3" fillId="10" borderId="12" xfId="0" applyFont="1" applyFill="1" applyBorder="1" applyAlignment="1" applyProtection="1">
      <alignment wrapText="1"/>
    </xf>
    <xf numFmtId="165" fontId="3" fillId="10" borderId="11" xfId="1" applyNumberFormat="1" applyFont="1" applyFill="1" applyBorder="1" applyAlignment="1" applyProtection="1">
      <alignment horizontal="right"/>
      <protection locked="0"/>
    </xf>
    <xf numFmtId="0" fontId="3" fillId="11" borderId="20" xfId="2" applyFont="1" applyFill="1" applyBorder="1" applyAlignment="1" applyProtection="1">
      <alignment horizontal="left" wrapText="1"/>
    </xf>
    <xf numFmtId="0" fontId="0" fillId="0" borderId="1" xfId="0" applyBorder="1" applyAlignment="1"/>
    <xf numFmtId="165" fontId="3" fillId="5" borderId="26" xfId="1" applyNumberFormat="1" applyFont="1" applyFill="1" applyBorder="1" applyAlignment="1" applyProtection="1">
      <protection locked="0"/>
    </xf>
    <xf numFmtId="166" fontId="3" fillId="5" borderId="11" xfId="1" applyNumberFormat="1" applyFont="1" applyFill="1" applyBorder="1" applyAlignment="1" applyProtection="1">
      <alignment horizontal="right"/>
      <protection locked="0"/>
    </xf>
    <xf numFmtId="164" fontId="3" fillId="5" borderId="11" xfId="1" applyNumberFormat="1" applyFont="1" applyFill="1" applyBorder="1" applyAlignment="1" applyProtection="1">
      <alignment horizontal="right"/>
      <protection locked="0"/>
    </xf>
    <xf numFmtId="165" fontId="3" fillId="5" borderId="11" xfId="1" applyNumberFormat="1" applyFont="1" applyFill="1" applyBorder="1" applyAlignment="1" applyProtection="1">
      <alignment horizontal="left" wrapText="1"/>
      <protection locked="0"/>
    </xf>
    <xf numFmtId="165" fontId="3" fillId="7" borderId="14" xfId="1" applyNumberFormat="1" applyFont="1" applyFill="1" applyBorder="1" applyAlignment="1" applyProtection="1">
      <alignment horizontal="right"/>
      <protection locked="0"/>
    </xf>
    <xf numFmtId="0" fontId="3" fillId="10" borderId="4" xfId="0" applyFont="1" applyFill="1" applyBorder="1" applyAlignment="1" applyProtection="1">
      <alignment wrapText="1"/>
    </xf>
    <xf numFmtId="0" fontId="0" fillId="10" borderId="0" xfId="0" applyFill="1"/>
    <xf numFmtId="0" fontId="7" fillId="4" borderId="12" xfId="0" applyFont="1" applyFill="1" applyBorder="1" applyAlignment="1" applyProtection="1">
      <alignment wrapText="1"/>
    </xf>
    <xf numFmtId="165" fontId="3" fillId="10" borderId="5" xfId="1" applyNumberFormat="1" applyFont="1" applyFill="1" applyBorder="1" applyAlignment="1" applyProtection="1">
      <alignment horizontal="center"/>
      <protection locked="0"/>
    </xf>
    <xf numFmtId="165" fontId="3" fillId="10" borderId="19" xfId="1" applyNumberFormat="1" applyFont="1" applyFill="1" applyBorder="1" applyAlignment="1" applyProtection="1">
      <alignment horizontal="center"/>
      <protection locked="0"/>
    </xf>
    <xf numFmtId="0" fontId="3" fillId="14" borderId="18" xfId="0" applyFont="1" applyFill="1" applyBorder="1" applyAlignment="1" applyProtection="1">
      <alignment wrapText="1"/>
    </xf>
    <xf numFmtId="0" fontId="5" fillId="7" borderId="20" xfId="0" applyFont="1" applyFill="1" applyBorder="1" applyAlignment="1" applyProtection="1">
      <alignment horizontal="center"/>
      <protection locked="0"/>
    </xf>
    <xf numFmtId="0" fontId="0" fillId="0" borderId="0" xfId="0" applyAlignment="1">
      <alignment wrapText="1"/>
    </xf>
    <xf numFmtId="0" fontId="14" fillId="0" borderId="0" xfId="0" applyFont="1"/>
    <xf numFmtId="0" fontId="5" fillId="7" borderId="52" xfId="0" applyFont="1" applyFill="1" applyBorder="1" applyAlignment="1" applyProtection="1">
      <alignment horizontal="center"/>
      <protection locked="0"/>
    </xf>
    <xf numFmtId="0" fontId="3" fillId="11" borderId="41" xfId="2" applyFont="1" applyFill="1" applyBorder="1" applyAlignment="1" applyProtection="1">
      <alignment wrapText="1"/>
    </xf>
    <xf numFmtId="0" fontId="11" fillId="0" borderId="0" xfId="0" applyFont="1"/>
    <xf numFmtId="0" fontId="0" fillId="0" borderId="20" xfId="0" applyBorder="1"/>
    <xf numFmtId="3" fontId="15" fillId="16" borderId="49" xfId="0" applyNumberFormat="1" applyFont="1" applyFill="1" applyBorder="1" applyAlignment="1" applyProtection="1">
      <alignment horizontal="center" wrapText="1"/>
      <protection locked="0"/>
    </xf>
    <xf numFmtId="3" fontId="15" fillId="16" borderId="50" xfId="0" applyNumberFormat="1" applyFont="1" applyFill="1" applyBorder="1" applyAlignment="1" applyProtection="1">
      <alignment horizontal="center" wrapText="1"/>
      <protection locked="0"/>
    </xf>
    <xf numFmtId="3" fontId="15" fillId="16" borderId="51" xfId="0" applyNumberFormat="1" applyFont="1" applyFill="1" applyBorder="1" applyAlignment="1" applyProtection="1">
      <alignment horizontal="center" wrapText="1"/>
      <protection locked="0"/>
    </xf>
    <xf numFmtId="0" fontId="0" fillId="0" borderId="24" xfId="0" applyBorder="1"/>
    <xf numFmtId="0" fontId="0" fillId="0" borderId="52" xfId="0" applyBorder="1"/>
    <xf numFmtId="0" fontId="0" fillId="0" borderId="41" xfId="0" applyBorder="1"/>
    <xf numFmtId="0" fontId="0" fillId="0" borderId="42" xfId="0" applyBorder="1"/>
    <xf numFmtId="0" fontId="0" fillId="0" borderId="55" xfId="0" applyBorder="1"/>
    <xf numFmtId="0" fontId="3" fillId="9" borderId="24" xfId="0" applyFont="1" applyFill="1" applyBorder="1" applyAlignment="1">
      <alignment wrapText="1"/>
    </xf>
    <xf numFmtId="0" fontId="3" fillId="9" borderId="20" xfId="0" applyFont="1" applyFill="1" applyBorder="1" applyAlignment="1">
      <alignment wrapText="1"/>
    </xf>
    <xf numFmtId="0" fontId="3" fillId="9" borderId="52" xfId="0" applyFont="1" applyFill="1" applyBorder="1" applyAlignment="1">
      <alignment wrapText="1"/>
    </xf>
    <xf numFmtId="0" fontId="10" fillId="0" borderId="59" xfId="0" applyFont="1" applyBorder="1" applyAlignment="1">
      <alignment horizontal="center" vertical="center" wrapText="1"/>
    </xf>
    <xf numFmtId="0" fontId="3" fillId="9" borderId="59" xfId="0" applyFont="1" applyFill="1" applyBorder="1" applyAlignment="1">
      <alignment vertical="center" wrapText="1"/>
    </xf>
    <xf numFmtId="0" fontId="3" fillId="9" borderId="59" xfId="0" applyFont="1" applyFill="1" applyBorder="1" applyAlignment="1">
      <alignment horizontal="center" vertical="center" wrapText="1"/>
    </xf>
    <xf numFmtId="0" fontId="3" fillId="8" borderId="49" xfId="0" applyFont="1" applyFill="1" applyBorder="1" applyAlignment="1" applyProtection="1">
      <alignment wrapText="1"/>
    </xf>
    <xf numFmtId="0" fontId="3" fillId="8" borderId="60" xfId="0" applyFont="1" applyFill="1" applyBorder="1" applyAlignment="1" applyProtection="1">
      <alignment wrapText="1"/>
    </xf>
    <xf numFmtId="165" fontId="3" fillId="10" borderId="14" xfId="1" applyNumberFormat="1" applyFont="1" applyFill="1" applyBorder="1" applyAlignment="1" applyProtection="1">
      <alignment horizontal="right"/>
      <protection locked="0"/>
    </xf>
    <xf numFmtId="0" fontId="3" fillId="9" borderId="63" xfId="0" applyFont="1" applyFill="1" applyBorder="1" applyAlignment="1">
      <alignment horizontal="center" vertical="center" wrapText="1"/>
    </xf>
    <xf numFmtId="0" fontId="3" fillId="9" borderId="64" xfId="0" applyFont="1" applyFill="1" applyBorder="1" applyAlignment="1">
      <alignment horizontal="center" vertical="center" wrapText="1"/>
    </xf>
    <xf numFmtId="0" fontId="3" fillId="9" borderId="65" xfId="0" applyFont="1" applyFill="1" applyBorder="1" applyAlignment="1">
      <alignment horizontal="center" vertical="center" wrapText="1"/>
    </xf>
    <xf numFmtId="167" fontId="12" fillId="15" borderId="56" xfId="1" applyNumberFormat="1" applyFont="1" applyFill="1" applyBorder="1" applyAlignment="1" applyProtection="1">
      <alignment horizontal="center" vertical="top"/>
    </xf>
    <xf numFmtId="167" fontId="12" fillId="18" borderId="56" xfId="1" applyNumberFormat="1" applyFont="1" applyFill="1" applyBorder="1" applyAlignment="1" applyProtection="1">
      <alignment horizontal="center" vertical="top"/>
      <protection locked="0"/>
    </xf>
    <xf numFmtId="167" fontId="12" fillId="19" borderId="56" xfId="1" applyNumberFormat="1" applyFont="1" applyFill="1" applyBorder="1" applyAlignment="1" applyProtection="1">
      <alignment horizontal="center" vertical="top"/>
    </xf>
    <xf numFmtId="9" fontId="12" fillId="19" borderId="56" xfId="1" applyNumberFormat="1" applyFont="1" applyFill="1" applyBorder="1" applyAlignment="1" applyProtection="1">
      <alignment horizontal="center" vertical="top"/>
    </xf>
    <xf numFmtId="167" fontId="12" fillId="19" borderId="56" xfId="1" applyNumberFormat="1" applyFont="1" applyFill="1" applyBorder="1" applyAlignment="1" applyProtection="1">
      <alignment horizontal="center" vertical="top" wrapText="1"/>
    </xf>
    <xf numFmtId="167" fontId="12" fillId="15" borderId="56" xfId="1" applyNumberFormat="1" applyFont="1" applyFill="1" applyBorder="1" applyAlignment="1" applyProtection="1">
      <alignment horizontal="left" vertical="top"/>
    </xf>
    <xf numFmtId="0" fontId="5" fillId="0" borderId="56" xfId="0" applyFont="1" applyBorder="1" applyAlignment="1" applyProtection="1">
      <alignment horizontal="left" wrapText="1"/>
    </xf>
    <xf numFmtId="1" fontId="5" fillId="12" borderId="56" xfId="0" applyNumberFormat="1" applyFont="1" applyFill="1" applyBorder="1" applyAlignment="1" applyProtection="1">
      <alignment horizontal="right" wrapText="1"/>
    </xf>
    <xf numFmtId="167" fontId="5" fillId="21" borderId="56" xfId="1" applyNumberFormat="1" applyFont="1" applyFill="1" applyBorder="1" applyAlignment="1" applyProtection="1">
      <alignment vertical="top"/>
    </xf>
    <xf numFmtId="9" fontId="5" fillId="21" borderId="56" xfId="0" applyNumberFormat="1" applyFont="1" applyFill="1" applyBorder="1" applyAlignment="1" applyProtection="1">
      <alignment horizontal="center" vertical="top" wrapText="1"/>
    </xf>
    <xf numFmtId="167" fontId="5" fillId="21" borderId="56" xfId="0" applyNumberFormat="1" applyFont="1" applyFill="1" applyBorder="1" applyAlignment="1" applyProtection="1">
      <alignment horizontal="right" vertical="top" wrapText="1"/>
    </xf>
    <xf numFmtId="1" fontId="5" fillId="7" borderId="56" xfId="0" applyNumberFormat="1" applyFont="1" applyFill="1" applyBorder="1" applyAlignment="1" applyProtection="1">
      <alignment horizontal="right" wrapText="1"/>
      <protection locked="0"/>
    </xf>
    <xf numFmtId="9" fontId="5" fillId="7" borderId="56" xfId="1" applyNumberFormat="1" applyFont="1" applyFill="1" applyBorder="1" applyAlignment="1" applyProtection="1">
      <alignment horizontal="center" vertical="top"/>
      <protection locked="0"/>
    </xf>
    <xf numFmtId="1" fontId="5" fillId="7" borderId="56" xfId="0" applyNumberFormat="1" applyFont="1" applyFill="1" applyBorder="1" applyAlignment="1" applyProtection="1">
      <alignment horizontal="left" wrapText="1"/>
      <protection locked="0"/>
    </xf>
    <xf numFmtId="167" fontId="8" fillId="0" borderId="56" xfId="0" applyNumberFormat="1" applyFont="1" applyFill="1" applyBorder="1" applyAlignment="1" applyProtection="1">
      <alignment horizontal="left"/>
    </xf>
    <xf numFmtId="167" fontId="5" fillId="0" borderId="56" xfId="1" applyNumberFormat="1" applyFont="1" applyFill="1" applyBorder="1" applyAlignment="1" applyProtection="1">
      <alignment horizontal="left" vertical="top"/>
    </xf>
    <xf numFmtId="167" fontId="16" fillId="0" borderId="56" xfId="5" applyNumberFormat="1" applyFill="1" applyBorder="1" applyAlignment="1" applyProtection="1">
      <alignment horizontal="left" vertical="top"/>
    </xf>
    <xf numFmtId="164" fontId="5" fillId="12" borderId="56" xfId="1" applyFont="1" applyFill="1" applyBorder="1" applyAlignment="1" applyProtection="1">
      <alignment vertical="top"/>
      <protection locked="0"/>
    </xf>
    <xf numFmtId="167" fontId="5" fillId="0" borderId="56" xfId="1" applyNumberFormat="1" applyFont="1" applyFill="1" applyBorder="1" applyAlignment="1" applyProtection="1">
      <alignment horizontal="left" vertical="top" wrapText="1"/>
    </xf>
    <xf numFmtId="10" fontId="5" fillId="7" borderId="56" xfId="1" applyNumberFormat="1" applyFont="1" applyFill="1" applyBorder="1" applyAlignment="1" applyProtection="1">
      <alignment horizontal="right" vertical="top"/>
      <protection locked="0"/>
    </xf>
    <xf numFmtId="167" fontId="5" fillId="15" borderId="56" xfId="1" applyNumberFormat="1" applyFont="1" applyFill="1" applyBorder="1" applyAlignment="1" applyProtection="1">
      <alignment horizontal="right" vertical="top"/>
    </xf>
    <xf numFmtId="167" fontId="5" fillId="7" borderId="56" xfId="1" applyNumberFormat="1" applyFont="1" applyFill="1" applyBorder="1" applyAlignment="1" applyProtection="1">
      <alignment horizontal="right" vertical="top"/>
      <protection locked="0"/>
    </xf>
    <xf numFmtId="164" fontId="5" fillId="15" borderId="56" xfId="1" applyFont="1" applyFill="1" applyBorder="1" applyAlignment="1" applyProtection="1">
      <alignment horizontal="right" vertical="top"/>
    </xf>
    <xf numFmtId="167" fontId="12" fillId="0" borderId="56" xfId="1" applyNumberFormat="1" applyFont="1" applyFill="1" applyBorder="1" applyAlignment="1" applyProtection="1">
      <alignment horizontal="left" vertical="top"/>
    </xf>
    <xf numFmtId="167" fontId="5" fillId="15" borderId="56" xfId="1" applyNumberFormat="1" applyFont="1" applyFill="1" applyBorder="1" applyAlignment="1" applyProtection="1">
      <alignment vertical="top"/>
    </xf>
    <xf numFmtId="10" fontId="5" fillId="15" borderId="56" xfId="1" applyNumberFormat="1" applyFont="1" applyFill="1" applyBorder="1" applyAlignment="1" applyProtection="1">
      <alignment vertical="top"/>
    </xf>
    <xf numFmtId="164" fontId="5" fillId="7" borderId="56" xfId="1" applyFont="1" applyFill="1" applyBorder="1" applyAlignment="1" applyProtection="1">
      <alignment vertical="top"/>
      <protection locked="0"/>
    </xf>
    <xf numFmtId="10" fontId="8" fillId="15" borderId="56" xfId="3" applyNumberFormat="1" applyFont="1" applyFill="1" applyBorder="1" applyAlignment="1" applyProtection="1">
      <alignment horizontal="right" vertical="top"/>
    </xf>
    <xf numFmtId="164" fontId="5" fillId="0" borderId="56" xfId="1" applyFont="1" applyFill="1" applyBorder="1" applyAlignment="1" applyProtection="1">
      <alignment horizontal="left" vertical="top"/>
    </xf>
    <xf numFmtId="10" fontId="5" fillId="22" borderId="56" xfId="4" applyNumberFormat="1" applyFont="1" applyFill="1" applyBorder="1" applyAlignment="1" applyProtection="1">
      <alignment horizontal="right" vertical="top"/>
    </xf>
    <xf numFmtId="0" fontId="3" fillId="11" borderId="49" xfId="2" applyFont="1" applyFill="1" applyBorder="1" applyAlignment="1" applyProtection="1">
      <alignment wrapText="1"/>
    </xf>
    <xf numFmtId="0" fontId="3" fillId="11" borderId="24" xfId="2" applyFont="1" applyFill="1" applyBorder="1" applyAlignment="1" applyProtection="1">
      <alignment wrapText="1"/>
    </xf>
    <xf numFmtId="0" fontId="3" fillId="6" borderId="20" xfId="2" applyFont="1" applyFill="1" applyBorder="1" applyAlignment="1" applyProtection="1">
      <alignment horizontal="center" wrapText="1"/>
      <protection locked="0"/>
    </xf>
    <xf numFmtId="0" fontId="3" fillId="6" borderId="31" xfId="2" applyFont="1" applyFill="1" applyBorder="1" applyAlignment="1" applyProtection="1">
      <alignment horizontal="center" wrapText="1"/>
      <protection locked="0"/>
    </xf>
    <xf numFmtId="0" fontId="3" fillId="6" borderId="52" xfId="2" applyFont="1" applyFill="1" applyBorder="1" applyAlignment="1" applyProtection="1">
      <alignment horizontal="center" wrapText="1"/>
      <protection locked="0"/>
    </xf>
    <xf numFmtId="0" fontId="3" fillId="11" borderId="20" xfId="2" applyFont="1" applyFill="1" applyBorder="1" applyAlignment="1" applyProtection="1">
      <alignment horizontal="center" wrapText="1"/>
    </xf>
    <xf numFmtId="0" fontId="3" fillId="23" borderId="42" xfId="1" applyNumberFormat="1" applyFont="1" applyFill="1" applyBorder="1" applyAlignment="1" applyProtection="1">
      <alignment horizontal="center" vertical="top"/>
    </xf>
    <xf numFmtId="0" fontId="0" fillId="0" borderId="20" xfId="0" applyBorder="1" applyAlignment="1">
      <alignment wrapText="1"/>
    </xf>
    <xf numFmtId="0" fontId="19" fillId="6" borderId="20" xfId="0" applyFont="1" applyFill="1" applyBorder="1"/>
    <xf numFmtId="0" fontId="19" fillId="6" borderId="20" xfId="0" applyFont="1" applyFill="1" applyBorder="1" applyAlignment="1">
      <alignment wrapText="1"/>
    </xf>
    <xf numFmtId="0" fontId="0" fillId="0" borderId="0" xfId="0" applyBorder="1"/>
    <xf numFmtId="0" fontId="0" fillId="0" borderId="0" xfId="0" applyFill="1" applyBorder="1"/>
    <xf numFmtId="0" fontId="0" fillId="0" borderId="20" xfId="0" applyFill="1" applyBorder="1"/>
    <xf numFmtId="0" fontId="19" fillId="10" borderId="20" xfId="0" applyFont="1" applyFill="1" applyBorder="1"/>
    <xf numFmtId="1" fontId="0" fillId="0" borderId="20" xfId="0" applyNumberFormat="1" applyFill="1" applyBorder="1"/>
    <xf numFmtId="9" fontId="0" fillId="0" borderId="20" xfId="0" applyNumberFormat="1" applyFill="1" applyBorder="1"/>
    <xf numFmtId="1" fontId="0" fillId="24" borderId="20" xfId="0" applyNumberFormat="1" applyFill="1" applyBorder="1"/>
    <xf numFmtId="9" fontId="0" fillId="24" borderId="20" xfId="0" applyNumberFormat="1" applyFill="1" applyBorder="1"/>
    <xf numFmtId="1" fontId="0" fillId="0" borderId="20" xfId="0" applyNumberFormat="1" applyBorder="1"/>
    <xf numFmtId="0" fontId="0" fillId="0" borderId="0" xfId="0" applyBorder="1" applyAlignment="1">
      <alignment horizontal="center" wrapText="1"/>
    </xf>
    <xf numFmtId="0" fontId="22" fillId="0" borderId="0" xfId="6" applyFont="1" applyBorder="1" applyProtection="1"/>
    <xf numFmtId="0" fontId="24" fillId="0" borderId="56" xfId="6" applyNumberFormat="1" applyFont="1" applyBorder="1" applyAlignment="1" applyProtection="1">
      <alignment horizontal="center"/>
      <protection locked="0"/>
    </xf>
    <xf numFmtId="0" fontId="24" fillId="0" borderId="56" xfId="6" applyFont="1" applyBorder="1" applyAlignment="1" applyProtection="1">
      <alignment horizontal="center"/>
    </xf>
    <xf numFmtId="0" fontId="24" fillId="0" borderId="0" xfId="6" applyFont="1" applyFill="1" applyBorder="1" applyAlignment="1" applyProtection="1">
      <alignment horizontal="center"/>
    </xf>
    <xf numFmtId="2" fontId="6" fillId="0" borderId="56" xfId="6" applyNumberFormat="1" applyFont="1" applyBorder="1" applyAlignment="1" applyProtection="1">
      <alignment vertical="center" wrapText="1"/>
    </xf>
    <xf numFmtId="2" fontId="6" fillId="0" borderId="56" xfId="7" applyNumberFormat="1" applyFont="1" applyFill="1" applyBorder="1" applyAlignment="1" applyProtection="1">
      <alignment horizontal="right"/>
      <protection locked="0"/>
    </xf>
    <xf numFmtId="2" fontId="6" fillId="0" borderId="56" xfId="7" applyNumberFormat="1" applyFont="1" applyFill="1" applyBorder="1" applyAlignment="1" applyProtection="1">
      <alignment horizontal="right"/>
    </xf>
    <xf numFmtId="2" fontId="6" fillId="0" borderId="56" xfId="8" applyNumberFormat="1" applyFont="1" applyFill="1" applyBorder="1" applyAlignment="1" applyProtection="1">
      <alignment horizontal="right"/>
      <protection locked="0"/>
    </xf>
    <xf numFmtId="0" fontId="6" fillId="0" borderId="0" xfId="6" applyFont="1" applyFill="1" applyBorder="1" applyAlignment="1" applyProtection="1">
      <alignment horizontal="left"/>
    </xf>
    <xf numFmtId="2" fontId="6" fillId="0" borderId="56" xfId="6" applyNumberFormat="1" applyFont="1" applyBorder="1" applyAlignment="1" applyProtection="1">
      <alignment horizontal="left" wrapText="1"/>
    </xf>
    <xf numFmtId="2" fontId="24" fillId="15" borderId="56" xfId="6" applyNumberFormat="1" applyFont="1" applyFill="1" applyBorder="1" applyAlignment="1" applyProtection="1">
      <alignment wrapText="1"/>
    </xf>
    <xf numFmtId="2" fontId="24" fillId="15" borderId="56" xfId="7" applyNumberFormat="1" applyFont="1" applyFill="1" applyBorder="1" applyAlignment="1" applyProtection="1">
      <alignment horizontal="right"/>
    </xf>
    <xf numFmtId="0" fontId="24" fillId="15" borderId="56" xfId="7" applyNumberFormat="1" applyFont="1" applyFill="1" applyBorder="1" applyAlignment="1" applyProtection="1">
      <alignment horizontal="right" vertical="center" wrapText="1"/>
      <protection locked="0"/>
    </xf>
    <xf numFmtId="2" fontId="24" fillId="15" borderId="56" xfId="7" applyNumberFormat="1" applyFont="1" applyFill="1" applyBorder="1" applyAlignment="1" applyProtection="1">
      <alignment horizontal="center"/>
    </xf>
    <xf numFmtId="0" fontId="24" fillId="15" borderId="68" xfId="7" applyNumberFormat="1" applyFont="1" applyFill="1" applyBorder="1" applyAlignment="1" applyProtection="1">
      <alignment horizontal="right" vertical="center" wrapText="1"/>
      <protection locked="0"/>
    </xf>
    <xf numFmtId="2" fontId="6" fillId="0" borderId="56" xfId="6" applyNumberFormat="1" applyFont="1" applyFill="1" applyBorder="1" applyAlignment="1" applyProtection="1">
      <alignment wrapText="1"/>
    </xf>
    <xf numFmtId="2" fontId="6" fillId="0" borderId="68" xfId="7" applyNumberFormat="1" applyFont="1" applyFill="1" applyBorder="1" applyAlignment="1" applyProtection="1">
      <alignment horizontal="right"/>
    </xf>
    <xf numFmtId="0" fontId="6" fillId="0" borderId="0" xfId="6" applyFont="1" applyBorder="1" applyProtection="1"/>
    <xf numFmtId="2" fontId="25" fillId="15" borderId="56" xfId="6" applyNumberFormat="1" applyFont="1" applyFill="1" applyBorder="1" applyAlignment="1" applyProtection="1">
      <alignment wrapText="1"/>
    </xf>
    <xf numFmtId="2" fontId="23" fillId="15" borderId="56" xfId="7" applyNumberFormat="1" applyFont="1" applyFill="1" applyBorder="1" applyAlignment="1" applyProtection="1">
      <alignment horizontal="right"/>
    </xf>
    <xf numFmtId="2" fontId="25" fillId="25" borderId="56" xfId="6" applyNumberFormat="1" applyFont="1" applyFill="1" applyBorder="1" applyAlignment="1" applyProtection="1">
      <alignment wrapText="1"/>
    </xf>
    <xf numFmtId="2" fontId="6" fillId="0" borderId="56" xfId="6" applyNumberFormat="1" applyFont="1" applyBorder="1" applyAlignment="1" applyProtection="1">
      <alignment wrapText="1"/>
    </xf>
    <xf numFmtId="0" fontId="22" fillId="0" borderId="0" xfId="6" applyFont="1" applyFill="1" applyBorder="1" applyProtection="1"/>
    <xf numFmtId="2" fontId="6" fillId="15" borderId="56" xfId="6" applyNumberFormat="1" applyFont="1" applyFill="1" applyBorder="1" applyAlignment="1" applyProtection="1">
      <alignment wrapText="1"/>
    </xf>
    <xf numFmtId="2" fontId="6" fillId="15" borderId="56" xfId="7" applyNumberFormat="1" applyFont="1" applyFill="1" applyBorder="1" applyAlignment="1" applyProtection="1">
      <alignment horizontal="right"/>
    </xf>
    <xf numFmtId="169" fontId="26" fillId="0" borderId="0" xfId="6" applyNumberFormat="1" applyFont="1" applyBorder="1" applyProtection="1"/>
    <xf numFmtId="2" fontId="24" fillId="15" borderId="56" xfId="6" applyNumberFormat="1" applyFont="1" applyFill="1" applyBorder="1" applyAlignment="1" applyProtection="1">
      <alignment horizontal="left" wrapText="1"/>
    </xf>
    <xf numFmtId="2" fontId="24" fillId="0" borderId="56" xfId="7" applyNumberFormat="1" applyFont="1" applyFill="1" applyBorder="1" applyAlignment="1" applyProtection="1">
      <alignment horizontal="right"/>
    </xf>
    <xf numFmtId="2" fontId="22" fillId="0" borderId="0" xfId="6" applyNumberFormat="1" applyFont="1" applyBorder="1" applyProtection="1"/>
    <xf numFmtId="2" fontId="6" fillId="25" borderId="56" xfId="6" applyNumberFormat="1" applyFont="1" applyFill="1" applyBorder="1" applyAlignment="1" applyProtection="1">
      <alignment wrapText="1"/>
    </xf>
    <xf numFmtId="2" fontId="24" fillId="15" borderId="56" xfId="6" applyNumberFormat="1" applyFont="1" applyFill="1" applyBorder="1" applyProtection="1"/>
    <xf numFmtId="2" fontId="24" fillId="15" borderId="56" xfId="6" applyNumberFormat="1" applyFont="1" applyFill="1" applyBorder="1" applyAlignment="1" applyProtection="1">
      <alignment horizontal="right"/>
    </xf>
    <xf numFmtId="2" fontId="24" fillId="0" borderId="68" xfId="7" applyNumberFormat="1" applyFont="1" applyFill="1" applyBorder="1" applyAlignment="1" applyProtection="1">
      <alignment horizontal="right"/>
    </xf>
    <xf numFmtId="170" fontId="22" fillId="0" borderId="0" xfId="6" applyNumberFormat="1" applyFont="1" applyBorder="1" applyProtection="1"/>
    <xf numFmtId="2" fontId="6" fillId="25" borderId="56" xfId="6" applyNumberFormat="1" applyFont="1" applyFill="1" applyBorder="1" applyProtection="1"/>
    <xf numFmtId="2" fontId="6" fillId="25" borderId="56" xfId="6" applyNumberFormat="1" applyFont="1" applyFill="1" applyBorder="1" applyAlignment="1" applyProtection="1">
      <alignment horizontal="center"/>
    </xf>
    <xf numFmtId="2" fontId="6" fillId="25" borderId="56" xfId="7" applyNumberFormat="1" applyFont="1" applyFill="1" applyBorder="1" applyAlignment="1" applyProtection="1">
      <alignment horizontal="center"/>
    </xf>
    <xf numFmtId="0" fontId="6" fillId="25" borderId="0" xfId="6" applyFont="1" applyFill="1" applyBorder="1" applyProtection="1"/>
    <xf numFmtId="0" fontId="23" fillId="15" borderId="56" xfId="6" applyFont="1" applyFill="1" applyBorder="1" applyAlignment="1" applyProtection="1">
      <alignment horizontal="center"/>
    </xf>
    <xf numFmtId="0" fontId="24" fillId="0" borderId="0" xfId="6" applyFont="1" applyBorder="1" applyProtection="1"/>
    <xf numFmtId="0" fontId="23" fillId="15" borderId="56" xfId="6" applyFont="1" applyFill="1" applyBorder="1" applyAlignment="1" applyProtection="1">
      <alignment horizontal="center"/>
      <protection locked="0"/>
    </xf>
    <xf numFmtId="0" fontId="27" fillId="0" borderId="0" xfId="6" applyFont="1" applyBorder="1" applyProtection="1"/>
    <xf numFmtId="0" fontId="6" fillId="0" borderId="56" xfId="6" applyFont="1" applyBorder="1" applyAlignment="1" applyProtection="1">
      <alignment wrapText="1"/>
    </xf>
    <xf numFmtId="0" fontId="24" fillId="15" borderId="56" xfId="6" applyFont="1" applyFill="1" applyBorder="1" applyAlignment="1" applyProtection="1">
      <alignment wrapText="1"/>
    </xf>
    <xf numFmtId="0" fontId="28" fillId="0" borderId="0" xfId="6" applyFont="1" applyBorder="1" applyProtection="1"/>
    <xf numFmtId="4" fontId="22" fillId="0" borderId="0" xfId="6" applyNumberFormat="1" applyFont="1" applyBorder="1" applyProtection="1"/>
    <xf numFmtId="0" fontId="25" fillId="15" borderId="56" xfId="6" applyFont="1" applyFill="1" applyBorder="1" applyAlignment="1" applyProtection="1">
      <alignment wrapText="1"/>
    </xf>
    <xf numFmtId="2" fontId="25" fillId="15" borderId="56" xfId="7" applyNumberFormat="1" applyFont="1" applyFill="1" applyBorder="1" applyAlignment="1" applyProtection="1">
      <alignment horizontal="right"/>
    </xf>
    <xf numFmtId="0" fontId="6" fillId="0" borderId="56" xfId="6" applyFont="1" applyBorder="1" applyAlignment="1" applyProtection="1">
      <alignment horizontal="left" wrapText="1"/>
    </xf>
    <xf numFmtId="0" fontId="24" fillId="26" borderId="56" xfId="6" applyFont="1" applyFill="1" applyBorder="1" applyAlignment="1" applyProtection="1">
      <alignment wrapText="1"/>
    </xf>
    <xf numFmtId="2" fontId="6" fillId="26" borderId="56" xfId="7" applyNumberFormat="1" applyFont="1" applyFill="1" applyBorder="1" applyAlignment="1" applyProtection="1">
      <alignment horizontal="right"/>
    </xf>
    <xf numFmtId="0" fontId="6" fillId="0" borderId="56" xfId="6" applyFont="1" applyFill="1" applyBorder="1" applyAlignment="1" applyProtection="1">
      <alignment wrapText="1"/>
    </xf>
    <xf numFmtId="0" fontId="6" fillId="15" borderId="56" xfId="6" applyFont="1" applyFill="1" applyBorder="1" applyAlignment="1" applyProtection="1">
      <alignment wrapText="1"/>
    </xf>
    <xf numFmtId="0" fontId="29" fillId="0" borderId="0" xfId="6" applyFont="1" applyBorder="1" applyProtection="1"/>
    <xf numFmtId="0" fontId="6" fillId="15" borderId="56" xfId="6" applyFont="1" applyFill="1" applyBorder="1" applyAlignment="1" applyProtection="1">
      <alignment horizontal="left" wrapText="1"/>
    </xf>
    <xf numFmtId="0" fontId="6" fillId="25" borderId="56" xfId="6" applyFont="1" applyFill="1" applyBorder="1" applyAlignment="1" applyProtection="1">
      <alignment horizontal="left" wrapText="1"/>
    </xf>
    <xf numFmtId="0" fontId="24" fillId="26" borderId="56" xfId="6" applyFont="1" applyFill="1" applyBorder="1" applyAlignment="1" applyProtection="1">
      <alignment horizontal="left" wrapText="1"/>
    </xf>
    <xf numFmtId="0" fontId="6" fillId="0" borderId="56" xfId="6" applyFont="1" applyFill="1" applyBorder="1" applyAlignment="1" applyProtection="1">
      <alignment horizontal="left" wrapText="1"/>
    </xf>
    <xf numFmtId="0" fontId="6" fillId="26" borderId="56" xfId="6" applyFont="1" applyFill="1" applyBorder="1" applyAlignment="1" applyProtection="1">
      <alignment horizontal="left" wrapText="1"/>
    </xf>
    <xf numFmtId="0" fontId="6" fillId="26" borderId="56" xfId="6" applyFont="1" applyFill="1" applyBorder="1" applyAlignment="1" applyProtection="1">
      <alignment wrapText="1"/>
    </xf>
    <xf numFmtId="2" fontId="6" fillId="26" borderId="56" xfId="6" applyNumberFormat="1" applyFont="1" applyFill="1" applyBorder="1" applyAlignment="1" applyProtection="1">
      <alignment horizontal="right"/>
    </xf>
    <xf numFmtId="0" fontId="6" fillId="0" borderId="56" xfId="6" applyFont="1" applyBorder="1" applyProtection="1"/>
    <xf numFmtId="168" fontId="6" fillId="0" borderId="56" xfId="7" applyFont="1" applyFill="1" applyBorder="1" applyAlignment="1" applyProtection="1"/>
    <xf numFmtId="168" fontId="6" fillId="12" borderId="56" xfId="7" applyFont="1" applyFill="1" applyBorder="1" applyAlignment="1" applyProtection="1"/>
    <xf numFmtId="168" fontId="6" fillId="0" borderId="69" xfId="7" applyFont="1" applyFill="1" applyBorder="1" applyAlignment="1" applyProtection="1"/>
    <xf numFmtId="168" fontId="6" fillId="0" borderId="68" xfId="7" applyFont="1" applyFill="1" applyBorder="1" applyAlignment="1" applyProtection="1"/>
    <xf numFmtId="168" fontId="6" fillId="12" borderId="56" xfId="7" applyFont="1" applyFill="1" applyBorder="1" applyAlignment="1" applyProtection="1">
      <alignment horizontal="center"/>
    </xf>
    <xf numFmtId="168" fontId="6" fillId="0" borderId="56" xfId="7" applyFont="1" applyFill="1" applyBorder="1" applyAlignment="1" applyProtection="1">
      <alignment horizontal="center"/>
    </xf>
    <xf numFmtId="168" fontId="24" fillId="0" borderId="56" xfId="7" applyFont="1" applyFill="1" applyBorder="1" applyAlignment="1" applyProtection="1"/>
    <xf numFmtId="168" fontId="24" fillId="0" borderId="56" xfId="7" applyFont="1" applyFill="1" applyBorder="1" applyAlignment="1" applyProtection="1">
      <alignment wrapText="1"/>
    </xf>
    <xf numFmtId="168" fontId="24" fillId="12" borderId="56" xfId="7" applyFont="1" applyFill="1" applyBorder="1" applyAlignment="1" applyProtection="1"/>
    <xf numFmtId="0" fontId="30" fillId="0" borderId="0" xfId="6" applyFont="1" applyProtection="1"/>
    <xf numFmtId="0" fontId="28" fillId="0" borderId="0" xfId="6" applyFont="1" applyProtection="1"/>
    <xf numFmtId="168" fontId="6" fillId="0" borderId="0" xfId="6" applyNumberFormat="1" applyFont="1" applyBorder="1" applyProtection="1"/>
    <xf numFmtId="10" fontId="22" fillId="0" borderId="0" xfId="6" applyNumberFormat="1" applyFont="1" applyBorder="1" applyProtection="1"/>
    <xf numFmtId="2" fontId="6" fillId="0" borderId="0" xfId="6" applyNumberFormat="1" applyFont="1" applyBorder="1" applyProtection="1"/>
    <xf numFmtId="0" fontId="30" fillId="0" borderId="0" xfId="6" applyFont="1" applyBorder="1" applyProtection="1"/>
    <xf numFmtId="0" fontId="0" fillId="0" borderId="0" xfId="0" applyAlignment="1">
      <alignment horizontal="center"/>
    </xf>
    <xf numFmtId="0" fontId="19" fillId="6" borderId="20" xfId="0" applyFont="1" applyFill="1" applyBorder="1" applyAlignment="1">
      <alignment horizontal="center"/>
    </xf>
    <xf numFmtId="0" fontId="19" fillId="6" borderId="20" xfId="0" applyFont="1" applyFill="1" applyBorder="1" applyAlignment="1">
      <alignment horizontal="center" wrapText="1"/>
    </xf>
    <xf numFmtId="9" fontId="0" fillId="0" borderId="0" xfId="0" applyNumberFormat="1" applyAlignment="1">
      <alignment horizontal="center"/>
    </xf>
    <xf numFmtId="0" fontId="19" fillId="10" borderId="20" xfId="0" applyFont="1" applyFill="1" applyBorder="1" applyAlignment="1">
      <alignment horizontal="center"/>
    </xf>
    <xf numFmtId="0" fontId="0" fillId="0" borderId="0" xfId="0" quotePrefix="1" applyAlignment="1">
      <alignment horizontal="center"/>
    </xf>
    <xf numFmtId="9" fontId="0" fillId="0" borderId="0" xfId="0" quotePrefix="1" applyNumberFormat="1" applyAlignment="1">
      <alignment horizontal="center"/>
    </xf>
    <xf numFmtId="0" fontId="19" fillId="6" borderId="70" xfId="0" applyFont="1" applyFill="1" applyBorder="1" applyAlignment="1">
      <alignment horizontal="center"/>
    </xf>
    <xf numFmtId="1" fontId="0" fillId="0" borderId="0" xfId="1" applyNumberFormat="1" applyFont="1" applyAlignment="1">
      <alignment horizontal="center"/>
    </xf>
    <xf numFmtId="0" fontId="24" fillId="27" borderId="56" xfId="6" applyFont="1" applyFill="1" applyBorder="1" applyAlignment="1" applyProtection="1">
      <alignment wrapText="1"/>
    </xf>
    <xf numFmtId="2" fontId="24" fillId="27" borderId="56" xfId="7" applyNumberFormat="1" applyFont="1" applyFill="1" applyBorder="1" applyAlignment="1" applyProtection="1">
      <alignment horizontal="right"/>
    </xf>
    <xf numFmtId="2" fontId="24" fillId="28" borderId="56" xfId="7" applyNumberFormat="1" applyFont="1" applyFill="1" applyBorder="1" applyAlignment="1" applyProtection="1">
      <alignment horizontal="right"/>
    </xf>
    <xf numFmtId="2" fontId="24" fillId="27" borderId="56" xfId="6" applyNumberFormat="1" applyFont="1" applyFill="1" applyBorder="1" applyAlignment="1" applyProtection="1">
      <alignment horizontal="right"/>
    </xf>
    <xf numFmtId="0" fontId="18" fillId="7" borderId="5" xfId="0" applyFont="1" applyFill="1" applyBorder="1" applyAlignment="1" applyProtection="1">
      <protection locked="0"/>
    </xf>
    <xf numFmtId="0" fontId="18" fillId="7" borderId="11" xfId="0" applyFont="1" applyFill="1" applyBorder="1" applyAlignment="1" applyProtection="1">
      <protection locked="0"/>
    </xf>
    <xf numFmtId="0" fontId="18" fillId="7" borderId="13" xfId="0" applyFont="1" applyFill="1" applyBorder="1" applyAlignment="1" applyProtection="1">
      <protection locked="0"/>
    </xf>
    <xf numFmtId="0" fontId="18" fillId="7" borderId="14" xfId="0" applyFont="1" applyFill="1" applyBorder="1" applyAlignment="1" applyProtection="1">
      <protection locked="0"/>
    </xf>
    <xf numFmtId="171" fontId="5" fillId="12" borderId="56" xfId="0" applyNumberFormat="1" applyFont="1" applyFill="1" applyBorder="1" applyAlignment="1" applyProtection="1">
      <alignment horizontal="right" wrapText="1"/>
    </xf>
    <xf numFmtId="0" fontId="31" fillId="0" borderId="0" xfId="0" applyFont="1" applyFill="1" applyBorder="1"/>
    <xf numFmtId="0" fontId="31" fillId="0" borderId="0" xfId="0" applyFont="1" applyFill="1" applyBorder="1" applyAlignment="1">
      <alignment horizontal="center"/>
    </xf>
    <xf numFmtId="0" fontId="31" fillId="0" borderId="0" xfId="0" applyFont="1" applyFill="1" applyBorder="1" applyAlignment="1">
      <alignment horizontal="center" wrapText="1"/>
    </xf>
    <xf numFmtId="0" fontId="31" fillId="0" borderId="0" xfId="0" applyFont="1" applyFill="1"/>
    <xf numFmtId="9" fontId="31" fillId="0" borderId="0" xfId="0" applyNumberFormat="1" applyFont="1" applyFill="1" applyBorder="1" applyAlignment="1">
      <alignment horizontal="center"/>
    </xf>
    <xf numFmtId="10" fontId="18" fillId="7" borderId="5" xfId="0" applyNumberFormat="1" applyFont="1" applyFill="1" applyBorder="1" applyAlignment="1" applyProtection="1">
      <protection locked="0"/>
    </xf>
    <xf numFmtId="14" fontId="18" fillId="7" borderId="5" xfId="0" applyNumberFormat="1" applyFont="1" applyFill="1" applyBorder="1" applyAlignment="1" applyProtection="1">
      <protection locked="0"/>
    </xf>
    <xf numFmtId="17" fontId="12" fillId="7" borderId="24" xfId="2" applyNumberFormat="1" applyFont="1" applyFill="1" applyBorder="1" applyAlignment="1" applyProtection="1">
      <alignment horizontal="left" wrapText="1"/>
      <protection locked="0"/>
    </xf>
    <xf numFmtId="0" fontId="4" fillId="4" borderId="4" xfId="0" applyFont="1" applyFill="1" applyBorder="1" applyAlignment="1" applyProtection="1">
      <alignment horizontal="left" wrapText="1"/>
    </xf>
    <xf numFmtId="0" fontId="3" fillId="29" borderId="20" xfId="0" applyFont="1" applyFill="1" applyBorder="1" applyAlignment="1">
      <alignment horizontal="center" vertical="top"/>
    </xf>
    <xf numFmtId="0" fontId="36" fillId="0" borderId="20" xfId="0" applyFont="1" applyBorder="1" applyAlignment="1">
      <alignment horizontal="left" vertical="top"/>
    </xf>
    <xf numFmtId="0" fontId="36" fillId="0" borderId="20" xfId="0" applyFont="1" applyBorder="1" applyAlignment="1">
      <alignment horizontal="left" vertical="top" wrapText="1"/>
    </xf>
    <xf numFmtId="0" fontId="10" fillId="30" borderId="20" xfId="0" applyFont="1" applyFill="1" applyBorder="1" applyAlignment="1">
      <alignment horizontal="right" vertical="top"/>
    </xf>
    <xf numFmtId="0" fontId="10" fillId="0" borderId="20" xfId="0" applyFont="1" applyBorder="1" applyAlignment="1">
      <alignment horizontal="right" vertical="top"/>
    </xf>
    <xf numFmtId="0" fontId="10" fillId="31" borderId="20" xfId="0" applyFont="1" applyFill="1" applyBorder="1" applyAlignment="1">
      <alignment horizontal="right" vertical="top"/>
    </xf>
    <xf numFmtId="9" fontId="0" fillId="0" borderId="20" xfId="3" applyFont="1" applyBorder="1"/>
    <xf numFmtId="0" fontId="10" fillId="9" borderId="20" xfId="0" applyFont="1" applyFill="1" applyBorder="1" applyAlignment="1">
      <alignment horizontal="right" vertical="top"/>
    </xf>
    <xf numFmtId="0" fontId="10" fillId="32" borderId="20" xfId="0" applyFont="1" applyFill="1" applyBorder="1" applyAlignment="1">
      <alignment horizontal="right" vertical="top"/>
    </xf>
    <xf numFmtId="0" fontId="10" fillId="30" borderId="20" xfId="0" applyFont="1" applyFill="1" applyBorder="1" applyAlignment="1">
      <alignment horizontal="right" vertical="top" wrapText="1"/>
    </xf>
    <xf numFmtId="0" fontId="10" fillId="31" borderId="20" xfId="0" applyFont="1" applyFill="1" applyBorder="1" applyAlignment="1">
      <alignment horizontal="right" vertical="top" wrapText="1"/>
    </xf>
    <xf numFmtId="0" fontId="10" fillId="0" borderId="20" xfId="0" applyFont="1" applyBorder="1" applyAlignment="1">
      <alignment horizontal="right"/>
    </xf>
    <xf numFmtId="0" fontId="37" fillId="0" borderId="20" xfId="0" applyFont="1" applyBorder="1" applyAlignment="1">
      <alignment horizontal="right" vertical="top"/>
    </xf>
    <xf numFmtId="0" fontId="37" fillId="0" borderId="20" xfId="0" applyFont="1" applyBorder="1" applyAlignment="1">
      <alignment horizontal="right" vertical="top" wrapText="1"/>
    </xf>
    <xf numFmtId="0" fontId="10" fillId="0" borderId="20" xfId="0" applyFont="1" applyFill="1" applyBorder="1" applyAlignment="1">
      <alignment horizontal="right" vertical="top"/>
    </xf>
    <xf numFmtId="0" fontId="10" fillId="32" borderId="20" xfId="0" applyFont="1" applyFill="1" applyBorder="1" applyAlignment="1">
      <alignment horizontal="right" vertical="top" wrapText="1"/>
    </xf>
    <xf numFmtId="0" fontId="38" fillId="30" borderId="20" xfId="0" applyFont="1" applyFill="1" applyBorder="1" applyAlignment="1">
      <alignment horizontal="right" vertical="top" wrapText="1"/>
    </xf>
    <xf numFmtId="0" fontId="39" fillId="31" borderId="20" xfId="0" applyFont="1" applyFill="1" applyBorder="1" applyAlignment="1">
      <alignment horizontal="right" vertical="top" wrapText="1"/>
    </xf>
    <xf numFmtId="0" fontId="39" fillId="9" borderId="20" xfId="0" applyFont="1" applyFill="1" applyBorder="1" applyAlignment="1">
      <alignment horizontal="right" vertical="top" wrapText="1"/>
    </xf>
    <xf numFmtId="0" fontId="10" fillId="0" borderId="20" xfId="0" applyFont="1" applyFill="1" applyBorder="1" applyAlignment="1">
      <alignment horizontal="right" vertical="top" wrapText="1"/>
    </xf>
    <xf numFmtId="0" fontId="39" fillId="32" borderId="20" xfId="0" applyFont="1" applyFill="1" applyBorder="1" applyAlignment="1">
      <alignment horizontal="right" vertical="top" wrapText="1"/>
    </xf>
    <xf numFmtId="0" fontId="38" fillId="30" borderId="20" xfId="0" applyFont="1" applyFill="1" applyBorder="1" applyAlignment="1">
      <alignment horizontal="right" vertical="top"/>
    </xf>
    <xf numFmtId="0" fontId="38" fillId="31" borderId="20" xfId="0" applyFont="1" applyFill="1" applyBorder="1" applyAlignment="1">
      <alignment horizontal="right" vertical="top"/>
    </xf>
    <xf numFmtId="0" fontId="8" fillId="31" borderId="20" xfId="0" applyFont="1" applyFill="1" applyBorder="1" applyAlignment="1">
      <alignment horizontal="right" vertical="top"/>
    </xf>
    <xf numFmtId="0" fontId="8" fillId="0" borderId="20" xfId="0" applyFont="1" applyBorder="1" applyAlignment="1">
      <alignment horizontal="right" vertical="top"/>
    </xf>
    <xf numFmtId="0" fontId="8" fillId="32" borderId="20" xfId="0" applyFont="1" applyFill="1" applyBorder="1" applyAlignment="1">
      <alignment horizontal="right" vertical="top"/>
    </xf>
    <xf numFmtId="0" fontId="10" fillId="0" borderId="20" xfId="0" applyFont="1" applyBorder="1" applyAlignment="1">
      <alignment horizontal="right" vertical="top" wrapText="1"/>
    </xf>
    <xf numFmtId="0" fontId="37" fillId="0" borderId="20" xfId="0" applyFont="1" applyFill="1" applyBorder="1" applyAlignment="1">
      <alignment horizontal="right" vertical="top"/>
    </xf>
    <xf numFmtId="0" fontId="8" fillId="30" borderId="20" xfId="0" applyFont="1" applyFill="1" applyBorder="1" applyAlignment="1">
      <alignment horizontal="right" vertical="top"/>
    </xf>
    <xf numFmtId="0" fontId="36" fillId="0" borderId="20" xfId="0" applyFont="1" applyBorder="1" applyAlignment="1">
      <alignment vertical="top" wrapText="1"/>
    </xf>
    <xf numFmtId="0" fontId="10" fillId="30" borderId="20" xfId="0" applyFont="1" applyFill="1" applyBorder="1" applyAlignment="1">
      <alignment horizontal="right"/>
    </xf>
    <xf numFmtId="0" fontId="10" fillId="33" borderId="20" xfId="0" applyFont="1" applyFill="1" applyBorder="1" applyAlignment="1">
      <alignment horizontal="right"/>
    </xf>
    <xf numFmtId="0" fontId="10" fillId="33" borderId="20" xfId="0" applyFont="1" applyFill="1" applyBorder="1" applyAlignment="1">
      <alignment horizontal="right" vertical="top" wrapText="1"/>
    </xf>
    <xf numFmtId="0" fontId="36" fillId="0" borderId="0" xfId="0" applyFont="1" applyAlignment="1">
      <alignment horizontal="left" vertical="top"/>
    </xf>
    <xf numFmtId="0" fontId="40" fillId="30" borderId="20" xfId="0" applyFont="1" applyFill="1" applyBorder="1" applyAlignment="1">
      <alignment horizontal="right"/>
    </xf>
    <xf numFmtId="0" fontId="10" fillId="31" borderId="20" xfId="0" applyFont="1" applyFill="1" applyBorder="1" applyAlignment="1">
      <alignment horizontal="right"/>
    </xf>
    <xf numFmtId="0" fontId="10" fillId="32" borderId="20" xfId="0" applyFont="1" applyFill="1" applyBorder="1" applyAlignment="1">
      <alignment horizontal="right"/>
    </xf>
    <xf numFmtId="0" fontId="10" fillId="32" borderId="20" xfId="0" applyFont="1" applyFill="1" applyBorder="1" applyAlignment="1">
      <alignment horizontal="right" wrapText="1"/>
    </xf>
    <xf numFmtId="0" fontId="10" fillId="31" borderId="20" xfId="0" applyFont="1" applyFill="1" applyBorder="1" applyAlignment="1">
      <alignment horizontal="right" wrapText="1"/>
    </xf>
    <xf numFmtId="0" fontId="36" fillId="0" borderId="20" xfId="0" applyFont="1" applyBorder="1" applyAlignment="1">
      <alignment horizontal="left"/>
    </xf>
    <xf numFmtId="0" fontId="14" fillId="0" borderId="20" xfId="0" applyFont="1" applyBorder="1" applyAlignment="1">
      <alignment wrapText="1"/>
    </xf>
    <xf numFmtId="0" fontId="10" fillId="32" borderId="71" xfId="0" applyFont="1" applyFill="1" applyBorder="1" applyAlignment="1">
      <alignment horizontal="right"/>
    </xf>
    <xf numFmtId="0" fontId="10" fillId="0" borderId="71" xfId="0" applyFont="1" applyBorder="1" applyAlignment="1">
      <alignment horizontal="right"/>
    </xf>
    <xf numFmtId="0" fontId="14" fillId="0" borderId="30" xfId="0" applyFont="1" applyBorder="1"/>
    <xf numFmtId="0" fontId="10" fillId="0" borderId="20" xfId="0" applyFont="1" applyFill="1" applyBorder="1" applyAlignment="1">
      <alignment horizontal="right" wrapText="1"/>
    </xf>
    <xf numFmtId="0" fontId="14" fillId="0" borderId="30" xfId="0" applyFont="1" applyBorder="1" applyAlignment="1">
      <alignment vertical="top"/>
    </xf>
    <xf numFmtId="0" fontId="41" fillId="0" borderId="20" xfId="0" applyFont="1" applyBorder="1" applyAlignment="1">
      <alignment horizontal="right"/>
    </xf>
    <xf numFmtId="0" fontId="41" fillId="0" borderId="30" xfId="0" applyFont="1" applyBorder="1" applyAlignment="1">
      <alignment horizontal="right"/>
    </xf>
    <xf numFmtId="0" fontId="41" fillId="0" borderId="20" xfId="0" applyFont="1" applyBorder="1" applyAlignment="1">
      <alignment horizontal="right" vertical="top"/>
    </xf>
    <xf numFmtId="0" fontId="41" fillId="0" borderId="30" xfId="0" applyFont="1" applyBorder="1" applyAlignment="1">
      <alignment horizontal="right" vertical="top"/>
    </xf>
    <xf numFmtId="0" fontId="10" fillId="9" borderId="20" xfId="0" applyFont="1" applyFill="1" applyBorder="1" applyAlignment="1">
      <alignment horizontal="right"/>
    </xf>
    <xf numFmtId="0" fontId="14" fillId="0" borderId="20" xfId="0" applyFont="1" applyBorder="1" applyAlignment="1">
      <alignment horizontal="center" vertical="top"/>
    </xf>
    <xf numFmtId="0" fontId="10" fillId="0" borderId="20" xfId="0" applyFont="1" applyFill="1" applyBorder="1" applyAlignment="1">
      <alignment horizontal="right"/>
    </xf>
    <xf numFmtId="0" fontId="0" fillId="0" borderId="0" xfId="0" applyFill="1"/>
    <xf numFmtId="9" fontId="0" fillId="0" borderId="20" xfId="3" applyFont="1" applyFill="1" applyBorder="1"/>
    <xf numFmtId="0" fontId="36" fillId="0" borderId="20" xfId="0" applyFont="1" applyBorder="1" applyAlignment="1">
      <alignment vertical="top"/>
    </xf>
    <xf numFmtId="0" fontId="14" fillId="0" borderId="20" xfId="0" applyFont="1" applyBorder="1" applyAlignment="1">
      <alignment horizontal="center"/>
    </xf>
    <xf numFmtId="0" fontId="36" fillId="0" borderId="20" xfId="0" applyFont="1" applyBorder="1"/>
    <xf numFmtId="0" fontId="10" fillId="0" borderId="71" xfId="0" applyFont="1" applyFill="1" applyBorder="1" applyAlignment="1">
      <alignment horizontal="right"/>
    </xf>
    <xf numFmtId="0" fontId="37" fillId="0" borderId="20" xfId="0" applyFont="1" applyBorder="1" applyAlignment="1">
      <alignment horizontal="right"/>
    </xf>
    <xf numFmtId="0" fontId="36" fillId="0" borderId="20" xfId="0" applyFont="1" applyBorder="1" applyAlignment="1">
      <alignment wrapText="1"/>
    </xf>
    <xf numFmtId="0" fontId="10" fillId="9" borderId="20" xfId="0" applyFont="1" applyFill="1" applyBorder="1" applyAlignment="1">
      <alignment horizontal="right" wrapText="1"/>
    </xf>
    <xf numFmtId="0" fontId="10" fillId="30" borderId="20" xfId="0" applyFont="1" applyFill="1" applyBorder="1" applyAlignment="1">
      <alignment horizontal="right" wrapText="1"/>
    </xf>
    <xf numFmtId="0" fontId="14" fillId="0" borderId="20" xfId="0" applyFont="1" applyFill="1" applyBorder="1" applyAlignment="1">
      <alignment horizontal="center" vertical="top"/>
    </xf>
    <xf numFmtId="0" fontId="8" fillId="30" borderId="20" xfId="0" applyFont="1" applyFill="1" applyBorder="1" applyAlignment="1">
      <alignment horizontal="right"/>
    </xf>
    <xf numFmtId="0" fontId="36" fillId="0" borderId="20" xfId="0" applyFont="1" applyBorder="1" applyAlignment="1">
      <alignment horizontal="center" vertical="top"/>
    </xf>
    <xf numFmtId="0" fontId="36" fillId="0" borderId="0" xfId="0" applyFont="1" applyAlignment="1">
      <alignment horizontal="left" vertical="top" wrapText="1"/>
    </xf>
    <xf numFmtId="0" fontId="10" fillId="0" borderId="0" xfId="0" applyFont="1"/>
    <xf numFmtId="166" fontId="8" fillId="15" borderId="56" xfId="1" applyNumberFormat="1" applyFont="1" applyFill="1" applyBorder="1" applyAlignment="1" applyProtection="1">
      <alignment horizontal="right" vertical="top"/>
    </xf>
    <xf numFmtId="0" fontId="3" fillId="3" borderId="15" xfId="0" applyFont="1" applyFill="1" applyBorder="1" applyAlignment="1" applyProtection="1">
      <alignment horizontal="center" wrapText="1"/>
    </xf>
    <xf numFmtId="165" fontId="3" fillId="5" borderId="11" xfId="1" applyNumberFormat="1" applyFont="1" applyFill="1" applyBorder="1" applyAlignment="1" applyProtection="1">
      <alignment horizontal="center"/>
      <protection locked="0"/>
    </xf>
    <xf numFmtId="165" fontId="3" fillId="5" borderId="5" xfId="1" applyNumberFormat="1" applyFont="1" applyFill="1" applyBorder="1" applyAlignment="1" applyProtection="1">
      <alignment horizontal="center"/>
      <protection locked="0"/>
    </xf>
    <xf numFmtId="1" fontId="5" fillId="7" borderId="20" xfId="0" applyNumberFormat="1" applyFont="1" applyFill="1" applyBorder="1" applyAlignment="1" applyProtection="1">
      <alignment horizontal="center"/>
      <protection locked="0"/>
    </xf>
    <xf numFmtId="9" fontId="3" fillId="5" borderId="11" xfId="3" applyFont="1" applyFill="1" applyBorder="1" applyAlignment="1" applyProtection="1">
      <alignment horizontal="right"/>
      <protection locked="0"/>
    </xf>
    <xf numFmtId="172" fontId="3" fillId="5" borderId="11" xfId="3" applyNumberFormat="1" applyFont="1" applyFill="1" applyBorder="1" applyAlignment="1" applyProtection="1">
      <alignment horizontal="right"/>
      <protection locked="0"/>
    </xf>
    <xf numFmtId="0" fontId="42" fillId="35" borderId="59" xfId="0" applyFont="1" applyFill="1" applyBorder="1" applyAlignment="1">
      <alignment horizontal="left" vertical="center" wrapText="1"/>
    </xf>
    <xf numFmtId="0" fontId="42" fillId="35" borderId="59" xfId="0" applyFont="1" applyFill="1" applyBorder="1" applyAlignment="1">
      <alignment horizontal="center" vertical="center" wrapText="1"/>
    </xf>
    <xf numFmtId="0" fontId="43" fillId="0" borderId="0" xfId="0" applyFont="1" applyAlignment="1">
      <alignment horizontal="left" vertical="center" wrapText="1"/>
    </xf>
    <xf numFmtId="0" fontId="43" fillId="0" borderId="59" xfId="0" applyFont="1" applyBorder="1" applyAlignment="1">
      <alignment horizontal="left" vertical="center" wrapText="1"/>
    </xf>
    <xf numFmtId="0" fontId="43" fillId="0" borderId="59" xfId="0" applyFont="1" applyBorder="1" applyAlignment="1">
      <alignment horizontal="center" vertical="center" wrapText="1"/>
    </xf>
    <xf numFmtId="0" fontId="43" fillId="0" borderId="0" xfId="0" applyFont="1" applyAlignment="1">
      <alignment horizontal="center" vertical="center" wrapText="1"/>
    </xf>
    <xf numFmtId="0" fontId="42" fillId="0" borderId="80" xfId="0" applyFont="1" applyBorder="1" applyAlignment="1">
      <alignment horizontal="center" vertical="center" wrapText="1"/>
    </xf>
    <xf numFmtId="0" fontId="42" fillId="0" borderId="81" xfId="0" applyFont="1" applyBorder="1" applyAlignment="1">
      <alignment horizontal="center" vertical="center" wrapText="1"/>
    </xf>
    <xf numFmtId="0" fontId="42" fillId="0" borderId="82" xfId="0" applyFont="1" applyBorder="1" applyAlignment="1">
      <alignment horizontal="center" vertical="center" wrapText="1"/>
    </xf>
    <xf numFmtId="0" fontId="42" fillId="0" borderId="83" xfId="0" applyFont="1" applyBorder="1" applyAlignment="1">
      <alignment horizontal="center" vertical="center" wrapText="1"/>
    </xf>
    <xf numFmtId="0" fontId="44" fillId="8" borderId="20" xfId="2" applyFont="1" applyFill="1" applyBorder="1" applyAlignment="1">
      <alignment vertical="center" wrapText="1"/>
    </xf>
    <xf numFmtId="0" fontId="8" fillId="7" borderId="20" xfId="2" applyFont="1" applyFill="1" applyBorder="1" applyAlignment="1" applyProtection="1">
      <alignment vertical="center" wrapText="1"/>
      <protection locked="0"/>
    </xf>
    <xf numFmtId="0" fontId="8" fillId="0" borderId="0" xfId="2" applyFont="1" applyAlignment="1">
      <alignment vertical="center" wrapText="1"/>
    </xf>
    <xf numFmtId="0" fontId="8" fillId="36" borderId="0" xfId="2" applyFont="1" applyFill="1" applyAlignment="1">
      <alignment vertical="center" wrapText="1"/>
    </xf>
    <xf numFmtId="0" fontId="6" fillId="0" borderId="0" xfId="2" applyAlignment="1">
      <alignment vertical="center"/>
    </xf>
    <xf numFmtId="0" fontId="8" fillId="0" borderId="0" xfId="2" applyFont="1" applyAlignment="1" applyProtection="1">
      <alignment vertical="center" wrapText="1"/>
      <protection locked="0"/>
    </xf>
    <xf numFmtId="0" fontId="45" fillId="11" borderId="20" xfId="2" applyFont="1" applyFill="1" applyBorder="1" applyAlignment="1">
      <alignment vertical="center" wrapText="1"/>
    </xf>
    <xf numFmtId="0" fontId="45" fillId="11" borderId="20" xfId="2" applyFont="1" applyFill="1" applyBorder="1" applyAlignment="1" applyProtection="1">
      <alignment horizontal="center" vertical="center" wrapText="1"/>
      <protection locked="0"/>
    </xf>
    <xf numFmtId="0" fontId="5" fillId="7" borderId="20" xfId="2" applyFont="1" applyFill="1" applyBorder="1" applyAlignment="1" applyProtection="1">
      <alignment horizontal="center" vertical="center" wrapText="1"/>
      <protection locked="0"/>
    </xf>
    <xf numFmtId="17" fontId="45" fillId="11" borderId="20" xfId="2" applyNumberFormat="1" applyFont="1" applyFill="1" applyBorder="1" applyAlignment="1">
      <alignment vertical="center" wrapText="1"/>
    </xf>
    <xf numFmtId="0" fontId="8" fillId="15" borderId="20" xfId="2" applyFont="1" applyFill="1" applyBorder="1" applyAlignment="1">
      <alignment vertical="center" wrapText="1"/>
    </xf>
    <xf numFmtId="0" fontId="13" fillId="8" borderId="20" xfId="2" applyFont="1" applyFill="1" applyBorder="1" applyAlignment="1">
      <alignment vertical="center" wrapText="1"/>
    </xf>
    <xf numFmtId="0" fontId="8" fillId="36" borderId="20" xfId="2" applyFont="1" applyFill="1" applyBorder="1" applyAlignment="1">
      <alignment vertical="center" wrapText="1"/>
    </xf>
    <xf numFmtId="0" fontId="8" fillId="37" borderId="20" xfId="2" applyFont="1" applyFill="1" applyBorder="1" applyAlignment="1">
      <alignment vertical="center" wrapText="1"/>
    </xf>
    <xf numFmtId="0" fontId="8" fillId="36" borderId="0" xfId="2" applyFont="1" applyFill="1" applyAlignment="1">
      <alignment vertical="center"/>
    </xf>
    <xf numFmtId="0" fontId="8" fillId="36" borderId="20" xfId="2" applyFont="1" applyFill="1" applyBorder="1" applyAlignment="1">
      <alignment horizontal="right" vertical="center" wrapText="1"/>
    </xf>
    <xf numFmtId="0" fontId="8" fillId="37" borderId="20" xfId="2" applyFont="1" applyFill="1" applyBorder="1" applyAlignment="1">
      <alignment horizontal="right" vertical="center" wrapText="1"/>
    </xf>
    <xf numFmtId="0" fontId="8" fillId="36" borderId="0" xfId="6" applyFont="1" applyFill="1" applyAlignment="1">
      <alignment vertical="center" wrapText="1"/>
    </xf>
    <xf numFmtId="0" fontId="46" fillId="8" borderId="20" xfId="2" applyFont="1" applyFill="1" applyBorder="1" applyAlignment="1">
      <alignment vertical="center" wrapText="1"/>
    </xf>
    <xf numFmtId="0" fontId="8" fillId="0" borderId="20" xfId="2" applyFont="1" applyBorder="1" applyAlignment="1">
      <alignment vertical="center" wrapText="1"/>
    </xf>
    <xf numFmtId="0" fontId="8" fillId="36" borderId="29" xfId="2" applyFont="1" applyFill="1" applyBorder="1" applyAlignment="1">
      <alignment horizontal="center" vertical="center" wrapText="1"/>
    </xf>
    <xf numFmtId="0" fontId="49" fillId="36" borderId="0" xfId="9" applyFont="1" applyFill="1" applyAlignment="1">
      <alignment vertical="center"/>
    </xf>
    <xf numFmtId="0" fontId="9" fillId="36" borderId="0" xfId="9" applyFont="1" applyFill="1" applyAlignment="1">
      <alignment vertical="center"/>
    </xf>
    <xf numFmtId="0" fontId="50" fillId="36" borderId="0" xfId="9" applyFont="1" applyFill="1" applyAlignment="1">
      <alignment vertical="center"/>
    </xf>
    <xf numFmtId="0" fontId="52" fillId="36" borderId="0" xfId="9" applyFont="1" applyFill="1" applyAlignment="1">
      <alignment vertical="center"/>
    </xf>
    <xf numFmtId="17" fontId="11" fillId="39" borderId="24" xfId="9" applyNumberFormat="1" applyFont="1" applyFill="1" applyBorder="1" applyAlignment="1">
      <alignment horizontal="center" vertical="center" wrapText="1"/>
    </xf>
    <xf numFmtId="0" fontId="11" fillId="39" borderId="52" xfId="9" applyFont="1" applyFill="1" applyBorder="1" applyAlignment="1">
      <alignment horizontal="center" vertical="center" wrapText="1"/>
    </xf>
    <xf numFmtId="17" fontId="11" fillId="39" borderId="32" xfId="9" applyNumberFormat="1" applyFont="1" applyFill="1" applyBorder="1" applyAlignment="1">
      <alignment horizontal="center" vertical="center"/>
    </xf>
    <xf numFmtId="0" fontId="11" fillId="39" borderId="52" xfId="9" applyFont="1" applyFill="1" applyBorder="1" applyAlignment="1">
      <alignment horizontal="center" vertical="center"/>
    </xf>
    <xf numFmtId="17" fontId="11" fillId="39" borderId="24" xfId="9" applyNumberFormat="1" applyFont="1" applyFill="1" applyBorder="1" applyAlignment="1">
      <alignment horizontal="center" vertical="center"/>
    </xf>
    <xf numFmtId="0" fontId="11" fillId="39" borderId="20" xfId="9" applyFont="1" applyFill="1" applyBorder="1" applyAlignment="1">
      <alignment horizontal="center" vertical="center"/>
    </xf>
    <xf numFmtId="0" fontId="9" fillId="36" borderId="24" xfId="9" applyFont="1" applyFill="1" applyBorder="1" applyAlignment="1">
      <alignment vertical="center"/>
    </xf>
    <xf numFmtId="3" fontId="9" fillId="36" borderId="30" xfId="9" applyNumberFormat="1" applyFont="1" applyFill="1" applyBorder="1" applyAlignment="1">
      <alignment vertical="center"/>
    </xf>
    <xf numFmtId="174" fontId="9" fillId="41" borderId="30" xfId="9" applyNumberFormat="1" applyFont="1" applyFill="1" applyBorder="1" applyAlignment="1">
      <alignment vertical="center"/>
    </xf>
    <xf numFmtId="174" fontId="9" fillId="36" borderId="30" xfId="9" applyNumberFormat="1" applyFont="1" applyFill="1" applyBorder="1" applyAlignment="1">
      <alignment vertical="center"/>
    </xf>
    <xf numFmtId="0" fontId="9" fillId="36" borderId="52" xfId="9" applyFont="1" applyFill="1" applyBorder="1" applyAlignment="1">
      <alignment vertical="center"/>
    </xf>
    <xf numFmtId="175" fontId="11" fillId="39" borderId="94" xfId="6" applyNumberFormat="1" applyFont="1" applyFill="1" applyBorder="1" applyAlignment="1">
      <alignment vertical="center"/>
    </xf>
    <xf numFmtId="3" fontId="11" fillId="39" borderId="94" xfId="6" applyNumberFormat="1" applyFont="1" applyFill="1" applyBorder="1" applyAlignment="1">
      <alignment vertical="center"/>
    </xf>
    <xf numFmtId="174" fontId="11" fillId="39" borderId="94" xfId="6" applyNumberFormat="1" applyFont="1" applyFill="1" applyBorder="1" applyAlignment="1">
      <alignment vertical="center"/>
    </xf>
    <xf numFmtId="174" fontId="11" fillId="39" borderId="95" xfId="6" applyNumberFormat="1" applyFont="1" applyFill="1" applyBorder="1" applyAlignment="1">
      <alignment vertical="center"/>
    </xf>
    <xf numFmtId="174" fontId="9" fillId="41" borderId="20" xfId="9" applyNumberFormat="1" applyFont="1" applyFill="1" applyBorder="1" applyAlignment="1">
      <alignment vertical="center"/>
    </xf>
    <xf numFmtId="174" fontId="9" fillId="36" borderId="20" xfId="9" applyNumberFormat="1" applyFont="1" applyFill="1" applyBorder="1" applyAlignment="1">
      <alignment vertical="center"/>
    </xf>
    <xf numFmtId="174" fontId="9" fillId="36" borderId="52" xfId="9" applyNumberFormat="1" applyFont="1" applyFill="1" applyBorder="1" applyAlignment="1">
      <alignment vertical="center"/>
    </xf>
    <xf numFmtId="0" fontId="9" fillId="36" borderId="41" xfId="9" applyFont="1" applyFill="1" applyBorder="1" applyAlignment="1">
      <alignment vertical="center"/>
    </xf>
    <xf numFmtId="174" fontId="9" fillId="41" borderId="42" xfId="9" applyNumberFormat="1" applyFont="1" applyFill="1" applyBorder="1" applyAlignment="1">
      <alignment vertical="center"/>
    </xf>
    <xf numFmtId="174" fontId="9" fillId="36" borderId="43" xfId="9" applyNumberFormat="1" applyFont="1" applyFill="1" applyBorder="1" applyAlignment="1">
      <alignment vertical="center"/>
    </xf>
    <xf numFmtId="174" fontId="9" fillId="36" borderId="55" xfId="9" applyNumberFormat="1" applyFont="1" applyFill="1" applyBorder="1" applyAlignment="1">
      <alignment vertical="center"/>
    </xf>
    <xf numFmtId="0" fontId="11" fillId="39" borderId="93" xfId="6" applyFont="1" applyFill="1" applyBorder="1" applyAlignment="1">
      <alignment vertical="center"/>
    </xf>
    <xf numFmtId="0" fontId="11" fillId="39" borderId="54" xfId="9" applyFont="1" applyFill="1" applyBorder="1" applyAlignment="1">
      <alignment horizontal="center" vertical="center" wrapText="1"/>
    </xf>
    <xf numFmtId="0" fontId="11" fillId="39" borderId="70" xfId="9" applyFont="1" applyFill="1" applyBorder="1" applyAlignment="1">
      <alignment horizontal="center" vertical="center" wrapText="1"/>
    </xf>
    <xf numFmtId="0" fontId="11" fillId="39" borderId="89" xfId="9" applyFont="1" applyFill="1" applyBorder="1" applyAlignment="1">
      <alignment horizontal="center" vertical="center"/>
    </xf>
    <xf numFmtId="0" fontId="11" fillId="39" borderId="70" xfId="9" applyFont="1" applyFill="1" applyBorder="1" applyAlignment="1">
      <alignment horizontal="center" vertical="center"/>
    </xf>
    <xf numFmtId="0" fontId="11" fillId="39" borderId="91" xfId="9" applyFont="1" applyFill="1" applyBorder="1" applyAlignment="1">
      <alignment horizontal="center" vertical="center"/>
    </xf>
    <xf numFmtId="0" fontId="9" fillId="36" borderId="53" xfId="9" applyFont="1" applyFill="1" applyBorder="1" applyAlignment="1">
      <alignment vertical="center"/>
    </xf>
    <xf numFmtId="14" fontId="9" fillId="36" borderId="71" xfId="9" applyNumberFormat="1" applyFont="1" applyFill="1" applyBorder="1" applyAlignment="1">
      <alignment vertical="center"/>
    </xf>
    <xf numFmtId="0" fontId="9" fillId="36" borderId="71" xfId="9" applyFont="1" applyFill="1" applyBorder="1" applyAlignment="1">
      <alignment vertical="center"/>
    </xf>
    <xf numFmtId="3" fontId="9" fillId="36" borderId="71" xfId="9" applyNumberFormat="1" applyFont="1" applyFill="1" applyBorder="1" applyAlignment="1">
      <alignment vertical="center"/>
    </xf>
    <xf numFmtId="3" fontId="9" fillId="36" borderId="97" xfId="9" applyNumberFormat="1" applyFont="1" applyFill="1" applyBorder="1" applyAlignment="1">
      <alignment vertical="center"/>
    </xf>
    <xf numFmtId="0" fontId="9" fillId="36" borderId="42" xfId="9" applyFont="1" applyFill="1" applyBorder="1" applyAlignment="1">
      <alignment vertical="center"/>
    </xf>
    <xf numFmtId="3" fontId="9" fillId="36" borderId="42" xfId="9" applyNumberFormat="1" applyFont="1" applyFill="1" applyBorder="1" applyAlignment="1">
      <alignment vertical="center"/>
    </xf>
    <xf numFmtId="3" fontId="9" fillId="36" borderId="55" xfId="9" applyNumberFormat="1" applyFont="1" applyFill="1" applyBorder="1" applyAlignment="1">
      <alignment vertical="center"/>
    </xf>
    <xf numFmtId="0" fontId="49" fillId="36" borderId="0" xfId="9" applyFont="1" applyFill="1"/>
    <xf numFmtId="0" fontId="9" fillId="36" borderId="0" xfId="9" applyFont="1" applyFill="1"/>
    <xf numFmtId="0" fontId="50" fillId="36" borderId="0" xfId="9" applyFont="1" applyFill="1"/>
    <xf numFmtId="0" fontId="52" fillId="36" borderId="0" xfId="9" applyFont="1" applyFill="1"/>
    <xf numFmtId="17" fontId="11" fillId="39" borderId="32" xfId="9" applyNumberFormat="1" applyFont="1" applyFill="1" applyBorder="1" applyAlignment="1">
      <alignment horizontal="center" vertical="center" wrapText="1"/>
    </xf>
    <xf numFmtId="0" fontId="11" fillId="39" borderId="20" xfId="9" applyFont="1" applyFill="1" applyBorder="1" applyAlignment="1">
      <alignment horizontal="center" vertical="center" wrapText="1"/>
    </xf>
    <xf numFmtId="3" fontId="9" fillId="36" borderId="72" xfId="9" applyNumberFormat="1" applyFont="1" applyFill="1" applyBorder="1" applyAlignment="1">
      <alignment vertical="center"/>
    </xf>
    <xf numFmtId="3" fontId="9" fillId="36" borderId="99" xfId="9" applyNumberFormat="1" applyFont="1" applyFill="1" applyBorder="1" applyAlignment="1">
      <alignment vertical="center"/>
    </xf>
    <xf numFmtId="0" fontId="49" fillId="36" borderId="0" xfId="10" applyFont="1" applyFill="1"/>
    <xf numFmtId="0" fontId="9" fillId="36" borderId="0" xfId="10" applyFont="1" applyFill="1"/>
    <xf numFmtId="0" fontId="9" fillId="36" borderId="100" xfId="10" applyFont="1" applyFill="1" applyBorder="1"/>
    <xf numFmtId="0" fontId="49" fillId="36" borderId="0" xfId="10" applyFont="1" applyFill="1" applyAlignment="1">
      <alignment vertical="center"/>
    </xf>
    <xf numFmtId="0" fontId="9" fillId="36" borderId="0" xfId="10" applyFont="1" applyFill="1" applyAlignment="1">
      <alignment vertical="center"/>
    </xf>
    <xf numFmtId="0" fontId="9" fillId="36" borderId="100" xfId="10" applyFont="1" applyFill="1" applyBorder="1" applyAlignment="1">
      <alignment vertical="center"/>
    </xf>
    <xf numFmtId="0" fontId="54" fillId="36" borderId="0" xfId="10" applyFont="1" applyFill="1"/>
    <xf numFmtId="0" fontId="56" fillId="36" borderId="0" xfId="10" applyFont="1" applyFill="1"/>
    <xf numFmtId="0" fontId="56" fillId="36" borderId="100" xfId="10" applyFont="1" applyFill="1" applyBorder="1"/>
    <xf numFmtId="17" fontId="11" fillId="40" borderId="107" xfId="10" applyNumberFormat="1" applyFont="1" applyFill="1" applyBorder="1" applyAlignment="1">
      <alignment horizontal="center" vertical="center" wrapText="1"/>
    </xf>
    <xf numFmtId="0" fontId="11" fillId="40" borderId="71" xfId="10" applyFont="1" applyFill="1" applyBorder="1" applyAlignment="1">
      <alignment horizontal="center" vertical="center" wrapText="1"/>
    </xf>
    <xf numFmtId="0" fontId="11" fillId="40" borderId="97" xfId="10" applyFont="1" applyFill="1" applyBorder="1" applyAlignment="1">
      <alignment horizontal="center" vertical="center" wrapText="1"/>
    </xf>
    <xf numFmtId="17" fontId="11" fillId="40" borderId="107" xfId="10" applyNumberFormat="1" applyFont="1" applyFill="1" applyBorder="1" applyAlignment="1">
      <alignment horizontal="center" vertical="center"/>
    </xf>
    <xf numFmtId="0" fontId="11" fillId="40" borderId="71" xfId="10" applyFont="1" applyFill="1" applyBorder="1" applyAlignment="1">
      <alignment horizontal="center" vertical="center"/>
    </xf>
    <xf numFmtId="17" fontId="11" fillId="40" borderId="53" xfId="10" applyNumberFormat="1" applyFont="1" applyFill="1" applyBorder="1" applyAlignment="1">
      <alignment horizontal="center" vertical="center"/>
    </xf>
    <xf numFmtId="0" fontId="11" fillId="40" borderId="97" xfId="10" applyFont="1" applyFill="1" applyBorder="1" applyAlignment="1">
      <alignment horizontal="center" vertical="center"/>
    </xf>
    <xf numFmtId="0" fontId="9" fillId="36" borderId="47" xfId="10" applyFont="1" applyFill="1" applyBorder="1" applyAlignment="1">
      <alignment vertical="center"/>
    </xf>
    <xf numFmtId="0" fontId="9" fillId="36" borderId="89" xfId="10" applyFont="1" applyFill="1" applyBorder="1" applyAlignment="1">
      <alignment vertical="center"/>
    </xf>
    <xf numFmtId="3" fontId="9" fillId="36" borderId="89" xfId="10" applyNumberFormat="1" applyFont="1" applyFill="1" applyBorder="1" applyAlignment="1">
      <alignment vertical="center"/>
    </xf>
    <xf numFmtId="3" fontId="58" fillId="0" borderId="108" xfId="10" applyNumberFormat="1" applyFont="1" applyBorder="1" applyAlignment="1">
      <alignment vertical="center"/>
    </xf>
    <xf numFmtId="14" fontId="9" fillId="36" borderId="89" xfId="10" applyNumberFormat="1" applyFont="1" applyFill="1" applyBorder="1" applyAlignment="1">
      <alignment vertical="center"/>
    </xf>
    <xf numFmtId="1" fontId="9" fillId="44" borderId="89" xfId="10" applyNumberFormat="1" applyFont="1" applyFill="1" applyBorder="1" applyAlignment="1">
      <alignment vertical="center"/>
    </xf>
    <xf numFmtId="0" fontId="9" fillId="36" borderId="89" xfId="10" applyFont="1" applyFill="1" applyBorder="1" applyAlignment="1">
      <alignment horizontal="center" vertical="center"/>
    </xf>
    <xf numFmtId="0" fontId="9" fillId="44" borderId="89" xfId="10" applyFont="1" applyFill="1" applyBorder="1" applyAlignment="1">
      <alignment vertical="center"/>
    </xf>
    <xf numFmtId="175" fontId="9" fillId="44" borderId="89" xfId="10" applyNumberFormat="1" applyFont="1" applyFill="1" applyBorder="1" applyAlignment="1">
      <alignment vertical="center"/>
    </xf>
    <xf numFmtId="3" fontId="9" fillId="44" borderId="89" xfId="10" applyNumberFormat="1" applyFont="1" applyFill="1" applyBorder="1" applyAlignment="1">
      <alignment vertical="center"/>
    </xf>
    <xf numFmtId="3" fontId="9" fillId="44" borderId="70" xfId="10" applyNumberFormat="1" applyFont="1" applyFill="1" applyBorder="1" applyAlignment="1">
      <alignment vertical="center"/>
    </xf>
    <xf numFmtId="0" fontId="9" fillId="36" borderId="33" xfId="10" applyFont="1" applyFill="1" applyBorder="1" applyAlignment="1">
      <alignment vertical="center"/>
    </xf>
    <xf numFmtId="0" fontId="9" fillId="36" borderId="70" xfId="10" applyFont="1" applyFill="1" applyBorder="1" applyAlignment="1">
      <alignment vertical="center"/>
    </xf>
    <xf numFmtId="3" fontId="9" fillId="36" borderId="70" xfId="10" applyNumberFormat="1" applyFont="1" applyFill="1" applyBorder="1" applyAlignment="1">
      <alignment vertical="center"/>
    </xf>
    <xf numFmtId="3" fontId="58" fillId="0" borderId="0" xfId="10" applyNumberFormat="1" applyFont="1" applyAlignment="1">
      <alignment vertical="center"/>
    </xf>
    <xf numFmtId="14" fontId="9" fillId="36" borderId="70" xfId="10" applyNumberFormat="1" applyFont="1" applyFill="1" applyBorder="1" applyAlignment="1">
      <alignment vertical="center"/>
    </xf>
    <xf numFmtId="0" fontId="9" fillId="36" borderId="70" xfId="10" applyFont="1" applyFill="1" applyBorder="1" applyAlignment="1">
      <alignment horizontal="center" vertical="center"/>
    </xf>
    <xf numFmtId="0" fontId="9" fillId="36" borderId="74" xfId="10" applyFont="1" applyFill="1" applyBorder="1" applyAlignment="1">
      <alignment vertical="center"/>
    </xf>
    <xf numFmtId="0" fontId="1" fillId="43" borderId="109" xfId="6" applyFont="1" applyFill="1" applyBorder="1" applyAlignment="1">
      <alignment vertical="center"/>
    </xf>
    <xf numFmtId="0" fontId="1" fillId="43" borderId="110" xfId="6" applyFont="1" applyFill="1" applyBorder="1" applyAlignment="1">
      <alignment vertical="center"/>
    </xf>
    <xf numFmtId="175" fontId="1" fillId="43" borderId="110" xfId="6" applyNumberFormat="1" applyFont="1" applyFill="1" applyBorder="1" applyAlignment="1">
      <alignment vertical="center"/>
    </xf>
    <xf numFmtId="3" fontId="1" fillId="43" borderId="110" xfId="6" applyNumberFormat="1" applyFont="1" applyFill="1" applyBorder="1" applyAlignment="1">
      <alignment vertical="center"/>
    </xf>
    <xf numFmtId="3" fontId="1" fillId="43" borderId="104" xfId="6" applyNumberFormat="1" applyFont="1" applyFill="1" applyBorder="1" applyAlignment="1">
      <alignment vertical="center"/>
    </xf>
    <xf numFmtId="3" fontId="21" fillId="43" borderId="110" xfId="6" applyNumberFormat="1" applyFill="1" applyBorder="1" applyAlignment="1">
      <alignment vertical="center"/>
    </xf>
    <xf numFmtId="175" fontId="1" fillId="43" borderId="111" xfId="6" applyNumberFormat="1" applyFont="1" applyFill="1" applyBorder="1" applyAlignment="1">
      <alignment vertical="center"/>
    </xf>
    <xf numFmtId="0" fontId="59" fillId="0" borderId="100" xfId="10" applyFont="1" applyBorder="1" applyAlignment="1">
      <alignment vertical="center"/>
    </xf>
    <xf numFmtId="0" fontId="59" fillId="0" borderId="113" xfId="10" applyFont="1" applyBorder="1" applyAlignment="1">
      <alignment vertical="center"/>
    </xf>
    <xf numFmtId="0" fontId="59" fillId="0" borderId="114" xfId="10" applyFont="1" applyBorder="1" applyAlignment="1">
      <alignment vertical="center"/>
    </xf>
    <xf numFmtId="0" fontId="59" fillId="0" borderId="115" xfId="10" applyFont="1" applyBorder="1" applyAlignment="1">
      <alignment vertical="center"/>
    </xf>
    <xf numFmtId="0" fontId="59" fillId="0" borderId="116" xfId="10" applyFont="1" applyBorder="1" applyAlignment="1">
      <alignment vertical="center"/>
    </xf>
    <xf numFmtId="0" fontId="66" fillId="43" borderId="20" xfId="13" applyFont="1" applyFill="1" applyBorder="1" applyAlignment="1">
      <alignment horizontal="center" vertical="center" wrapText="1"/>
    </xf>
    <xf numFmtId="0" fontId="66" fillId="43" borderId="52" xfId="13" applyFont="1" applyFill="1" applyBorder="1" applyAlignment="1">
      <alignment horizontal="center" vertical="center" wrapText="1"/>
    </xf>
    <xf numFmtId="0" fontId="59" fillId="0" borderId="24" xfId="10" applyFont="1" applyBorder="1" applyAlignment="1">
      <alignment vertical="center"/>
    </xf>
    <xf numFmtId="0" fontId="59" fillId="0" borderId="20" xfId="10" applyFont="1" applyBorder="1" applyAlignment="1">
      <alignment vertical="center"/>
    </xf>
    <xf numFmtId="3" fontId="67" fillId="0" borderId="20" xfId="13" applyNumberFormat="1" applyFont="1" applyBorder="1" applyAlignment="1">
      <alignment horizontal="right" vertical="center" wrapText="1"/>
    </xf>
    <xf numFmtId="180" fontId="6" fillId="0" borderId="20" xfId="11" applyNumberFormat="1" applyBorder="1" applyAlignment="1">
      <alignment horizontal="right" vertical="center" wrapText="1"/>
    </xf>
    <xf numFmtId="3" fontId="67" fillId="0" borderId="20" xfId="14" applyNumberFormat="1" applyFont="1" applyBorder="1" applyAlignment="1">
      <alignment horizontal="right" vertical="center" wrapText="1"/>
    </xf>
    <xf numFmtId="180" fontId="6" fillId="0" borderId="52" xfId="11" applyNumberFormat="1" applyBorder="1" applyAlignment="1">
      <alignment horizontal="right" vertical="center" wrapText="1"/>
    </xf>
    <xf numFmtId="174" fontId="67" fillId="0" borderId="20" xfId="13" applyNumberFormat="1" applyFont="1" applyBorder="1" applyAlignment="1">
      <alignment horizontal="right" vertical="center" wrapText="1"/>
    </xf>
    <xf numFmtId="174" fontId="68" fillId="45" borderId="20" xfId="14" applyNumberFormat="1" applyFont="1" applyFill="1" applyBorder="1" applyAlignment="1">
      <alignment horizontal="right" vertical="center" wrapText="1"/>
    </xf>
    <xf numFmtId="180" fontId="68" fillId="45" borderId="20" xfId="14" applyNumberFormat="1" applyFont="1" applyFill="1" applyBorder="1" applyAlignment="1">
      <alignment horizontal="right" vertical="center" wrapText="1"/>
    </xf>
    <xf numFmtId="180" fontId="68" fillId="45" borderId="52" xfId="13" applyNumberFormat="1" applyFont="1" applyFill="1" applyBorder="1" applyAlignment="1">
      <alignment horizontal="right" vertical="center" wrapText="1"/>
    </xf>
    <xf numFmtId="0" fontId="24" fillId="43" borderId="54" xfId="12" applyFont="1" applyFill="1" applyBorder="1" applyAlignment="1">
      <alignment horizontal="center" vertical="center" wrapText="1"/>
    </xf>
    <xf numFmtId="0" fontId="24" fillId="43" borderId="89" xfId="12" applyFont="1" applyFill="1" applyBorder="1" applyAlignment="1">
      <alignment horizontal="center" vertical="center"/>
    </xf>
    <xf numFmtId="179" fontId="66" fillId="43" borderId="20" xfId="13" applyNumberFormat="1" applyFont="1" applyFill="1" applyBorder="1" applyAlignment="1">
      <alignment horizontal="center" vertical="center" wrapText="1"/>
    </xf>
    <xf numFmtId="179" fontId="66" fillId="43" borderId="52" xfId="13" applyNumberFormat="1" applyFont="1" applyFill="1" applyBorder="1" applyAlignment="1">
      <alignment horizontal="center" vertical="center" wrapText="1"/>
    </xf>
    <xf numFmtId="180" fontId="67" fillId="0" borderId="20" xfId="13" applyNumberFormat="1" applyFont="1" applyBorder="1" applyAlignment="1">
      <alignment horizontal="right" vertical="center" wrapText="1"/>
    </xf>
    <xf numFmtId="0" fontId="59" fillId="0" borderId="118" xfId="10" applyFont="1" applyBorder="1" applyAlignment="1">
      <alignment vertical="center"/>
    </xf>
    <xf numFmtId="0" fontId="59" fillId="0" borderId="119" xfId="10" applyFont="1" applyBorder="1" applyAlignment="1">
      <alignment vertical="center"/>
    </xf>
    <xf numFmtId="0" fontId="59" fillId="0" borderId="120" xfId="10" applyFont="1" applyBorder="1" applyAlignment="1">
      <alignment vertical="center"/>
    </xf>
    <xf numFmtId="0" fontId="59" fillId="0" borderId="121" xfId="10" applyFont="1" applyBorder="1" applyAlignment="1">
      <alignment vertical="center"/>
    </xf>
    <xf numFmtId="0" fontId="59" fillId="0" borderId="122" xfId="10" applyFont="1" applyBorder="1" applyAlignment="1">
      <alignment vertical="center"/>
    </xf>
    <xf numFmtId="0" fontId="70" fillId="0" borderId="116" xfId="10" applyFont="1" applyBorder="1" applyAlignment="1">
      <alignment vertical="center"/>
    </xf>
    <xf numFmtId="22" fontId="70" fillId="0" borderId="116" xfId="10" applyNumberFormat="1" applyFont="1" applyBorder="1" applyAlignment="1">
      <alignment vertical="center"/>
    </xf>
    <xf numFmtId="14" fontId="70" fillId="0" borderId="116" xfId="10" applyNumberFormat="1" applyFont="1" applyBorder="1" applyAlignment="1">
      <alignment vertical="center"/>
    </xf>
    <xf numFmtId="0" fontId="70" fillId="0" borderId="100" xfId="10" applyFont="1" applyBorder="1" applyAlignment="1">
      <alignment vertical="center"/>
    </xf>
    <xf numFmtId="0" fontId="1" fillId="36" borderId="0" xfId="15" applyFill="1"/>
    <xf numFmtId="0" fontId="67" fillId="36" borderId="0" xfId="16" applyFont="1" applyFill="1"/>
    <xf numFmtId="0" fontId="71" fillId="36" borderId="0" xfId="16" applyFont="1" applyFill="1"/>
    <xf numFmtId="0" fontId="68" fillId="43" borderId="50" xfId="16" applyFont="1" applyFill="1" applyBorder="1" applyAlignment="1">
      <alignment horizontal="right" vertical="center"/>
    </xf>
    <xf numFmtId="0" fontId="71" fillId="0" borderId="0" xfId="16" applyFont="1"/>
    <xf numFmtId="0" fontId="67" fillId="0" borderId="0" xfId="16" applyFont="1"/>
    <xf numFmtId="0" fontId="68" fillId="43" borderId="20" xfId="16" applyFont="1" applyFill="1" applyBorder="1" applyAlignment="1">
      <alignment horizontal="left" vertical="center"/>
    </xf>
    <xf numFmtId="0" fontId="67" fillId="36" borderId="20" xfId="16" applyFont="1" applyFill="1" applyBorder="1" applyAlignment="1">
      <alignment horizontal="right" vertical="center"/>
    </xf>
    <xf numFmtId="0" fontId="68" fillId="43" borderId="20" xfId="16" applyFont="1" applyFill="1" applyBorder="1" applyAlignment="1">
      <alignment vertical="center"/>
    </xf>
    <xf numFmtId="0" fontId="68" fillId="43" borderId="71" xfId="16" applyFont="1" applyFill="1" applyBorder="1" applyAlignment="1">
      <alignment vertical="center"/>
    </xf>
    <xf numFmtId="0" fontId="67" fillId="36" borderId="71" xfId="16" applyFont="1" applyFill="1" applyBorder="1" applyAlignment="1">
      <alignment horizontal="right" vertical="center"/>
    </xf>
    <xf numFmtId="0" fontId="1" fillId="36" borderId="0" xfId="17" applyFill="1"/>
    <xf numFmtId="14" fontId="1" fillId="36" borderId="20" xfId="17" applyNumberFormat="1" applyFill="1" applyBorder="1" applyAlignment="1">
      <alignment horizontal="right" vertical="center"/>
    </xf>
    <xf numFmtId="14" fontId="11" fillId="43" borderId="20" xfId="17" applyNumberFormat="1" applyFont="1" applyFill="1" applyBorder="1" applyAlignment="1">
      <alignment horizontal="left" vertical="center"/>
    </xf>
    <xf numFmtId="1" fontId="1" fillId="36" borderId="52" xfId="17" applyNumberFormat="1" applyFill="1" applyBorder="1" applyAlignment="1">
      <alignment horizontal="right" vertical="center"/>
    </xf>
    <xf numFmtId="177" fontId="67" fillId="36" borderId="20" xfId="17" applyNumberFormat="1" applyFont="1" applyFill="1" applyBorder="1"/>
    <xf numFmtId="178" fontId="67" fillId="36" borderId="52" xfId="17" applyNumberFormat="1" applyFont="1" applyFill="1" applyBorder="1"/>
    <xf numFmtId="177" fontId="67" fillId="45" borderId="42" xfId="17" applyNumberFormat="1" applyFont="1" applyFill="1" applyBorder="1"/>
    <xf numFmtId="178" fontId="67" fillId="45" borderId="55" xfId="17" applyNumberFormat="1" applyFont="1" applyFill="1" applyBorder="1"/>
    <xf numFmtId="0" fontId="11" fillId="43" borderId="54" xfId="17" applyFont="1" applyFill="1" applyBorder="1" applyAlignment="1">
      <alignment horizontal="center" vertical="center" wrapText="1"/>
    </xf>
    <xf numFmtId="0" fontId="11" fillId="43" borderId="89" xfId="17" applyFont="1" applyFill="1" applyBorder="1" applyAlignment="1">
      <alignment horizontal="center" vertical="center" wrapText="1"/>
    </xf>
    <xf numFmtId="0" fontId="11" fillId="43" borderId="91" xfId="17" applyFont="1" applyFill="1" applyBorder="1" applyAlignment="1">
      <alignment horizontal="center" vertical="center" wrapText="1"/>
    </xf>
    <xf numFmtId="0" fontId="72" fillId="36" borderId="24" xfId="17" applyFont="1" applyFill="1" applyBorder="1" applyAlignment="1">
      <alignment horizontal="center" vertical="center" wrapText="1"/>
    </xf>
    <xf numFmtId="0" fontId="72" fillId="36" borderId="20" xfId="17" applyFont="1" applyFill="1" applyBorder="1" applyAlignment="1">
      <alignment horizontal="center" vertical="center" wrapText="1"/>
    </xf>
    <xf numFmtId="14" fontId="72" fillId="36" borderId="20" xfId="17" applyNumberFormat="1" applyFont="1" applyFill="1" applyBorder="1" applyAlignment="1">
      <alignment horizontal="center" vertical="center" wrapText="1"/>
    </xf>
    <xf numFmtId="5" fontId="72" fillId="36" borderId="20" xfId="17" applyNumberFormat="1" applyFont="1" applyFill="1" applyBorder="1" applyAlignment="1">
      <alignment horizontal="center" vertical="center" wrapText="1"/>
    </xf>
    <xf numFmtId="0" fontId="72" fillId="36" borderId="52" xfId="17" applyFont="1" applyFill="1" applyBorder="1" applyAlignment="1">
      <alignment horizontal="center" vertical="center" wrapText="1"/>
    </xf>
    <xf numFmtId="0" fontId="72" fillId="36" borderId="41" xfId="17" applyFont="1" applyFill="1" applyBorder="1" applyAlignment="1">
      <alignment horizontal="center" vertical="center" wrapText="1"/>
    </xf>
    <xf numFmtId="0" fontId="72" fillId="36" borderId="42" xfId="17" applyFont="1" applyFill="1" applyBorder="1" applyAlignment="1">
      <alignment horizontal="center" vertical="center" wrapText="1"/>
    </xf>
    <xf numFmtId="14" fontId="72" fillId="36" borderId="42" xfId="17" applyNumberFormat="1" applyFont="1" applyFill="1" applyBorder="1" applyAlignment="1">
      <alignment horizontal="center" vertical="center" wrapText="1"/>
    </xf>
    <xf numFmtId="5" fontId="72" fillId="36" borderId="42" xfId="17" applyNumberFormat="1" applyFont="1" applyFill="1" applyBorder="1" applyAlignment="1">
      <alignment horizontal="center" vertical="center" wrapText="1"/>
    </xf>
    <xf numFmtId="0" fontId="72" fillId="36" borderId="55" xfId="17" applyFont="1" applyFill="1" applyBorder="1" applyAlignment="1">
      <alignment horizontal="center" vertical="center" wrapText="1"/>
    </xf>
    <xf numFmtId="0" fontId="1" fillId="36" borderId="0" xfId="17" applyFill="1" applyAlignment="1">
      <alignment wrapText="1"/>
    </xf>
    <xf numFmtId="0" fontId="11" fillId="43" borderId="49" xfId="17" applyFont="1" applyFill="1" applyBorder="1" applyAlignment="1">
      <alignment horizontal="center" vertical="center" wrapText="1"/>
    </xf>
    <xf numFmtId="0" fontId="11" fillId="43" borderId="50" xfId="17" applyFont="1" applyFill="1" applyBorder="1" applyAlignment="1">
      <alignment horizontal="center" vertical="center" wrapText="1"/>
    </xf>
    <xf numFmtId="0" fontId="1" fillId="36" borderId="0" xfId="17" applyFill="1" applyAlignment="1">
      <alignment horizontal="center"/>
    </xf>
    <xf numFmtId="1" fontId="72" fillId="36" borderId="24" xfId="17" applyNumberFormat="1" applyFont="1" applyFill="1" applyBorder="1" applyAlignment="1">
      <alignment horizontal="center" vertical="center" wrapText="1"/>
    </xf>
    <xf numFmtId="49" fontId="72" fillId="36" borderId="20" xfId="17" applyNumberFormat="1" applyFont="1" applyFill="1" applyBorder="1" applyAlignment="1">
      <alignment horizontal="center" vertical="center" wrapText="1"/>
    </xf>
    <xf numFmtId="1" fontId="72" fillId="36" borderId="41" xfId="17" applyNumberFormat="1" applyFont="1" applyFill="1" applyBorder="1" applyAlignment="1">
      <alignment horizontal="center" vertical="center" wrapText="1"/>
    </xf>
    <xf numFmtId="49" fontId="72" fillId="36" borderId="42" xfId="17" applyNumberFormat="1" applyFont="1" applyFill="1" applyBorder="1" applyAlignment="1">
      <alignment horizontal="center" vertical="center" wrapText="1"/>
    </xf>
    <xf numFmtId="0" fontId="67" fillId="36" borderId="0" xfId="18" applyFont="1" applyFill="1"/>
    <xf numFmtId="0" fontId="59" fillId="36" borderId="0" xfId="18" applyFont="1" applyFill="1"/>
    <xf numFmtId="0" fontId="59" fillId="36" borderId="0" xfId="18" applyFont="1" applyFill="1" applyAlignment="1">
      <alignment wrapText="1"/>
    </xf>
    <xf numFmtId="0" fontId="59" fillId="36" borderId="1" xfId="18" applyFont="1" applyFill="1" applyBorder="1"/>
    <xf numFmtId="0" fontId="59" fillId="36" borderId="0" xfId="18" applyFont="1" applyFill="1" applyBorder="1"/>
    <xf numFmtId="0" fontId="59" fillId="36" borderId="125" xfId="18" applyFont="1" applyFill="1" applyBorder="1"/>
    <xf numFmtId="0" fontId="68" fillId="43" borderId="24" xfId="18" applyFont="1" applyFill="1" applyBorder="1" applyAlignment="1">
      <alignment horizontal="center" vertical="center" wrapText="1"/>
    </xf>
    <xf numFmtId="0" fontId="68" fillId="43" borderId="20" xfId="18" applyFont="1" applyFill="1" applyBorder="1" applyAlignment="1">
      <alignment horizontal="center" vertical="center"/>
    </xf>
    <xf numFmtId="0" fontId="68" fillId="43" borderId="52" xfId="18" applyFont="1" applyFill="1" applyBorder="1" applyAlignment="1">
      <alignment horizontal="center" vertical="center"/>
    </xf>
    <xf numFmtId="0" fontId="59" fillId="36" borderId="24" xfId="18" applyFont="1" applyFill="1" applyBorder="1"/>
    <xf numFmtId="0" fontId="67" fillId="36" borderId="20" xfId="18" applyFont="1" applyFill="1" applyBorder="1" applyAlignment="1">
      <alignment horizontal="center" vertical="center"/>
    </xf>
    <xf numFmtId="14" fontId="67" fillId="36" borderId="20" xfId="18" applyNumberFormat="1" applyFont="1" applyFill="1" applyBorder="1" applyAlignment="1">
      <alignment horizontal="center" vertical="center"/>
    </xf>
    <xf numFmtId="0" fontId="67" fillId="36" borderId="52" xfId="18" applyFont="1" applyFill="1" applyBorder="1" applyAlignment="1">
      <alignment horizontal="center" vertical="center"/>
    </xf>
    <xf numFmtId="0" fontId="59" fillId="36" borderId="41" xfId="18" applyFont="1" applyFill="1" applyBorder="1"/>
    <xf numFmtId="0" fontId="67" fillId="36" borderId="42" xfId="18" applyFont="1" applyFill="1" applyBorder="1" applyAlignment="1">
      <alignment horizontal="center" vertical="center"/>
    </xf>
    <xf numFmtId="14" fontId="67" fillId="36" borderId="42" xfId="18" applyNumberFormat="1" applyFont="1" applyFill="1" applyBorder="1" applyAlignment="1">
      <alignment horizontal="center" vertical="center"/>
    </xf>
    <xf numFmtId="0" fontId="67" fillId="36" borderId="55" xfId="18" applyFont="1" applyFill="1" applyBorder="1" applyAlignment="1">
      <alignment horizontal="center" vertical="center"/>
    </xf>
    <xf numFmtId="0" fontId="1" fillId="0" borderId="33" xfId="19" applyFont="1" applyBorder="1" applyAlignment="1">
      <alignment vertical="center"/>
    </xf>
    <xf numFmtId="0" fontId="1" fillId="0" borderId="29" xfId="19" applyFont="1" applyBorder="1" applyAlignment="1">
      <alignment vertical="center"/>
    </xf>
    <xf numFmtId="0" fontId="11" fillId="43" borderId="20" xfId="19" applyFont="1" applyFill="1" applyBorder="1" applyAlignment="1">
      <alignment vertical="center" wrapText="1"/>
    </xf>
    <xf numFmtId="0" fontId="1" fillId="0" borderId="48" xfId="19" applyFont="1" applyBorder="1" applyAlignment="1">
      <alignment vertical="center"/>
    </xf>
    <xf numFmtId="0" fontId="11" fillId="43" borderId="20" xfId="19" applyFont="1" applyFill="1" applyBorder="1" applyAlignment="1">
      <alignment vertical="center"/>
    </xf>
    <xf numFmtId="0" fontId="67" fillId="36" borderId="52" xfId="18" applyFont="1" applyFill="1" applyBorder="1" applyAlignment="1">
      <alignment horizontal="right" vertical="center"/>
    </xf>
    <xf numFmtId="0" fontId="24" fillId="43" borderId="20" xfId="19" applyFont="1" applyFill="1" applyBorder="1" applyAlignment="1">
      <alignment horizontal="center" vertical="center" wrapText="1"/>
    </xf>
    <xf numFmtId="3" fontId="6" fillId="0" borderId="20" xfId="19" applyNumberFormat="1" applyBorder="1" applyAlignment="1">
      <alignment horizontal="right"/>
    </xf>
    <xf numFmtId="3" fontId="6" fillId="0" borderId="52" xfId="19" applyNumberFormat="1" applyBorder="1" applyAlignment="1">
      <alignment horizontal="right"/>
    </xf>
    <xf numFmtId="3" fontId="24" fillId="43" borderId="20" xfId="19" applyNumberFormat="1" applyFont="1" applyFill="1" applyBorder="1" applyAlignment="1">
      <alignment horizontal="right"/>
    </xf>
    <xf numFmtId="3" fontId="11" fillId="43" borderId="52" xfId="19" applyNumberFormat="1" applyFont="1" applyFill="1" applyBorder="1" applyAlignment="1">
      <alignment horizontal="right"/>
    </xf>
    <xf numFmtId="0" fontId="24" fillId="43" borderId="41" xfId="19" applyFont="1" applyFill="1" applyBorder="1"/>
    <xf numFmtId="0" fontId="24" fillId="43" borderId="42" xfId="19" applyFont="1" applyFill="1" applyBorder="1"/>
    <xf numFmtId="3" fontId="24" fillId="43" borderId="42" xfId="19" applyNumberFormat="1" applyFont="1" applyFill="1" applyBorder="1" applyAlignment="1">
      <alignment horizontal="right"/>
    </xf>
    <xf numFmtId="3" fontId="24" fillId="43" borderId="55" xfId="19" applyNumberFormat="1" applyFont="1" applyFill="1" applyBorder="1" applyAlignment="1">
      <alignment horizontal="right"/>
    </xf>
    <xf numFmtId="0" fontId="68" fillId="43" borderId="89" xfId="16" applyFont="1" applyFill="1" applyBorder="1" applyAlignment="1">
      <alignment horizontal="right" vertical="center"/>
    </xf>
    <xf numFmtId="0" fontId="67" fillId="36" borderId="24" xfId="16" applyFont="1" applyFill="1" applyBorder="1"/>
    <xf numFmtId="0" fontId="68" fillId="43" borderId="20" xfId="16" applyFont="1" applyFill="1" applyBorder="1" applyAlignment="1">
      <alignment horizontal="right" vertical="center"/>
    </xf>
    <xf numFmtId="0" fontId="67" fillId="36" borderId="1" xfId="16" applyFont="1" applyFill="1" applyBorder="1"/>
    <xf numFmtId="0" fontId="63" fillId="46" borderId="20" xfId="16" applyFont="1" applyFill="1" applyBorder="1" applyAlignment="1">
      <alignment horizontal="left" vertical="center"/>
    </xf>
    <xf numFmtId="0" fontId="64" fillId="46" borderId="20" xfId="16" applyFont="1" applyFill="1" applyBorder="1" applyAlignment="1">
      <alignment horizontal="center" vertical="center"/>
    </xf>
    <xf numFmtId="0" fontId="67" fillId="36" borderId="0" xfId="16" applyFont="1" applyFill="1" applyAlignment="1">
      <alignment wrapText="1"/>
    </xf>
    <xf numFmtId="0" fontId="68" fillId="43" borderId="20" xfId="16" applyFont="1" applyFill="1" applyBorder="1" applyAlignment="1">
      <alignment vertical="center" wrapText="1"/>
    </xf>
    <xf numFmtId="0" fontId="67" fillId="36" borderId="20" xfId="16" applyFont="1" applyFill="1" applyBorder="1" applyAlignment="1">
      <alignment horizontal="right" vertical="center" wrapText="1"/>
    </xf>
    <xf numFmtId="14" fontId="67" fillId="36" borderId="20" xfId="16" applyNumberFormat="1" applyFont="1" applyFill="1" applyBorder="1" applyAlignment="1">
      <alignment horizontal="right" vertical="center"/>
    </xf>
    <xf numFmtId="15" fontId="67" fillId="36" borderId="20" xfId="16" applyNumberFormat="1" applyFont="1" applyFill="1" applyBorder="1" applyAlignment="1">
      <alignment horizontal="right" vertical="center"/>
    </xf>
    <xf numFmtId="22" fontId="67" fillId="36" borderId="20" xfId="16" applyNumberFormat="1" applyFont="1" applyFill="1" applyBorder="1" applyAlignment="1">
      <alignment horizontal="right" vertical="center"/>
    </xf>
    <xf numFmtId="0" fontId="9" fillId="0" borderId="70" xfId="10" applyFont="1" applyFill="1" applyBorder="1" applyAlignment="1">
      <alignment vertical="center"/>
    </xf>
    <xf numFmtId="3" fontId="9" fillId="0" borderId="70" xfId="10" applyNumberFormat="1" applyFont="1" applyFill="1" applyBorder="1" applyAlignment="1">
      <alignment vertical="center"/>
    </xf>
    <xf numFmtId="3" fontId="9" fillId="0" borderId="89" xfId="10" applyNumberFormat="1" applyFont="1" applyFill="1" applyBorder="1" applyAlignment="1">
      <alignment vertical="center"/>
    </xf>
    <xf numFmtId="3" fontId="58" fillId="0" borderId="0" xfId="10" applyNumberFormat="1" applyFont="1" applyFill="1" applyBorder="1" applyAlignment="1">
      <alignment vertical="center"/>
    </xf>
    <xf numFmtId="14" fontId="9" fillId="0" borderId="70" xfId="10" applyNumberFormat="1" applyFont="1" applyFill="1" applyBorder="1" applyAlignment="1">
      <alignment vertical="center"/>
    </xf>
    <xf numFmtId="0" fontId="9" fillId="36" borderId="70" xfId="10" applyNumberFormat="1" applyFont="1" applyFill="1" applyBorder="1" applyAlignment="1">
      <alignment horizontal="center" vertical="center"/>
    </xf>
    <xf numFmtId="0" fontId="9" fillId="44" borderId="89" xfId="10" applyNumberFormat="1" applyFont="1" applyFill="1" applyBorder="1" applyAlignment="1">
      <alignment vertical="center"/>
    </xf>
    <xf numFmtId="0" fontId="9" fillId="36" borderId="89" xfId="10" applyNumberFormat="1" applyFont="1" applyFill="1" applyBorder="1" applyAlignment="1">
      <alignment vertical="center"/>
    </xf>
    <xf numFmtId="0" fontId="61" fillId="38" borderId="101" xfId="12" applyFont="1" applyFill="1" applyBorder="1" applyAlignment="1">
      <alignment horizontal="center" vertical="center"/>
    </xf>
    <xf numFmtId="0" fontId="61" fillId="38" borderId="102" xfId="12" applyFont="1" applyFill="1" applyBorder="1" applyAlignment="1">
      <alignment horizontal="center" vertical="center"/>
    </xf>
    <xf numFmtId="0" fontId="61" fillId="38" borderId="95" xfId="12" applyFont="1" applyFill="1" applyBorder="1" applyAlignment="1">
      <alignment horizontal="center" vertical="center"/>
    </xf>
    <xf numFmtId="0" fontId="24" fillId="43" borderId="54" xfId="12" applyFont="1" applyFill="1" applyBorder="1" applyAlignment="1">
      <alignment horizontal="left" vertical="center"/>
    </xf>
    <xf numFmtId="0" fontId="24" fillId="43" borderId="89" xfId="12" applyFont="1" applyFill="1" applyBorder="1" applyAlignment="1">
      <alignment horizontal="left" vertical="center"/>
    </xf>
    <xf numFmtId="0" fontId="62" fillId="0" borderId="89" xfId="10" applyFont="1" applyBorder="1" applyAlignment="1">
      <alignment horizontal="right" vertical="center" wrapText="1"/>
    </xf>
    <xf numFmtId="0" fontId="24" fillId="43" borderId="37" xfId="12" applyFont="1" applyFill="1" applyBorder="1" applyAlignment="1">
      <alignment horizontal="left" vertical="center"/>
    </xf>
    <xf numFmtId="0" fontId="24" fillId="43" borderId="36" xfId="12" applyFont="1" applyFill="1" applyBorder="1" applyAlignment="1">
      <alignment horizontal="left" vertical="center"/>
    </xf>
    <xf numFmtId="0" fontId="62" fillId="0" borderId="91" xfId="10" applyFont="1" applyBorder="1" applyAlignment="1">
      <alignment horizontal="right" vertical="center" wrapText="1"/>
    </xf>
    <xf numFmtId="0" fontId="24" fillId="43" borderId="24" xfId="12" applyFont="1" applyFill="1" applyBorder="1" applyAlignment="1">
      <alignment horizontal="left" vertical="center"/>
    </xf>
    <xf numFmtId="0" fontId="24" fillId="43" borderId="20" xfId="12" applyFont="1" applyFill="1" applyBorder="1" applyAlignment="1">
      <alignment horizontal="left" vertical="center"/>
    </xf>
    <xf numFmtId="0" fontId="62" fillId="0" borderId="20" xfId="10" applyFont="1" applyBorder="1" applyAlignment="1">
      <alignment horizontal="right" vertical="center" wrapText="1"/>
    </xf>
    <xf numFmtId="0" fontId="62" fillId="0" borderId="52" xfId="10" applyFont="1" applyBorder="1" applyAlignment="1">
      <alignment horizontal="right" vertical="center" wrapText="1"/>
    </xf>
    <xf numFmtId="177" fontId="62" fillId="0" borderId="20" xfId="10" applyNumberFormat="1" applyFont="1" applyBorder="1" applyAlignment="1">
      <alignment horizontal="right" vertical="center" wrapText="1"/>
    </xf>
    <xf numFmtId="0" fontId="24" fillId="43" borderId="30" xfId="12" applyFont="1" applyFill="1" applyBorder="1" applyAlignment="1">
      <alignment horizontal="left" vertical="center"/>
    </xf>
    <xf numFmtId="0" fontId="24" fillId="43" borderId="32" xfId="12" applyFont="1" applyFill="1" applyBorder="1" applyAlignment="1">
      <alignment horizontal="left" vertical="center"/>
    </xf>
    <xf numFmtId="177" fontId="62" fillId="0" borderId="52" xfId="10" applyNumberFormat="1" applyFont="1" applyBorder="1" applyAlignment="1">
      <alignment horizontal="right" vertical="center" wrapText="1"/>
    </xf>
    <xf numFmtId="14" fontId="6" fillId="0" borderId="20" xfId="12" applyNumberFormat="1" applyFont="1" applyBorder="1" applyAlignment="1">
      <alignment horizontal="right" vertical="center" wrapText="1"/>
    </xf>
    <xf numFmtId="0" fontId="6" fillId="0" borderId="20" xfId="12" applyFont="1" applyBorder="1" applyAlignment="1">
      <alignment horizontal="right" vertical="center" wrapText="1"/>
    </xf>
    <xf numFmtId="0" fontId="6" fillId="0" borderId="52" xfId="12" applyFont="1" applyBorder="1" applyAlignment="1">
      <alignment horizontal="right" vertical="center" wrapText="1"/>
    </xf>
    <xf numFmtId="22" fontId="62" fillId="0" borderId="20" xfId="10" applyNumberFormat="1" applyFont="1" applyBorder="1" applyAlignment="1">
      <alignment horizontal="right" vertical="center" wrapText="1"/>
    </xf>
    <xf numFmtId="22" fontId="62" fillId="0" borderId="52" xfId="10" applyNumberFormat="1" applyFont="1" applyBorder="1" applyAlignment="1">
      <alignment horizontal="right" vertical="center" wrapText="1"/>
    </xf>
    <xf numFmtId="178" fontId="6" fillId="0" borderId="20" xfId="12" applyNumberFormat="1" applyFont="1" applyBorder="1" applyAlignment="1">
      <alignment horizontal="right" vertical="center"/>
    </xf>
    <xf numFmtId="178" fontId="6" fillId="0" borderId="52" xfId="12" applyNumberFormat="1" applyFont="1" applyBorder="1" applyAlignment="1">
      <alignment horizontal="right" vertical="center"/>
    </xf>
    <xf numFmtId="177" fontId="6" fillId="0" borderId="20" xfId="12" applyNumberFormat="1" applyFont="1" applyBorder="1" applyAlignment="1">
      <alignment horizontal="right" vertical="center" wrapText="1"/>
    </xf>
    <xf numFmtId="177" fontId="6" fillId="0" borderId="52" xfId="12" applyNumberFormat="1" applyFont="1" applyBorder="1" applyAlignment="1">
      <alignment horizontal="right" vertical="center" wrapText="1"/>
    </xf>
    <xf numFmtId="0" fontId="6" fillId="0" borderId="20" xfId="12" applyFont="1" applyBorder="1" applyAlignment="1">
      <alignment horizontal="left" vertical="center" wrapText="1"/>
    </xf>
    <xf numFmtId="0" fontId="6" fillId="0" borderId="52" xfId="12" applyFont="1" applyBorder="1" applyAlignment="1">
      <alignment horizontal="left" vertical="center" wrapText="1"/>
    </xf>
    <xf numFmtId="0" fontId="24" fillId="43" borderId="53" xfId="12" applyFont="1" applyFill="1" applyBorder="1" applyAlignment="1">
      <alignment horizontal="center" vertical="center" wrapText="1"/>
    </xf>
    <xf numFmtId="0" fontId="24" fillId="43" borderId="54" xfId="12" applyFont="1" applyFill="1" applyBorder="1" applyAlignment="1">
      <alignment horizontal="center" vertical="center" wrapText="1"/>
    </xf>
    <xf numFmtId="0" fontId="24" fillId="43" borderId="71" xfId="12" applyFont="1" applyFill="1" applyBorder="1" applyAlignment="1">
      <alignment horizontal="center" vertical="center"/>
    </xf>
    <xf numFmtId="0" fontId="24" fillId="43" borderId="89" xfId="12" applyFont="1" applyFill="1" applyBorder="1" applyAlignment="1">
      <alignment horizontal="center" vertical="center"/>
    </xf>
    <xf numFmtId="179" fontId="64" fillId="43" borderId="30" xfId="12" applyNumberFormat="1" applyFont="1" applyFill="1" applyBorder="1" applyAlignment="1">
      <alignment horizontal="center" vertical="center"/>
    </xf>
    <xf numFmtId="179" fontId="64" fillId="43" borderId="32" xfId="12" applyNumberFormat="1" applyFont="1" applyFill="1" applyBorder="1" applyAlignment="1">
      <alignment horizontal="center" vertical="center"/>
    </xf>
    <xf numFmtId="179" fontId="64" fillId="43" borderId="40" xfId="12" applyNumberFormat="1" applyFont="1" applyFill="1" applyBorder="1" applyAlignment="1">
      <alignment horizontal="center" vertical="center"/>
    </xf>
    <xf numFmtId="0" fontId="24" fillId="45" borderId="24" xfId="12" applyFont="1" applyFill="1" applyBorder="1" applyAlignment="1">
      <alignment horizontal="center" vertical="center"/>
    </xf>
    <xf numFmtId="0" fontId="24" fillId="45" borderId="20" xfId="12" applyFont="1" applyFill="1" applyBorder="1" applyAlignment="1">
      <alignment horizontal="center" vertical="center"/>
    </xf>
    <xf numFmtId="0" fontId="24" fillId="43" borderId="53" xfId="12" applyFont="1" applyFill="1" applyBorder="1" applyAlignment="1">
      <alignment horizontal="left" vertical="center"/>
    </xf>
    <xf numFmtId="0" fontId="24" fillId="43" borderId="71" xfId="12" applyFont="1" applyFill="1" applyBorder="1" applyAlignment="1">
      <alignment horizontal="left" vertical="center"/>
    </xf>
    <xf numFmtId="178" fontId="6" fillId="0" borderId="71" xfId="12" applyNumberFormat="1" applyFont="1" applyBorder="1" applyAlignment="1">
      <alignment horizontal="right" vertical="center"/>
    </xf>
    <xf numFmtId="0" fontId="24" fillId="43" borderId="43" xfId="12" applyFont="1" applyFill="1" applyBorder="1" applyAlignment="1">
      <alignment horizontal="left" vertical="center"/>
    </xf>
    <xf numFmtId="0" fontId="24" fillId="43" borderId="96" xfId="12" applyFont="1" applyFill="1" applyBorder="1" applyAlignment="1">
      <alignment horizontal="left" vertical="center"/>
    </xf>
    <xf numFmtId="178" fontId="6" fillId="0" borderId="97" xfId="12" applyNumberFormat="1" applyFont="1" applyBorder="1" applyAlignment="1">
      <alignment horizontal="right" vertical="center"/>
    </xf>
    <xf numFmtId="0" fontId="63" fillId="38" borderId="101" xfId="12" applyFont="1" applyFill="1" applyBorder="1" applyAlignment="1">
      <alignment horizontal="center" vertical="center"/>
    </xf>
    <xf numFmtId="0" fontId="63" fillId="38" borderId="102" xfId="12" applyFont="1" applyFill="1" applyBorder="1" applyAlignment="1">
      <alignment horizontal="center" vertical="center"/>
    </xf>
    <xf numFmtId="0" fontId="63" fillId="38" borderId="95" xfId="12" applyFont="1" applyFill="1" applyBorder="1" applyAlignment="1">
      <alignment horizontal="center" vertical="center"/>
    </xf>
    <xf numFmtId="0" fontId="63" fillId="42" borderId="54" xfId="12" applyFont="1" applyFill="1" applyBorder="1" applyAlignment="1">
      <alignment horizontal="center" vertical="center"/>
    </xf>
    <xf numFmtId="0" fontId="63" fillId="42" borderId="89" xfId="12" applyFont="1" applyFill="1" applyBorder="1" applyAlignment="1">
      <alignment horizontal="center" vertical="center"/>
    </xf>
    <xf numFmtId="0" fontId="63" fillId="42" borderId="91" xfId="12" applyFont="1" applyFill="1" applyBorder="1" applyAlignment="1">
      <alignment horizontal="center" vertical="center"/>
    </xf>
    <xf numFmtId="0" fontId="63" fillId="42" borderId="24" xfId="12" applyFont="1" applyFill="1" applyBorder="1" applyAlignment="1">
      <alignment horizontal="center" vertical="center"/>
    </xf>
    <xf numFmtId="0" fontId="63" fillId="42" borderId="20" xfId="12" applyFont="1" applyFill="1" applyBorder="1" applyAlignment="1">
      <alignment horizontal="center" vertical="center"/>
    </xf>
    <xf numFmtId="0" fontId="63" fillId="42" borderId="52" xfId="12" applyFont="1" applyFill="1" applyBorder="1" applyAlignment="1">
      <alignment horizontal="center" vertical="center"/>
    </xf>
    <xf numFmtId="180" fontId="6" fillId="0" borderId="30" xfId="11" applyNumberFormat="1" applyBorder="1" applyAlignment="1">
      <alignment horizontal="right" vertical="center" wrapText="1"/>
    </xf>
    <xf numFmtId="180" fontId="6" fillId="0" borderId="32" xfId="11" applyNumberFormat="1" applyBorder="1" applyAlignment="1">
      <alignment horizontal="right" vertical="center" wrapText="1"/>
    </xf>
    <xf numFmtId="180" fontId="68" fillId="45" borderId="30" xfId="14" applyNumberFormat="1" applyFont="1" applyFill="1" applyBorder="1" applyAlignment="1">
      <alignment horizontal="right" vertical="center" wrapText="1"/>
    </xf>
    <xf numFmtId="180" fontId="68" fillId="45" borderId="32" xfId="14" applyNumberFormat="1" applyFont="1" applyFill="1" applyBorder="1" applyAlignment="1">
      <alignment horizontal="right" vertical="center" wrapText="1"/>
    </xf>
    <xf numFmtId="0" fontId="24" fillId="43" borderId="117" xfId="12" applyFont="1" applyFill="1" applyBorder="1" applyAlignment="1">
      <alignment horizontal="left" vertical="center"/>
    </xf>
    <xf numFmtId="0" fontId="59" fillId="0" borderId="43" xfId="13" applyFont="1" applyBorder="1" applyAlignment="1">
      <alignment horizontal="right" vertical="center" wrapText="1"/>
    </xf>
    <xf numFmtId="0" fontId="59" fillId="0" borderId="44" xfId="13" applyFont="1" applyBorder="1" applyAlignment="1">
      <alignment horizontal="right" vertical="center" wrapText="1"/>
    </xf>
    <xf numFmtId="0" fontId="59" fillId="0" borderId="45" xfId="13" applyFont="1" applyBorder="1" applyAlignment="1">
      <alignment horizontal="right" vertical="center" wrapText="1"/>
    </xf>
    <xf numFmtId="0" fontId="66" fillId="43" borderId="30" xfId="13" applyFont="1" applyFill="1" applyBorder="1" applyAlignment="1">
      <alignment horizontal="center" vertical="center" wrapText="1"/>
    </xf>
    <xf numFmtId="0" fontId="66" fillId="43" borderId="32" xfId="13" applyFont="1" applyFill="1" applyBorder="1" applyAlignment="1">
      <alignment horizontal="center" vertical="center" wrapText="1"/>
    </xf>
    <xf numFmtId="0" fontId="59" fillId="0" borderId="20" xfId="10" applyFont="1" applyBorder="1" applyAlignment="1">
      <alignment vertical="center" wrapText="1"/>
    </xf>
    <xf numFmtId="0" fontId="59" fillId="0" borderId="52" xfId="10" applyFont="1" applyBorder="1" applyAlignment="1">
      <alignment vertical="center" wrapText="1"/>
    </xf>
    <xf numFmtId="0" fontId="24" fillId="43" borderId="41" xfId="12" applyFont="1" applyFill="1" applyBorder="1" applyAlignment="1">
      <alignment horizontal="left" vertical="center"/>
    </xf>
    <xf numFmtId="0" fontId="24" fillId="43" borderId="42" xfId="12" applyFont="1" applyFill="1" applyBorder="1" applyAlignment="1">
      <alignment horizontal="left" vertical="center"/>
    </xf>
    <xf numFmtId="0" fontId="59" fillId="0" borderId="42" xfId="13" applyFont="1" applyBorder="1" applyAlignment="1">
      <alignment vertical="center"/>
    </xf>
    <xf numFmtId="0" fontId="59" fillId="0" borderId="55" xfId="13" applyFont="1" applyBorder="1" applyAlignment="1">
      <alignment vertical="center"/>
    </xf>
    <xf numFmtId="0" fontId="69" fillId="38" borderId="61" xfId="12" applyFont="1" applyFill="1" applyBorder="1" applyAlignment="1">
      <alignment horizontal="center" vertical="center"/>
    </xf>
    <xf numFmtId="0" fontId="69" fillId="38" borderId="84" xfId="12" applyFont="1" applyFill="1" applyBorder="1" applyAlignment="1">
      <alignment horizontal="center" vertical="center"/>
    </xf>
    <xf numFmtId="0" fontId="69" fillId="38" borderId="93" xfId="12" applyFont="1" applyFill="1" applyBorder="1" applyAlignment="1">
      <alignment horizontal="center" vertical="center"/>
    </xf>
    <xf numFmtId="0" fontId="59" fillId="0" borderId="37" xfId="10" applyFont="1" applyBorder="1" applyAlignment="1">
      <alignment horizontal="right" vertical="center"/>
    </xf>
    <xf numFmtId="0" fontId="59" fillId="0" borderId="35" xfId="10" applyFont="1" applyBorder="1" applyAlignment="1">
      <alignment horizontal="right" vertical="center"/>
    </xf>
    <xf numFmtId="0" fontId="59" fillId="0" borderId="36" xfId="10" applyFont="1" applyBorder="1" applyAlignment="1">
      <alignment horizontal="right" vertical="center"/>
    </xf>
    <xf numFmtId="0" fontId="59" fillId="0" borderId="20" xfId="10" applyFont="1" applyBorder="1" applyAlignment="1">
      <alignment vertical="center"/>
    </xf>
    <xf numFmtId="0" fontId="59" fillId="0" borderId="52" xfId="10" applyFont="1" applyBorder="1" applyAlignment="1">
      <alignment vertical="center"/>
    </xf>
    <xf numFmtId="177" fontId="59" fillId="0" borderId="30" xfId="10" applyNumberFormat="1" applyFont="1" applyBorder="1" applyAlignment="1">
      <alignment horizontal="right" vertical="center"/>
    </xf>
    <xf numFmtId="177" fontId="59" fillId="0" borderId="31" xfId="10" applyNumberFormat="1" applyFont="1" applyBorder="1" applyAlignment="1">
      <alignment horizontal="right" vertical="center"/>
    </xf>
    <xf numFmtId="177" fontId="59" fillId="0" borderId="32" xfId="10" applyNumberFormat="1" applyFont="1" applyBorder="1" applyAlignment="1">
      <alignment horizontal="right" vertical="center"/>
    </xf>
    <xf numFmtId="181" fontId="59" fillId="0" borderId="43" xfId="10" applyNumberFormat="1" applyFont="1" applyBorder="1" applyAlignment="1">
      <alignment vertical="center"/>
    </xf>
    <xf numFmtId="181" fontId="59" fillId="0" borderId="44" xfId="10" applyNumberFormat="1" applyFont="1" applyBorder="1" applyAlignment="1">
      <alignment vertical="center"/>
    </xf>
    <xf numFmtId="181" fontId="59" fillId="0" borderId="96" xfId="10" applyNumberFormat="1" applyFont="1" applyBorder="1" applyAlignment="1">
      <alignment vertical="center"/>
    </xf>
    <xf numFmtId="0" fontId="51" fillId="38" borderId="101" xfId="16" applyFont="1" applyFill="1" applyBorder="1" applyAlignment="1">
      <alignment horizontal="center" vertical="center"/>
    </xf>
    <xf numFmtId="0" fontId="51" fillId="38" borderId="102" xfId="16" applyFont="1" applyFill="1" applyBorder="1" applyAlignment="1">
      <alignment horizontal="center" vertical="center"/>
    </xf>
    <xf numFmtId="0" fontId="51" fillId="38" borderId="95" xfId="16" applyFont="1" applyFill="1" applyBorder="1" applyAlignment="1">
      <alignment horizontal="center" vertical="center"/>
    </xf>
    <xf numFmtId="0" fontId="68" fillId="43" borderId="49" xfId="16" applyFont="1" applyFill="1" applyBorder="1" applyAlignment="1">
      <alignment horizontal="left" vertical="center"/>
    </xf>
    <xf numFmtId="0" fontId="68" fillId="43" borderId="50" xfId="16" applyFont="1" applyFill="1" applyBorder="1" applyAlignment="1">
      <alignment horizontal="left" vertical="center"/>
    </xf>
    <xf numFmtId="0" fontId="67" fillId="36" borderId="50" xfId="16" applyFont="1" applyFill="1" applyBorder="1" applyAlignment="1">
      <alignment horizontal="center" vertical="center"/>
    </xf>
    <xf numFmtId="0" fontId="67" fillId="36" borderId="51" xfId="16" applyFont="1" applyFill="1" applyBorder="1" applyAlignment="1">
      <alignment horizontal="center" vertical="center"/>
    </xf>
    <xf numFmtId="0" fontId="67" fillId="0" borderId="24" xfId="16" applyFont="1" applyBorder="1"/>
    <xf numFmtId="0" fontId="67" fillId="0" borderId="20" xfId="16" applyFont="1" applyBorder="1"/>
    <xf numFmtId="0" fontId="67" fillId="0" borderId="52" xfId="16" applyFont="1" applyBorder="1"/>
    <xf numFmtId="0" fontId="67" fillId="0" borderId="41" xfId="16" applyFont="1" applyBorder="1"/>
    <xf numFmtId="0" fontId="67" fillId="0" borderId="42" xfId="16" applyFont="1" applyBorder="1"/>
    <xf numFmtId="0" fontId="67" fillId="0" borderId="55" xfId="16" applyFont="1" applyBorder="1"/>
    <xf numFmtId="0" fontId="67" fillId="36" borderId="30" xfId="16" applyFont="1" applyFill="1" applyBorder="1" applyAlignment="1">
      <alignment horizontal="right" vertical="center"/>
    </xf>
    <xf numFmtId="0" fontId="67" fillId="36" borderId="32" xfId="16" applyFont="1" applyFill="1" applyBorder="1" applyAlignment="1">
      <alignment horizontal="right" vertical="center"/>
    </xf>
    <xf numFmtId="0" fontId="67" fillId="36" borderId="40" xfId="16" applyFont="1" applyFill="1" applyBorder="1" applyAlignment="1">
      <alignment horizontal="right" vertical="center"/>
    </xf>
    <xf numFmtId="0" fontId="67" fillId="36" borderId="53" xfId="16" applyFont="1" applyFill="1" applyBorder="1" applyAlignment="1">
      <alignment horizontal="center"/>
    </xf>
    <xf numFmtId="0" fontId="67" fillId="36" borderId="123" xfId="16" applyFont="1" applyFill="1" applyBorder="1" applyAlignment="1">
      <alignment horizontal="center"/>
    </xf>
    <xf numFmtId="0" fontId="67" fillId="36" borderId="54" xfId="16" applyFont="1" applyFill="1" applyBorder="1" applyAlignment="1">
      <alignment horizontal="center"/>
    </xf>
    <xf numFmtId="0" fontId="11" fillId="43" borderId="39" xfId="17" applyFont="1" applyFill="1" applyBorder="1" applyAlignment="1">
      <alignment vertical="center"/>
    </xf>
    <xf numFmtId="0" fontId="11" fillId="43" borderId="31" xfId="17" applyFont="1" applyFill="1" applyBorder="1" applyAlignment="1">
      <alignment vertical="center"/>
    </xf>
    <xf numFmtId="0" fontId="11" fillId="43" borderId="32" xfId="17" applyFont="1" applyFill="1" applyBorder="1" applyAlignment="1">
      <alignment vertical="center"/>
    </xf>
    <xf numFmtId="0" fontId="1" fillId="36" borderId="20" xfId="17" applyFill="1" applyBorder="1" applyAlignment="1">
      <alignment horizontal="right" vertical="center"/>
    </xf>
    <xf numFmtId="0" fontId="1" fillId="36" borderId="52" xfId="17" applyFill="1" applyBorder="1" applyAlignment="1">
      <alignment horizontal="right" vertical="center"/>
    </xf>
    <xf numFmtId="0" fontId="57" fillId="38" borderId="61" xfId="17" applyFont="1" applyFill="1" applyBorder="1" applyAlignment="1">
      <alignment horizontal="center" vertical="center"/>
    </xf>
    <xf numFmtId="0" fontId="57" fillId="38" borderId="84" xfId="17" applyFont="1" applyFill="1" applyBorder="1" applyAlignment="1">
      <alignment horizontal="center" vertical="center"/>
    </xf>
    <xf numFmtId="0" fontId="57" fillId="38" borderId="62" xfId="17" applyFont="1" applyFill="1" applyBorder="1" applyAlignment="1">
      <alignment horizontal="center" vertical="center"/>
    </xf>
    <xf numFmtId="0" fontId="11" fillId="43" borderId="46" xfId="17" applyFont="1" applyFill="1" applyBorder="1" applyAlignment="1">
      <alignment vertical="center"/>
    </xf>
    <xf numFmtId="0" fontId="11" fillId="43" borderId="29" xfId="17" applyFont="1" applyFill="1" applyBorder="1" applyAlignment="1">
      <alignment vertical="center"/>
    </xf>
    <xf numFmtId="0" fontId="11" fillId="43" borderId="47" xfId="17" applyFont="1" applyFill="1" applyBorder="1" applyAlignment="1">
      <alignment vertical="center"/>
    </xf>
    <xf numFmtId="0" fontId="1" fillId="36" borderId="89" xfId="17" applyFill="1" applyBorder="1" applyAlignment="1">
      <alignment horizontal="right" vertical="center"/>
    </xf>
    <xf numFmtId="0" fontId="1" fillId="36" borderId="91" xfId="17" applyFill="1" applyBorder="1" applyAlignment="1">
      <alignment horizontal="right" vertical="center"/>
    </xf>
    <xf numFmtId="49" fontId="0" fillId="36" borderId="20" xfId="17" applyNumberFormat="1" applyFont="1" applyFill="1" applyBorder="1" applyAlignment="1">
      <alignment horizontal="right" vertical="center"/>
    </xf>
    <xf numFmtId="49" fontId="1" fillId="36" borderId="20" xfId="17" applyNumberFormat="1" applyFill="1" applyBorder="1" applyAlignment="1">
      <alignment horizontal="right" vertical="center"/>
    </xf>
    <xf numFmtId="49" fontId="1" fillId="36" borderId="52" xfId="17" applyNumberFormat="1" applyFill="1" applyBorder="1" applyAlignment="1">
      <alignment horizontal="right" vertical="center"/>
    </xf>
    <xf numFmtId="0" fontId="11" fillId="43" borderId="39" xfId="17" applyFont="1" applyFill="1" applyBorder="1" applyAlignment="1">
      <alignment vertical="center" wrapText="1"/>
    </xf>
    <xf numFmtId="0" fontId="11" fillId="43" borderId="31" xfId="17" applyFont="1" applyFill="1" applyBorder="1" applyAlignment="1">
      <alignment vertical="center" wrapText="1"/>
    </xf>
    <xf numFmtId="0" fontId="11" fillId="43" borderId="32" xfId="17" applyFont="1" applyFill="1" applyBorder="1" applyAlignment="1">
      <alignment vertical="center" wrapText="1"/>
    </xf>
    <xf numFmtId="0" fontId="1" fillId="36" borderId="20" xfId="17" applyFill="1" applyBorder="1" applyAlignment="1">
      <alignment horizontal="right" vertical="center" wrapText="1"/>
    </xf>
    <xf numFmtId="0" fontId="1" fillId="36" borderId="52" xfId="17" applyFill="1" applyBorder="1" applyAlignment="1">
      <alignment horizontal="right" vertical="center" wrapText="1"/>
    </xf>
    <xf numFmtId="5" fontId="67" fillId="36" borderId="20" xfId="17" applyNumberFormat="1" applyFont="1" applyFill="1" applyBorder="1" applyAlignment="1">
      <alignment horizontal="right" vertical="center"/>
    </xf>
    <xf numFmtId="5" fontId="67" fillId="36" borderId="52" xfId="17" applyNumberFormat="1" applyFont="1" applyFill="1" applyBorder="1" applyAlignment="1">
      <alignment horizontal="right" vertical="center"/>
    </xf>
    <xf numFmtId="0" fontId="11" fillId="43" borderId="24" xfId="17" applyFont="1" applyFill="1" applyBorder="1"/>
    <xf numFmtId="0" fontId="11" fillId="43" borderId="20" xfId="17" applyFont="1" applyFill="1" applyBorder="1"/>
    <xf numFmtId="14" fontId="1" fillId="36" borderId="20" xfId="17" applyNumberFormat="1" applyFill="1" applyBorder="1" applyAlignment="1">
      <alignment horizontal="right" vertical="center"/>
    </xf>
    <xf numFmtId="14" fontId="1" fillId="36" borderId="52" xfId="17" applyNumberFormat="1" applyFill="1" applyBorder="1" applyAlignment="1">
      <alignment horizontal="right" vertical="center"/>
    </xf>
    <xf numFmtId="0" fontId="1" fillId="36" borderId="71" xfId="17" applyFill="1" applyBorder="1" applyAlignment="1">
      <alignment horizontal="right" vertical="center"/>
    </xf>
    <xf numFmtId="0" fontId="1" fillId="36" borderId="97" xfId="17" applyFill="1" applyBorder="1" applyAlignment="1">
      <alignment horizontal="right" vertical="center"/>
    </xf>
    <xf numFmtId="0" fontId="11" fillId="43" borderId="117" xfId="17" applyFont="1" applyFill="1" applyBorder="1" applyAlignment="1">
      <alignment horizontal="left" vertical="center"/>
    </xf>
    <xf numFmtId="0" fontId="11" fillId="43" borderId="44" xfId="17" applyFont="1" applyFill="1" applyBorder="1" applyAlignment="1">
      <alignment horizontal="left" vertical="center"/>
    </xf>
    <xf numFmtId="0" fontId="11" fillId="43" borderId="96" xfId="17" applyFont="1" applyFill="1" applyBorder="1" applyAlignment="1">
      <alignment horizontal="left" vertical="center"/>
    </xf>
    <xf numFmtId="22" fontId="1" fillId="36" borderId="43" xfId="17" applyNumberFormat="1" applyFill="1" applyBorder="1" applyAlignment="1">
      <alignment horizontal="right" vertical="center"/>
    </xf>
    <xf numFmtId="22" fontId="1" fillId="36" borderId="44" xfId="17" applyNumberFormat="1" applyFill="1" applyBorder="1" applyAlignment="1">
      <alignment horizontal="right" vertical="center"/>
    </xf>
    <xf numFmtId="22" fontId="1" fillId="36" borderId="45" xfId="17" applyNumberFormat="1" applyFill="1" applyBorder="1" applyAlignment="1">
      <alignment horizontal="right" vertical="center"/>
    </xf>
    <xf numFmtId="0" fontId="57" fillId="38" borderId="101" xfId="17" applyFont="1" applyFill="1" applyBorder="1" applyAlignment="1">
      <alignment horizontal="center" vertical="center"/>
    </xf>
    <xf numFmtId="0" fontId="57" fillId="38" borderId="102" xfId="17" applyFont="1" applyFill="1" applyBorder="1" applyAlignment="1">
      <alignment horizontal="center" vertical="center"/>
    </xf>
    <xf numFmtId="0" fontId="57" fillId="38" borderId="95" xfId="17" applyFont="1" applyFill="1" applyBorder="1" applyAlignment="1">
      <alignment horizontal="center" vertical="center"/>
    </xf>
    <xf numFmtId="0" fontId="72" fillId="36" borderId="42" xfId="17" applyFont="1" applyFill="1" applyBorder="1" applyAlignment="1">
      <alignment horizontal="center" vertical="center" wrapText="1"/>
    </xf>
    <xf numFmtId="0" fontId="72" fillId="36" borderId="55" xfId="17" applyFont="1" applyFill="1" applyBorder="1" applyAlignment="1">
      <alignment horizontal="center" vertical="center" wrapText="1"/>
    </xf>
    <xf numFmtId="0" fontId="11" fillId="43" borderId="41" xfId="17" applyFont="1" applyFill="1" applyBorder="1"/>
    <xf numFmtId="0" fontId="11" fillId="43" borderId="42" xfId="17" applyFont="1" applyFill="1" applyBorder="1"/>
    <xf numFmtId="0" fontId="57" fillId="38" borderId="124" xfId="17" applyFont="1" applyFill="1" applyBorder="1" applyAlignment="1">
      <alignment horizontal="center" vertical="center" wrapText="1"/>
    </xf>
    <xf numFmtId="0" fontId="57" fillId="38" borderId="112" xfId="17" applyFont="1" applyFill="1" applyBorder="1" applyAlignment="1">
      <alignment horizontal="center" vertical="center" wrapText="1"/>
    </xf>
    <xf numFmtId="0" fontId="57" fillId="38" borderId="60" xfId="17" applyFont="1" applyFill="1" applyBorder="1" applyAlignment="1">
      <alignment horizontal="center" vertical="center" wrapText="1"/>
    </xf>
    <xf numFmtId="0" fontId="11" fillId="43" borderId="50" xfId="17" applyFont="1" applyFill="1" applyBorder="1" applyAlignment="1">
      <alignment horizontal="center" vertical="center" wrapText="1"/>
    </xf>
    <xf numFmtId="0" fontId="11" fillId="43" borderId="51" xfId="17" applyFont="1" applyFill="1" applyBorder="1" applyAlignment="1">
      <alignment horizontal="center" vertical="center" wrapText="1"/>
    </xf>
    <xf numFmtId="0" fontId="72" fillId="36" borderId="20" xfId="17" applyFont="1" applyFill="1" applyBorder="1" applyAlignment="1">
      <alignment horizontal="center" vertical="center" wrapText="1"/>
    </xf>
    <xf numFmtId="0" fontId="72" fillId="36" borderId="52" xfId="17" applyFont="1" applyFill="1" applyBorder="1" applyAlignment="1">
      <alignment horizontal="center" vertical="center" wrapText="1"/>
    </xf>
    <xf numFmtId="0" fontId="68" fillId="43" borderId="24" xfId="18" applyFont="1" applyFill="1" applyBorder="1" applyAlignment="1">
      <alignment vertical="center" wrapText="1"/>
    </xf>
    <xf numFmtId="0" fontId="68" fillId="43" borderId="20" xfId="18" applyFont="1" applyFill="1" applyBorder="1" applyAlignment="1">
      <alignment vertical="center" wrapText="1"/>
    </xf>
    <xf numFmtId="0" fontId="67" fillId="36" borderId="20" xfId="18" applyFont="1" applyFill="1" applyBorder="1" applyAlignment="1">
      <alignment horizontal="right" vertical="center" wrapText="1"/>
    </xf>
    <xf numFmtId="0" fontId="67" fillId="36" borderId="52" xfId="18" applyFont="1" applyFill="1" applyBorder="1" applyAlignment="1">
      <alignment horizontal="right" vertical="center" wrapText="1"/>
    </xf>
    <xf numFmtId="0" fontId="51" fillId="38" borderId="101" xfId="18" applyFont="1" applyFill="1" applyBorder="1" applyAlignment="1">
      <alignment horizontal="center" vertical="center"/>
    </xf>
    <xf numFmtId="0" fontId="51" fillId="38" borderId="102" xfId="18" applyFont="1" applyFill="1" applyBorder="1" applyAlignment="1">
      <alignment horizontal="center" vertical="center"/>
    </xf>
    <xf numFmtId="0" fontId="51" fillId="38" borderId="95" xfId="18" applyFont="1" applyFill="1" applyBorder="1" applyAlignment="1">
      <alignment horizontal="center" vertical="center"/>
    </xf>
    <xf numFmtId="0" fontId="68" fillId="43" borderId="54" xfId="18" applyFont="1" applyFill="1" applyBorder="1" applyAlignment="1">
      <alignment vertical="center"/>
    </xf>
    <xf numFmtId="0" fontId="68" fillId="43" borderId="89" xfId="18" applyFont="1" applyFill="1" applyBorder="1" applyAlignment="1">
      <alignment vertical="center"/>
    </xf>
    <xf numFmtId="0" fontId="67" fillId="36" borderId="89" xfId="18" applyFont="1" applyFill="1" applyBorder="1" applyAlignment="1">
      <alignment horizontal="right" vertical="center"/>
    </xf>
    <xf numFmtId="0" fontId="67" fillId="36" borderId="91" xfId="18" applyFont="1" applyFill="1" applyBorder="1" applyAlignment="1">
      <alignment horizontal="right" vertical="center"/>
    </xf>
    <xf numFmtId="0" fontId="68" fillId="43" borderId="24" xfId="18" applyFont="1" applyFill="1" applyBorder="1" applyAlignment="1">
      <alignment vertical="center"/>
    </xf>
    <xf numFmtId="0" fontId="68" fillId="43" borderId="20" xfId="18" applyFont="1" applyFill="1" applyBorder="1" applyAlignment="1">
      <alignment vertical="center"/>
    </xf>
    <xf numFmtId="0" fontId="67" fillId="36" borderId="20" xfId="18" applyFont="1" applyFill="1" applyBorder="1" applyAlignment="1">
      <alignment horizontal="right" vertical="center"/>
    </xf>
    <xf numFmtId="0" fontId="67" fillId="36" borderId="52" xfId="18" applyFont="1" applyFill="1" applyBorder="1" applyAlignment="1">
      <alignment horizontal="right" vertical="center"/>
    </xf>
    <xf numFmtId="14" fontId="67" fillId="36" borderId="20" xfId="18" applyNumberFormat="1" applyFont="1" applyFill="1" applyBorder="1" applyAlignment="1">
      <alignment horizontal="right" vertical="center"/>
    </xf>
    <xf numFmtId="22" fontId="67" fillId="36" borderId="20" xfId="18" applyNumberFormat="1" applyFont="1" applyFill="1" applyBorder="1" applyAlignment="1">
      <alignment horizontal="right" vertical="center"/>
    </xf>
    <xf numFmtId="17" fontId="6" fillId="0" borderId="39" xfId="19" applyNumberFormat="1" applyBorder="1"/>
    <xf numFmtId="17" fontId="6" fillId="0" borderId="32" xfId="19" applyNumberFormat="1" applyBorder="1"/>
    <xf numFmtId="0" fontId="11" fillId="43" borderId="54" xfId="19" applyFont="1" applyFill="1" applyBorder="1" applyAlignment="1">
      <alignment horizontal="center" vertical="center"/>
    </xf>
    <xf numFmtId="0" fontId="11" fillId="43" borderId="89" xfId="19" applyFont="1" applyFill="1" applyBorder="1" applyAlignment="1">
      <alignment horizontal="center" vertical="center"/>
    </xf>
    <xf numFmtId="0" fontId="11" fillId="43" borderId="24" xfId="19" applyFont="1" applyFill="1" applyBorder="1" applyAlignment="1">
      <alignment horizontal="center" vertical="center"/>
    </xf>
    <xf numFmtId="0" fontId="11" fillId="43" borderId="20" xfId="19" applyFont="1" applyFill="1" applyBorder="1" applyAlignment="1">
      <alignment horizontal="center" vertical="center"/>
    </xf>
    <xf numFmtId="0" fontId="1" fillId="0" borderId="20" xfId="19" applyFont="1" applyBorder="1" applyAlignment="1">
      <alignment horizontal="center" vertical="center"/>
    </xf>
    <xf numFmtId="0" fontId="24" fillId="43" borderId="24" xfId="19" applyFont="1" applyFill="1" applyBorder="1" applyAlignment="1">
      <alignment horizontal="center" vertical="center"/>
    </xf>
    <xf numFmtId="0" fontId="24" fillId="43" borderId="20" xfId="19" applyFont="1" applyFill="1" applyBorder="1" applyAlignment="1">
      <alignment horizontal="center" vertical="center"/>
    </xf>
    <xf numFmtId="0" fontId="24" fillId="43" borderId="20" xfId="19" applyFont="1" applyFill="1" applyBorder="1" applyAlignment="1">
      <alignment horizontal="center" vertical="center" wrapText="1"/>
    </xf>
    <xf numFmtId="0" fontId="24" fillId="43" borderId="52" xfId="19" applyFont="1" applyFill="1" applyBorder="1" applyAlignment="1">
      <alignment horizontal="center" vertical="center"/>
    </xf>
    <xf numFmtId="0" fontId="24" fillId="43" borderId="39" xfId="19" applyFont="1" applyFill="1" applyBorder="1"/>
    <xf numFmtId="0" fontId="24" fillId="43" borderId="32" xfId="19" applyFont="1" applyFill="1" applyBorder="1"/>
    <xf numFmtId="0" fontId="67" fillId="36" borderId="20" xfId="16" applyFont="1" applyFill="1" applyBorder="1" applyAlignment="1">
      <alignment horizontal="center" vertical="top"/>
    </xf>
    <xf numFmtId="49" fontId="67" fillId="36" borderId="20" xfId="16" applyNumberFormat="1" applyFont="1" applyFill="1" applyBorder="1" applyAlignment="1">
      <alignment horizontal="center" vertical="top"/>
    </xf>
    <xf numFmtId="49" fontId="67" fillId="36" borderId="52" xfId="16" applyNumberFormat="1" applyFont="1" applyFill="1" applyBorder="1" applyAlignment="1">
      <alignment horizontal="center" vertical="top"/>
    </xf>
    <xf numFmtId="0" fontId="68" fillId="43" borderId="54" xfId="16" applyFont="1" applyFill="1" applyBorder="1" applyAlignment="1">
      <alignment horizontal="left" vertical="center"/>
    </xf>
    <xf numFmtId="0" fontId="68" fillId="43" borderId="89" xfId="16" applyFont="1" applyFill="1" applyBorder="1" applyAlignment="1">
      <alignment horizontal="left" vertical="center"/>
    </xf>
    <xf numFmtId="0" fontId="67" fillId="36" borderId="89" xfId="16" applyFont="1" applyFill="1" applyBorder="1" applyAlignment="1">
      <alignment horizontal="center" vertical="center"/>
    </xf>
    <xf numFmtId="0" fontId="67" fillId="36" borderId="91" xfId="16" applyFont="1" applyFill="1" applyBorder="1" applyAlignment="1">
      <alignment horizontal="center" vertical="center"/>
    </xf>
    <xf numFmtId="0" fontId="64" fillId="46" borderId="20" xfId="16" applyFont="1" applyFill="1" applyBorder="1" applyAlignment="1">
      <alignment horizontal="center" vertical="center"/>
    </xf>
    <xf numFmtId="0" fontId="64" fillId="46" borderId="52" xfId="16" applyFont="1" applyFill="1" applyBorder="1" applyAlignment="1">
      <alignment horizontal="center" vertical="center"/>
    </xf>
    <xf numFmtId="0" fontId="67" fillId="36" borderId="20" xfId="16" applyFont="1" applyFill="1" applyBorder="1" applyAlignment="1">
      <alignment horizontal="right" vertical="center"/>
    </xf>
    <xf numFmtId="0" fontId="67" fillId="36" borderId="52" xfId="16" applyFont="1" applyFill="1" applyBorder="1" applyAlignment="1">
      <alignment horizontal="right" vertical="center"/>
    </xf>
    <xf numFmtId="0" fontId="67" fillId="36" borderId="20" xfId="16" applyFont="1" applyFill="1" applyBorder="1" applyAlignment="1">
      <alignment horizontal="right" vertical="center" wrapText="1"/>
    </xf>
    <xf numFmtId="0" fontId="67" fillId="36" borderId="52" xfId="16" applyFont="1" applyFill="1" applyBorder="1" applyAlignment="1">
      <alignment horizontal="right" vertical="center" wrapText="1"/>
    </xf>
    <xf numFmtId="14" fontId="67" fillId="36" borderId="20" xfId="16" applyNumberFormat="1" applyFont="1" applyFill="1" applyBorder="1" applyAlignment="1">
      <alignment horizontal="right" vertical="center"/>
    </xf>
    <xf numFmtId="14" fontId="67" fillId="36" borderId="52" xfId="16" applyNumberFormat="1" applyFont="1" applyFill="1" applyBorder="1" applyAlignment="1">
      <alignment horizontal="right" vertical="center"/>
    </xf>
    <xf numFmtId="22" fontId="67" fillId="36" borderId="20" xfId="16" applyNumberFormat="1" applyFont="1" applyFill="1" applyBorder="1" applyAlignment="1">
      <alignment horizontal="right" vertical="center"/>
    </xf>
    <xf numFmtId="22" fontId="67" fillId="36" borderId="52" xfId="16" applyNumberFormat="1" applyFont="1" applyFill="1" applyBorder="1" applyAlignment="1">
      <alignment horizontal="right" vertical="center"/>
    </xf>
    <xf numFmtId="15" fontId="67" fillId="36" borderId="20" xfId="16" applyNumberFormat="1" applyFont="1" applyFill="1" applyBorder="1" applyAlignment="1">
      <alignment horizontal="right" vertical="center"/>
    </xf>
    <xf numFmtId="15" fontId="67" fillId="36" borderId="52" xfId="16" applyNumberFormat="1" applyFont="1" applyFill="1" applyBorder="1" applyAlignment="1">
      <alignment horizontal="right" vertical="center"/>
    </xf>
    <xf numFmtId="168" fontId="23" fillId="15" borderId="56" xfId="7" applyFont="1" applyFill="1" applyBorder="1" applyAlignment="1" applyProtection="1">
      <alignment horizontal="center" vertical="center"/>
    </xf>
    <xf numFmtId="0" fontId="20" fillId="17" borderId="56" xfId="4" applyFont="1" applyFill="1" applyBorder="1" applyAlignment="1" applyProtection="1">
      <alignment horizontal="center" vertical="center"/>
      <protection locked="0"/>
    </xf>
    <xf numFmtId="0" fontId="20" fillId="17" borderId="56" xfId="4" applyFont="1" applyFill="1" applyBorder="1" applyAlignment="1" applyProtection="1">
      <alignment horizontal="center" vertical="center"/>
    </xf>
    <xf numFmtId="2" fontId="23" fillId="15" borderId="56" xfId="6" applyNumberFormat="1" applyFont="1" applyFill="1" applyBorder="1" applyAlignment="1" applyProtection="1">
      <alignment horizontal="left"/>
    </xf>
    <xf numFmtId="2" fontId="23" fillId="15" borderId="56" xfId="6" applyNumberFormat="1" applyFont="1" applyFill="1" applyBorder="1" applyAlignment="1" applyProtection="1">
      <alignment horizontal="center"/>
      <protection locked="0"/>
    </xf>
    <xf numFmtId="2" fontId="24" fillId="15" borderId="56" xfId="6" applyNumberFormat="1" applyFont="1" applyFill="1" applyBorder="1" applyAlignment="1" applyProtection="1">
      <alignment horizontal="center"/>
      <protection locked="0"/>
    </xf>
    <xf numFmtId="0" fontId="3" fillId="3" borderId="2" xfId="0" applyFont="1" applyFill="1" applyBorder="1" applyAlignment="1" applyProtection="1">
      <alignment horizontal="left" wrapText="1"/>
    </xf>
    <xf numFmtId="0" fontId="3" fillId="3" borderId="3" xfId="0" applyFont="1" applyFill="1" applyBorder="1" applyAlignment="1" applyProtection="1">
      <alignment horizontal="left" wrapText="1"/>
    </xf>
    <xf numFmtId="0" fontId="3" fillId="6" borderId="7" xfId="0" applyFont="1" applyFill="1" applyBorder="1" applyAlignment="1" applyProtection="1">
      <alignment horizontal="center"/>
    </xf>
    <xf numFmtId="0" fontId="3" fillId="6" borderId="8" xfId="0" applyFont="1" applyFill="1" applyBorder="1" applyAlignment="1" applyProtection="1">
      <alignment horizontal="center"/>
    </xf>
    <xf numFmtId="0" fontId="3" fillId="6" borderId="9" xfId="0" applyFont="1" applyFill="1" applyBorder="1" applyAlignment="1" applyProtection="1">
      <alignment horizontal="center"/>
    </xf>
    <xf numFmtId="0" fontId="7" fillId="4" borderId="18" xfId="0" applyFont="1" applyFill="1" applyBorder="1" applyAlignment="1" applyProtection="1">
      <alignment horizontal="center" wrapText="1"/>
    </xf>
    <xf numFmtId="0" fontId="7" fillId="4" borderId="28" xfId="0" applyFont="1" applyFill="1" applyBorder="1" applyAlignment="1" applyProtection="1">
      <alignment horizontal="center" wrapText="1"/>
    </xf>
    <xf numFmtId="0" fontId="2" fillId="2" borderId="1" xfId="0" applyFont="1" applyFill="1" applyBorder="1" applyAlignment="1" applyProtection="1">
      <alignment horizontal="left"/>
    </xf>
    <xf numFmtId="0" fontId="2" fillId="2" borderId="0" xfId="0" applyFont="1" applyFill="1" applyBorder="1" applyAlignment="1" applyProtection="1">
      <alignment horizontal="left"/>
    </xf>
    <xf numFmtId="0" fontId="3" fillId="3" borderId="2" xfId="0" applyFont="1" applyFill="1" applyBorder="1" applyAlignment="1" applyProtection="1">
      <alignment horizontal="left"/>
    </xf>
    <xf numFmtId="0" fontId="3" fillId="3" borderId="3" xfId="0" applyFont="1" applyFill="1" applyBorder="1" applyAlignment="1" applyProtection="1">
      <alignment horizontal="left"/>
    </xf>
    <xf numFmtId="0" fontId="18" fillId="7" borderId="5" xfId="0" applyFont="1" applyFill="1" applyBorder="1" applyAlignment="1" applyProtection="1">
      <alignment horizontal="center"/>
      <protection locked="0"/>
    </xf>
    <xf numFmtId="0" fontId="18" fillId="7" borderId="19" xfId="0" applyFont="1" applyFill="1" applyBorder="1" applyAlignment="1" applyProtection="1">
      <alignment horizontal="center"/>
      <protection locked="0"/>
    </xf>
    <xf numFmtId="0" fontId="3" fillId="29" borderId="33" xfId="0" applyFont="1" applyFill="1" applyBorder="1" applyAlignment="1">
      <alignment horizontal="center" vertical="top"/>
    </xf>
    <xf numFmtId="0" fontId="3" fillId="29" borderId="29" xfId="0" applyFont="1" applyFill="1" applyBorder="1" applyAlignment="1">
      <alignment horizontal="center" vertical="top"/>
    </xf>
    <xf numFmtId="0" fontId="10" fillId="0" borderId="72" xfId="0" applyFont="1" applyBorder="1" applyAlignment="1">
      <alignment horizontal="center"/>
    </xf>
    <xf numFmtId="0" fontId="10" fillId="0" borderId="73" xfId="0" applyFont="1" applyBorder="1" applyAlignment="1">
      <alignment horizontal="center"/>
    </xf>
    <xf numFmtId="0" fontId="10" fillId="0" borderId="74" xfId="0" applyFont="1" applyBorder="1" applyAlignment="1">
      <alignment horizontal="center"/>
    </xf>
    <xf numFmtId="0" fontId="10" fillId="0" borderId="0" xfId="0" applyFont="1" applyBorder="1" applyAlignment="1">
      <alignment horizontal="center"/>
    </xf>
    <xf numFmtId="0" fontId="34" fillId="29" borderId="20" xfId="0" applyFont="1" applyFill="1" applyBorder="1" applyAlignment="1">
      <alignment horizontal="left" vertical="top" wrapText="1"/>
    </xf>
    <xf numFmtId="0" fontId="3" fillId="29" borderId="20" xfId="0" applyFont="1" applyFill="1" applyBorder="1" applyAlignment="1">
      <alignment horizontal="left" vertical="top" wrapText="1"/>
    </xf>
    <xf numFmtId="0" fontId="35" fillId="0" borderId="20" xfId="0" applyFont="1" applyFill="1" applyBorder="1" applyAlignment="1">
      <alignment horizontal="left" vertical="top" wrapText="1"/>
    </xf>
    <xf numFmtId="10" fontId="5" fillId="0" borderId="56" xfId="1" applyNumberFormat="1" applyFont="1" applyFill="1" applyBorder="1" applyAlignment="1" applyProtection="1">
      <alignment horizontal="left" vertical="center"/>
    </xf>
    <xf numFmtId="2" fontId="12" fillId="17" borderId="56" xfId="4" applyNumberFormat="1" applyFont="1" applyFill="1" applyBorder="1" applyAlignment="1" applyProtection="1">
      <alignment horizontal="center" vertical="center"/>
    </xf>
    <xf numFmtId="167" fontId="12" fillId="20" borderId="66" xfId="1" applyNumberFormat="1" applyFont="1" applyFill="1" applyBorder="1" applyAlignment="1" applyProtection="1">
      <alignment horizontal="center" vertical="top"/>
    </xf>
    <xf numFmtId="167" fontId="12" fillId="20" borderId="67" xfId="1" applyNumberFormat="1" applyFont="1" applyFill="1" applyBorder="1" applyAlignment="1" applyProtection="1">
      <alignment horizontal="center" vertical="top"/>
    </xf>
    <xf numFmtId="167" fontId="5" fillId="15" borderId="56" xfId="1" applyNumberFormat="1" applyFont="1" applyFill="1" applyBorder="1" applyAlignment="1" applyProtection="1">
      <alignment horizontal="left" vertical="top"/>
    </xf>
    <xf numFmtId="167" fontId="5" fillId="0" borderId="56" xfId="1" applyNumberFormat="1" applyFont="1" applyFill="1" applyBorder="1" applyAlignment="1" applyProtection="1">
      <alignment horizontal="left" vertical="center"/>
    </xf>
    <xf numFmtId="3" fontId="5" fillId="0" borderId="56" xfId="1" applyNumberFormat="1" applyFont="1" applyFill="1" applyBorder="1" applyAlignment="1" applyProtection="1">
      <alignment horizontal="left" vertical="center"/>
    </xf>
    <xf numFmtId="167" fontId="12" fillId="17" borderId="56" xfId="1" applyNumberFormat="1" applyFont="1" applyFill="1" applyBorder="1" applyAlignment="1" applyProtection="1">
      <alignment horizontal="left" vertical="top"/>
    </xf>
    <xf numFmtId="167" fontId="5" fillId="0" borderId="56" xfId="1" applyNumberFormat="1" applyFont="1" applyFill="1" applyBorder="1" applyAlignment="1" applyProtection="1">
      <alignment horizontal="left" vertical="top"/>
    </xf>
    <xf numFmtId="0" fontId="53" fillId="38" borderId="101" xfId="10" applyFont="1" applyFill="1" applyBorder="1" applyAlignment="1">
      <alignment horizontal="center" vertical="center"/>
    </xf>
    <xf numFmtId="0" fontId="53" fillId="38" borderId="102" xfId="10" applyFont="1" applyFill="1" applyBorder="1" applyAlignment="1">
      <alignment horizontal="center" vertical="center"/>
    </xf>
    <xf numFmtId="0" fontId="53" fillId="38" borderId="95" xfId="10" applyFont="1" applyFill="1" applyBorder="1" applyAlignment="1">
      <alignment horizontal="center" vertical="center"/>
    </xf>
    <xf numFmtId="0" fontId="54" fillId="42" borderId="54" xfId="10" applyFont="1" applyFill="1" applyBorder="1" applyAlignment="1">
      <alignment vertical="center"/>
    </xf>
    <xf numFmtId="0" fontId="54" fillId="42" borderId="89" xfId="10" applyFont="1" applyFill="1" applyBorder="1" applyAlignment="1">
      <alignment vertical="center"/>
    </xf>
    <xf numFmtId="0" fontId="54" fillId="42" borderId="89" xfId="10" applyFont="1" applyFill="1" applyBorder="1" applyAlignment="1">
      <alignment horizontal="center" vertical="center"/>
    </xf>
    <xf numFmtId="0" fontId="54" fillId="42" borderId="91" xfId="10" applyFont="1" applyFill="1" applyBorder="1" applyAlignment="1">
      <alignment horizontal="center" vertical="center"/>
    </xf>
    <xf numFmtId="0" fontId="9" fillId="36" borderId="20" xfId="10" applyFont="1" applyFill="1" applyBorder="1" applyAlignment="1">
      <alignment horizontal="right" vertical="center"/>
    </xf>
    <xf numFmtId="0" fontId="9" fillId="36" borderId="52" xfId="10" applyFont="1" applyFill="1" applyBorder="1" applyAlignment="1">
      <alignment horizontal="right" vertical="center"/>
    </xf>
    <xf numFmtId="0" fontId="55" fillId="43" borderId="24" xfId="10" applyFont="1" applyFill="1" applyBorder="1" applyAlignment="1">
      <alignment vertical="center"/>
    </xf>
    <xf numFmtId="0" fontId="55" fillId="43" borderId="20" xfId="10" applyFont="1" applyFill="1" applyBorder="1" applyAlignment="1">
      <alignment vertical="center"/>
    </xf>
    <xf numFmtId="176" fontId="9" fillId="36" borderId="20" xfId="10" applyNumberFormat="1" applyFont="1" applyFill="1" applyBorder="1" applyAlignment="1">
      <alignment horizontal="right" vertical="center"/>
    </xf>
    <xf numFmtId="176" fontId="9" fillId="36" borderId="52" xfId="10" applyNumberFormat="1" applyFont="1" applyFill="1" applyBorder="1" applyAlignment="1">
      <alignment horizontal="right" vertical="center"/>
    </xf>
    <xf numFmtId="0" fontId="56" fillId="36" borderId="20" xfId="10" applyFont="1" applyFill="1" applyBorder="1" applyAlignment="1">
      <alignment horizontal="right" vertical="center"/>
    </xf>
    <xf numFmtId="0" fontId="56" fillId="36" borderId="52" xfId="10" applyFont="1" applyFill="1" applyBorder="1" applyAlignment="1">
      <alignment horizontal="right" vertical="center"/>
    </xf>
    <xf numFmtId="3" fontId="9" fillId="36" borderId="20" xfId="10" applyNumberFormat="1" applyFont="1" applyFill="1" applyBorder="1" applyAlignment="1">
      <alignment horizontal="right" vertical="center"/>
    </xf>
    <xf numFmtId="3" fontId="9" fillId="36" borderId="52" xfId="10" applyNumberFormat="1" applyFont="1" applyFill="1" applyBorder="1" applyAlignment="1">
      <alignment horizontal="right" vertical="center"/>
    </xf>
    <xf numFmtId="9" fontId="9" fillId="12" borderId="20" xfId="11" applyFont="1" applyFill="1" applyBorder="1" applyAlignment="1">
      <alignment horizontal="right" vertical="center"/>
    </xf>
    <xf numFmtId="9" fontId="9" fillId="12" borderId="52" xfId="11" applyFont="1" applyFill="1" applyBorder="1" applyAlignment="1">
      <alignment horizontal="right" vertical="center"/>
    </xf>
    <xf numFmtId="49" fontId="9" fillId="36" borderId="20" xfId="10" applyNumberFormat="1" applyFont="1" applyFill="1" applyBorder="1" applyAlignment="1">
      <alignment horizontal="right" vertical="center"/>
    </xf>
    <xf numFmtId="49" fontId="9" fillId="36" borderId="52" xfId="10" applyNumberFormat="1" applyFont="1" applyFill="1" applyBorder="1" applyAlignment="1">
      <alignment horizontal="right" vertical="center"/>
    </xf>
    <xf numFmtId="173" fontId="11" fillId="40" borderId="54" xfId="10" applyNumberFormat="1" applyFont="1" applyFill="1" applyBorder="1" applyAlignment="1">
      <alignment horizontal="center" vertical="center"/>
    </xf>
    <xf numFmtId="173" fontId="11" fillId="40" borderId="89" xfId="10" applyNumberFormat="1" applyFont="1" applyFill="1" applyBorder="1" applyAlignment="1">
      <alignment horizontal="center" vertical="center"/>
    </xf>
    <xf numFmtId="173" fontId="11" fillId="40" borderId="91" xfId="10" applyNumberFormat="1" applyFont="1" applyFill="1" applyBorder="1" applyAlignment="1">
      <alignment horizontal="center" vertical="center"/>
    </xf>
    <xf numFmtId="0" fontId="11" fillId="40" borderId="89" xfId="10" applyFont="1" applyFill="1" applyBorder="1" applyAlignment="1">
      <alignment horizontal="center" vertical="center"/>
    </xf>
    <xf numFmtId="0" fontId="11" fillId="40" borderId="71" xfId="10" applyFont="1" applyFill="1" applyBorder="1" applyAlignment="1">
      <alignment horizontal="center" vertical="center"/>
    </xf>
    <xf numFmtId="0" fontId="11" fillId="40" borderId="89" xfId="10" applyFont="1" applyFill="1" applyBorder="1" applyAlignment="1">
      <alignment horizontal="center" vertical="center" wrapText="1"/>
    </xf>
    <xf numFmtId="0" fontId="11" fillId="40" borderId="71" xfId="10" applyFont="1" applyFill="1" applyBorder="1" applyAlignment="1">
      <alignment horizontal="center" vertical="center" wrapText="1"/>
    </xf>
    <xf numFmtId="0" fontId="55" fillId="43" borderId="41" xfId="10" applyFont="1" applyFill="1" applyBorder="1" applyAlignment="1">
      <alignment vertical="center"/>
    </xf>
    <xf numFmtId="0" fontId="55" fillId="43" borderId="42" xfId="10" applyFont="1" applyFill="1" applyBorder="1" applyAlignment="1">
      <alignment vertical="center"/>
    </xf>
    <xf numFmtId="0" fontId="9" fillId="36" borderId="42" xfId="10" applyFont="1" applyFill="1" applyBorder="1" applyAlignment="1">
      <alignment horizontal="right" vertical="center"/>
    </xf>
    <xf numFmtId="0" fontId="9" fillId="36" borderId="55" xfId="10" applyFont="1" applyFill="1" applyBorder="1" applyAlignment="1">
      <alignment horizontal="right" vertical="center"/>
    </xf>
    <xf numFmtId="0" fontId="11" fillId="40" borderId="74" xfId="10" applyFont="1" applyFill="1" applyBorder="1" applyAlignment="1">
      <alignment horizontal="center" vertical="center" wrapText="1"/>
    </xf>
    <xf numFmtId="0" fontId="11" fillId="40" borderId="98" xfId="10" applyFont="1" applyFill="1" applyBorder="1" applyAlignment="1">
      <alignment horizontal="center" vertical="center" wrapText="1"/>
    </xf>
    <xf numFmtId="0" fontId="11" fillId="40" borderId="91" xfId="10" applyFont="1" applyFill="1" applyBorder="1" applyAlignment="1">
      <alignment horizontal="center" vertical="center" wrapText="1"/>
    </xf>
    <xf numFmtId="0" fontId="11" fillId="40" borderId="97" xfId="10" applyFont="1" applyFill="1" applyBorder="1" applyAlignment="1">
      <alignment horizontal="center" vertical="center" wrapText="1"/>
    </xf>
    <xf numFmtId="17" fontId="11" fillId="40" borderId="47" xfId="10" applyNumberFormat="1" applyFont="1" applyFill="1" applyBorder="1" applyAlignment="1">
      <alignment horizontal="center" vertical="center"/>
    </xf>
    <xf numFmtId="17" fontId="11" fillId="40" borderId="89" xfId="10" applyNumberFormat="1" applyFont="1" applyFill="1" applyBorder="1" applyAlignment="1">
      <alignment horizontal="center" vertical="center"/>
    </xf>
    <xf numFmtId="17" fontId="11" fillId="40" borderId="91" xfId="10" applyNumberFormat="1" applyFont="1" applyFill="1" applyBorder="1" applyAlignment="1">
      <alignment horizontal="center" vertical="center"/>
    </xf>
    <xf numFmtId="173" fontId="11" fillId="40" borderId="47" xfId="10" applyNumberFormat="1" applyFont="1" applyFill="1" applyBorder="1" applyAlignment="1">
      <alignment horizontal="center" vertical="center"/>
    </xf>
    <xf numFmtId="0" fontId="57" fillId="38" borderId="103" xfId="10" applyFont="1" applyFill="1" applyBorder="1" applyAlignment="1">
      <alignment horizontal="center" vertical="center"/>
    </xf>
    <xf numFmtId="0" fontId="57" fillId="38" borderId="104" xfId="10" applyFont="1" applyFill="1" applyBorder="1" applyAlignment="1">
      <alignment horizontal="center" vertical="center"/>
    </xf>
    <xf numFmtId="0" fontId="57" fillId="38" borderId="105" xfId="10" applyFont="1" applyFill="1" applyBorder="1" applyAlignment="1">
      <alignment horizontal="center" vertical="center"/>
    </xf>
    <xf numFmtId="0" fontId="11" fillId="40" borderId="54" xfId="10" applyFont="1" applyFill="1" applyBorder="1" applyAlignment="1">
      <alignment horizontal="center" vertical="center" wrapText="1"/>
    </xf>
    <xf numFmtId="0" fontId="11" fillId="40" borderId="53" xfId="10" applyFont="1" applyFill="1" applyBorder="1" applyAlignment="1">
      <alignment horizontal="center" vertical="center" wrapText="1"/>
    </xf>
    <xf numFmtId="0" fontId="11" fillId="40" borderId="106" xfId="10" applyFont="1" applyFill="1" applyBorder="1" applyAlignment="1">
      <alignment horizontal="center" vertical="center"/>
    </xf>
    <xf numFmtId="0" fontId="11" fillId="40" borderId="70" xfId="10" applyFont="1" applyFill="1" applyBorder="1" applyAlignment="1">
      <alignment horizontal="center" vertical="center"/>
    </xf>
    <xf numFmtId="0" fontId="11" fillId="40" borderId="106" xfId="10" applyFont="1" applyFill="1" applyBorder="1" applyAlignment="1">
      <alignment horizontal="center" vertical="center" wrapText="1"/>
    </xf>
    <xf numFmtId="0" fontId="11" fillId="40" borderId="70" xfId="10" applyFont="1" applyFill="1" applyBorder="1" applyAlignment="1">
      <alignment horizontal="center" vertical="center" wrapText="1"/>
    </xf>
    <xf numFmtId="0" fontId="11" fillId="40" borderId="90" xfId="10" applyFont="1" applyFill="1" applyBorder="1" applyAlignment="1">
      <alignment horizontal="center" vertical="center"/>
    </xf>
    <xf numFmtId="0" fontId="45" fillId="11" borderId="33" xfId="2" applyFont="1" applyFill="1" applyBorder="1" applyAlignment="1">
      <alignment horizontal="center" vertical="center" wrapText="1"/>
    </xf>
    <xf numFmtId="0" fontId="45" fillId="11" borderId="29" xfId="2" applyFont="1" applyFill="1" applyBorder="1" applyAlignment="1">
      <alignment horizontal="center" vertical="center" wrapText="1"/>
    </xf>
    <xf numFmtId="0" fontId="8" fillId="36" borderId="0" xfId="2" applyFont="1" applyFill="1" applyAlignment="1">
      <alignment horizontal="center" vertical="center" wrapText="1"/>
    </xf>
    <xf numFmtId="0" fontId="9" fillId="36" borderId="20" xfId="9" applyFont="1" applyFill="1" applyBorder="1" applyAlignment="1">
      <alignment vertical="center"/>
    </xf>
    <xf numFmtId="3" fontId="9" fillId="36" borderId="30" xfId="9" applyNumberFormat="1" applyFont="1" applyFill="1" applyBorder="1" applyAlignment="1">
      <alignment horizontal="center" vertical="center"/>
    </xf>
    <xf numFmtId="3" fontId="9" fillId="36" borderId="31" xfId="9" applyNumberFormat="1" applyFont="1" applyFill="1" applyBorder="1" applyAlignment="1">
      <alignment horizontal="center" vertical="center"/>
    </xf>
    <xf numFmtId="3" fontId="9" fillId="36" borderId="32" xfId="9" applyNumberFormat="1" applyFont="1" applyFill="1" applyBorder="1" applyAlignment="1">
      <alignment horizontal="center" vertical="center"/>
    </xf>
    <xf numFmtId="0" fontId="9" fillId="36" borderId="30" xfId="9" applyFont="1" applyFill="1" applyBorder="1" applyAlignment="1">
      <alignment horizontal="left" vertical="center"/>
    </xf>
    <xf numFmtId="0" fontId="9" fillId="36" borderId="32" xfId="9" applyFont="1" applyFill="1" applyBorder="1" applyAlignment="1">
      <alignment horizontal="left" vertical="center"/>
    </xf>
    <xf numFmtId="3" fontId="9" fillId="36" borderId="20" xfId="9" applyNumberFormat="1" applyFont="1" applyFill="1" applyBorder="1" applyAlignment="1">
      <alignment horizontal="center" vertical="center"/>
    </xf>
    <xf numFmtId="173" fontId="11" fillId="39" borderId="54" xfId="9" applyNumberFormat="1" applyFont="1" applyFill="1" applyBorder="1" applyAlignment="1">
      <alignment horizontal="center" vertical="center"/>
    </xf>
    <xf numFmtId="173" fontId="11" fillId="40" borderId="89" xfId="9" applyNumberFormat="1" applyFont="1" applyFill="1" applyBorder="1" applyAlignment="1">
      <alignment horizontal="center" vertical="center"/>
    </xf>
    <xf numFmtId="0" fontId="51" fillId="9" borderId="61" xfId="9" applyFont="1" applyFill="1" applyBorder="1" applyAlignment="1">
      <alignment horizontal="center" vertical="center"/>
    </xf>
    <xf numFmtId="0" fontId="51" fillId="38" borderId="84" xfId="9" applyFont="1" applyFill="1" applyBorder="1" applyAlignment="1">
      <alignment horizontal="center" vertical="center"/>
    </xf>
    <xf numFmtId="0" fontId="51" fillId="38" borderId="62" xfId="9" applyFont="1" applyFill="1" applyBorder="1" applyAlignment="1">
      <alignment horizontal="center" vertical="center"/>
    </xf>
    <xf numFmtId="0" fontId="51" fillId="9" borderId="8" xfId="9" applyFont="1" applyFill="1" applyBorder="1" applyAlignment="1">
      <alignment horizontal="center" vertical="center"/>
    </xf>
    <xf numFmtId="0" fontId="51" fillId="38" borderId="8" xfId="9" applyFont="1" applyFill="1" applyBorder="1" applyAlignment="1">
      <alignment horizontal="center" vertical="center"/>
    </xf>
    <xf numFmtId="0" fontId="51" fillId="38" borderId="85" xfId="9" applyFont="1" applyFill="1" applyBorder="1" applyAlignment="1">
      <alignment horizontal="center" vertical="center"/>
    </xf>
    <xf numFmtId="0" fontId="51" fillId="38" borderId="86" xfId="9" applyFont="1" applyFill="1" applyBorder="1" applyAlignment="1">
      <alignment horizontal="center" vertical="center"/>
    </xf>
    <xf numFmtId="0" fontId="11" fillId="39" borderId="49" xfId="9" applyFont="1" applyFill="1" applyBorder="1" applyAlignment="1">
      <alignment horizontal="center" vertical="center" wrapText="1"/>
    </xf>
    <xf numFmtId="0" fontId="11" fillId="40" borderId="24" xfId="9" applyFont="1" applyFill="1" applyBorder="1" applyAlignment="1">
      <alignment horizontal="center" vertical="center" wrapText="1"/>
    </xf>
    <xf numFmtId="0" fontId="11" fillId="39" borderId="87" xfId="9" applyFont="1" applyFill="1" applyBorder="1" applyAlignment="1">
      <alignment horizontal="center" vertical="center"/>
    </xf>
    <xf numFmtId="0" fontId="11" fillId="40" borderId="88" xfId="9" applyFont="1" applyFill="1" applyBorder="1" applyAlignment="1">
      <alignment horizontal="center" vertical="center"/>
    </xf>
    <xf numFmtId="0" fontId="11" fillId="40" borderId="33" xfId="9" applyFont="1" applyFill="1" applyBorder="1" applyAlignment="1">
      <alignment horizontal="center" vertical="center"/>
    </xf>
    <xf numFmtId="0" fontId="11" fillId="40" borderId="47" xfId="9" applyFont="1" applyFill="1" applyBorder="1" applyAlignment="1">
      <alignment horizontal="center" vertical="center"/>
    </xf>
    <xf numFmtId="0" fontId="11" fillId="39" borderId="50" xfId="9" applyFont="1" applyFill="1" applyBorder="1" applyAlignment="1">
      <alignment horizontal="center" vertical="center"/>
    </xf>
    <xf numFmtId="0" fontId="11" fillId="40" borderId="20" xfId="9" applyFont="1" applyFill="1" applyBorder="1" applyAlignment="1">
      <alignment horizontal="center" vertical="center"/>
    </xf>
    <xf numFmtId="0" fontId="11" fillId="39" borderId="60" xfId="9" applyFont="1" applyFill="1" applyBorder="1" applyAlignment="1">
      <alignment horizontal="center" vertical="center"/>
    </xf>
    <xf numFmtId="0" fontId="11" fillId="40" borderId="91" xfId="9" applyFont="1" applyFill="1" applyBorder="1" applyAlignment="1">
      <alignment horizontal="center" vertical="center"/>
    </xf>
    <xf numFmtId="17" fontId="11" fillId="39" borderId="49" xfId="9" applyNumberFormat="1" applyFont="1" applyFill="1" applyBorder="1" applyAlignment="1">
      <alignment horizontal="center" vertical="center"/>
    </xf>
    <xf numFmtId="17" fontId="11" fillId="40" borderId="51" xfId="9" applyNumberFormat="1" applyFont="1" applyFill="1" applyBorder="1" applyAlignment="1">
      <alignment horizontal="center" vertical="center"/>
    </xf>
    <xf numFmtId="173" fontId="11" fillId="39" borderId="36" xfId="9" applyNumberFormat="1" applyFont="1" applyFill="1" applyBorder="1" applyAlignment="1">
      <alignment horizontal="center" vertical="center"/>
    </xf>
    <xf numFmtId="173" fontId="11" fillId="40" borderId="51" xfId="9" applyNumberFormat="1" applyFont="1" applyFill="1" applyBorder="1" applyAlignment="1">
      <alignment horizontal="center" vertical="center"/>
    </xf>
    <xf numFmtId="0" fontId="9" fillId="36" borderId="30" xfId="9" applyFont="1" applyFill="1" applyBorder="1" applyAlignment="1">
      <alignment vertical="center"/>
    </xf>
    <xf numFmtId="0" fontId="9" fillId="36" borderId="32" xfId="9" applyFont="1" applyFill="1" applyBorder="1" applyAlignment="1">
      <alignment vertical="center"/>
    </xf>
    <xf numFmtId="0" fontId="11" fillId="39" borderId="90" xfId="9" applyFont="1" applyFill="1" applyBorder="1" applyAlignment="1">
      <alignment horizontal="center" vertical="center"/>
    </xf>
    <xf numFmtId="0" fontId="11" fillId="40" borderId="92" xfId="9" applyFont="1" applyFill="1" applyBorder="1" applyAlignment="1">
      <alignment horizontal="center" vertical="center"/>
    </xf>
    <xf numFmtId="0" fontId="11" fillId="39" borderId="61" xfId="6" applyFont="1" applyFill="1" applyBorder="1" applyAlignment="1">
      <alignment horizontal="center" vertical="center"/>
    </xf>
    <xf numFmtId="0" fontId="11" fillId="39" borderId="93" xfId="6" applyFont="1" applyFill="1" applyBorder="1" applyAlignment="1">
      <alignment horizontal="center" vertical="center"/>
    </xf>
    <xf numFmtId="0" fontId="51" fillId="9" borderId="84" xfId="9" applyFont="1" applyFill="1" applyBorder="1" applyAlignment="1">
      <alignment horizontal="center" vertical="center"/>
    </xf>
    <xf numFmtId="0" fontId="11" fillId="40" borderId="8" xfId="9" applyFont="1" applyFill="1" applyBorder="1" applyAlignment="1">
      <alignment horizontal="center" vertical="center"/>
    </xf>
    <xf numFmtId="0" fontId="11" fillId="40" borderId="9" xfId="9" applyFont="1" applyFill="1" applyBorder="1" applyAlignment="1">
      <alignment horizontal="center" vertical="center"/>
    </xf>
    <xf numFmtId="0" fontId="11" fillId="40" borderId="29" xfId="9" applyFont="1" applyFill="1" applyBorder="1" applyAlignment="1">
      <alignment horizontal="center" vertical="center"/>
    </xf>
    <xf numFmtId="0" fontId="11" fillId="40" borderId="48" xfId="9" applyFont="1" applyFill="1" applyBorder="1" applyAlignment="1">
      <alignment horizontal="center" vertical="center"/>
    </xf>
    <xf numFmtId="173" fontId="11" fillId="39" borderId="49" xfId="9" applyNumberFormat="1" applyFont="1" applyFill="1" applyBorder="1" applyAlignment="1">
      <alignment horizontal="center" vertical="center"/>
    </xf>
    <xf numFmtId="173" fontId="11" fillId="40" borderId="50" xfId="9" applyNumberFormat="1" applyFont="1" applyFill="1" applyBorder="1" applyAlignment="1">
      <alignment horizontal="center" vertical="center"/>
    </xf>
    <xf numFmtId="0" fontId="9" fillId="36" borderId="43" xfId="9" applyFont="1" applyFill="1" applyBorder="1" applyAlignment="1">
      <alignment horizontal="left" vertical="center"/>
    </xf>
    <xf numFmtId="0" fontId="9" fillId="36" borderId="96" xfId="9" applyFont="1" applyFill="1" applyBorder="1" applyAlignment="1">
      <alignment horizontal="left" vertical="center"/>
    </xf>
    <xf numFmtId="3" fontId="9" fillId="36" borderId="43" xfId="9" applyNumberFormat="1" applyFont="1" applyFill="1" applyBorder="1" applyAlignment="1">
      <alignment horizontal="center" vertical="center"/>
    </xf>
    <xf numFmtId="3" fontId="9" fillId="36" borderId="44" xfId="9" applyNumberFormat="1" applyFont="1" applyFill="1" applyBorder="1" applyAlignment="1">
      <alignment horizontal="center" vertical="center"/>
    </xf>
    <xf numFmtId="3" fontId="9" fillId="36" borderId="96" xfId="9" applyNumberFormat="1" applyFont="1" applyFill="1" applyBorder="1" applyAlignment="1">
      <alignment horizontal="center" vertical="center"/>
    </xf>
    <xf numFmtId="3" fontId="11" fillId="39" borderId="94" xfId="6" applyNumberFormat="1" applyFont="1" applyFill="1" applyBorder="1" applyAlignment="1">
      <alignment horizontal="center" vertical="center"/>
    </xf>
    <xf numFmtId="3" fontId="11" fillId="39" borderId="84" xfId="6" applyNumberFormat="1" applyFont="1" applyFill="1" applyBorder="1" applyAlignment="1">
      <alignment horizontal="center" vertical="center"/>
    </xf>
    <xf numFmtId="3" fontId="11" fillId="39" borderId="93" xfId="6" applyNumberFormat="1" applyFont="1" applyFill="1" applyBorder="1" applyAlignment="1">
      <alignment horizontal="center" vertical="center"/>
    </xf>
    <xf numFmtId="173" fontId="11" fillId="40" borderId="91" xfId="9" applyNumberFormat="1" applyFont="1" applyFill="1" applyBorder="1" applyAlignment="1">
      <alignment horizontal="center" vertical="center"/>
    </xf>
    <xf numFmtId="0" fontId="51" fillId="9" borderId="62" xfId="9" applyFont="1" applyFill="1" applyBorder="1" applyAlignment="1">
      <alignment horizontal="center" vertical="center"/>
    </xf>
    <xf numFmtId="0" fontId="11" fillId="39" borderId="54" xfId="9" applyFont="1" applyFill="1" applyBorder="1" applyAlignment="1">
      <alignment horizontal="center" vertical="center" wrapText="1"/>
    </xf>
    <xf numFmtId="0" fontId="11" fillId="39" borderId="74" xfId="9" applyFont="1" applyFill="1" applyBorder="1" applyAlignment="1">
      <alignment horizontal="center" vertical="center"/>
    </xf>
    <xf numFmtId="0" fontId="11" fillId="40" borderId="98" xfId="9" applyFont="1" applyFill="1" applyBorder="1" applyAlignment="1">
      <alignment horizontal="center" vertical="center"/>
    </xf>
    <xf numFmtId="17" fontId="11" fillId="39" borderId="47" xfId="9" applyNumberFormat="1" applyFont="1" applyFill="1" applyBorder="1" applyAlignment="1">
      <alignment horizontal="center" vertical="center"/>
    </xf>
    <xf numFmtId="17" fontId="11" fillId="40" borderId="89" xfId="9" applyNumberFormat="1" applyFont="1" applyFill="1" applyBorder="1" applyAlignment="1">
      <alignment horizontal="center" vertical="center"/>
    </xf>
    <xf numFmtId="173" fontId="11" fillId="39" borderId="47" xfId="9" applyNumberFormat="1" applyFont="1" applyFill="1" applyBorder="1" applyAlignment="1">
      <alignment horizontal="center" vertical="center"/>
    </xf>
    <xf numFmtId="0" fontId="11" fillId="39" borderId="37" xfId="9" applyFont="1" applyFill="1" applyBorder="1" applyAlignment="1">
      <alignment horizontal="center" vertical="center" wrapText="1"/>
    </xf>
    <xf numFmtId="0" fontId="11" fillId="39" borderId="38" xfId="9" applyFont="1" applyFill="1" applyBorder="1" applyAlignment="1">
      <alignment horizontal="center" vertical="center" wrapText="1"/>
    </xf>
    <xf numFmtId="3" fontId="9" fillId="36" borderId="43" xfId="9" applyNumberFormat="1" applyFont="1" applyFill="1" applyBorder="1" applyAlignment="1">
      <alignment vertical="center"/>
    </xf>
    <xf numFmtId="3" fontId="9" fillId="36" borderId="45" xfId="9" applyNumberFormat="1" applyFont="1" applyFill="1" applyBorder="1" applyAlignment="1">
      <alignment vertical="center"/>
    </xf>
    <xf numFmtId="0" fontId="0" fillId="0" borderId="58" xfId="0" applyBorder="1" applyAlignment="1">
      <alignment horizontal="left"/>
    </xf>
    <xf numFmtId="0" fontId="3" fillId="6" borderId="30" xfId="2" applyFont="1" applyFill="1" applyBorder="1" applyAlignment="1" applyProtection="1">
      <alignment horizontal="center" wrapText="1"/>
      <protection locked="0"/>
    </xf>
    <xf numFmtId="0" fontId="3" fillId="6" borderId="31" xfId="2" applyFont="1" applyFill="1" applyBorder="1" applyAlignment="1" applyProtection="1">
      <alignment horizontal="center" wrapText="1"/>
      <protection locked="0"/>
    </xf>
    <xf numFmtId="0" fontId="3" fillId="6" borderId="32" xfId="2" applyFont="1" applyFill="1" applyBorder="1" applyAlignment="1" applyProtection="1">
      <alignment horizontal="center" wrapText="1"/>
      <protection locked="0"/>
    </xf>
    <xf numFmtId="0" fontId="3" fillId="11" borderId="53" xfId="2" applyFont="1" applyFill="1" applyBorder="1" applyAlignment="1" applyProtection="1">
      <alignment horizontal="left" wrapText="1"/>
    </xf>
    <xf numFmtId="0" fontId="3" fillId="11" borderId="54" xfId="2" applyFont="1" applyFill="1" applyBorder="1" applyAlignment="1" applyProtection="1">
      <alignment horizontal="left" wrapText="1"/>
    </xf>
    <xf numFmtId="0" fontId="13" fillId="8" borderId="46" xfId="2" applyFont="1" applyFill="1" applyBorder="1" applyAlignment="1" applyProtection="1">
      <alignment horizontal="left" wrapText="1"/>
    </xf>
    <xf numFmtId="0" fontId="13" fillId="8" borderId="29" xfId="2" applyFont="1" applyFill="1" applyBorder="1" applyAlignment="1" applyProtection="1">
      <alignment horizontal="left" wrapText="1"/>
    </xf>
    <xf numFmtId="0" fontId="13" fillId="8" borderId="47" xfId="2" applyFont="1" applyFill="1" applyBorder="1" applyAlignment="1" applyProtection="1">
      <alignment horizontal="left" wrapText="1"/>
    </xf>
    <xf numFmtId="0" fontId="3" fillId="10" borderId="37" xfId="0" applyFont="1" applyFill="1" applyBorder="1" applyAlignment="1">
      <alignment horizontal="center"/>
    </xf>
    <xf numFmtId="0" fontId="3" fillId="10" borderId="35" xfId="0" applyFont="1" applyFill="1" applyBorder="1" applyAlignment="1">
      <alignment horizontal="center"/>
    </xf>
    <xf numFmtId="0" fontId="3" fillId="10" borderId="36" xfId="0" applyFont="1" applyFill="1" applyBorder="1" applyAlignment="1">
      <alignment horizontal="center"/>
    </xf>
    <xf numFmtId="0" fontId="18" fillId="7" borderId="30" xfId="2" applyFont="1" applyFill="1" applyBorder="1" applyAlignment="1" applyProtection="1">
      <alignment horizontal="center" wrapText="1"/>
      <protection locked="0"/>
    </xf>
    <xf numFmtId="0" fontId="18" fillId="7" borderId="31" xfId="2" applyFont="1" applyFill="1" applyBorder="1" applyAlignment="1" applyProtection="1">
      <alignment horizontal="center" wrapText="1"/>
      <protection locked="0"/>
    </xf>
    <xf numFmtId="0" fontId="18" fillId="7" borderId="32" xfId="2" applyFont="1" applyFill="1" applyBorder="1" applyAlignment="1" applyProtection="1">
      <alignment horizontal="center" wrapText="1"/>
      <protection locked="0"/>
    </xf>
    <xf numFmtId="0" fontId="3" fillId="11" borderId="30" xfId="2" applyFont="1" applyFill="1" applyBorder="1" applyAlignment="1" applyProtection="1">
      <alignment horizontal="center" wrapText="1"/>
    </xf>
    <xf numFmtId="0" fontId="3" fillId="11" borderId="40" xfId="2" applyFont="1" applyFill="1" applyBorder="1" applyAlignment="1" applyProtection="1">
      <alignment horizontal="center" wrapText="1"/>
    </xf>
    <xf numFmtId="0" fontId="3" fillId="11" borderId="32" xfId="2" applyFont="1" applyFill="1" applyBorder="1" applyAlignment="1" applyProtection="1">
      <alignment horizontal="center" wrapText="1"/>
    </xf>
    <xf numFmtId="0" fontId="13" fillId="8" borderId="41" xfId="2" applyFont="1" applyFill="1" applyBorder="1" applyAlignment="1" applyProtection="1">
      <alignment horizontal="left" wrapText="1"/>
    </xf>
    <xf numFmtId="0" fontId="13" fillId="8" borderId="42" xfId="2" applyFont="1" applyFill="1" applyBorder="1" applyAlignment="1" applyProtection="1">
      <alignment horizontal="left" wrapText="1"/>
    </xf>
    <xf numFmtId="0" fontId="13" fillId="8" borderId="39" xfId="2" applyFont="1" applyFill="1" applyBorder="1" applyAlignment="1" applyProtection="1">
      <alignment horizontal="left" wrapText="1"/>
    </xf>
    <xf numFmtId="0" fontId="13" fillId="8" borderId="31" xfId="2" applyFont="1" applyFill="1" applyBorder="1" applyAlignment="1" applyProtection="1">
      <alignment horizontal="left" wrapText="1"/>
    </xf>
    <xf numFmtId="0" fontId="13" fillId="8" borderId="32" xfId="2" applyFont="1" applyFill="1" applyBorder="1" applyAlignment="1" applyProtection="1">
      <alignment horizontal="left" wrapText="1"/>
    </xf>
    <xf numFmtId="165" fontId="17" fillId="13" borderId="43" xfId="1" applyNumberFormat="1" applyFont="1" applyFill="1" applyBorder="1" applyAlignment="1" applyProtection="1">
      <alignment horizontal="center" wrapText="1"/>
    </xf>
    <xf numFmtId="165" fontId="17" fillId="13" borderId="44" xfId="1" applyNumberFormat="1" applyFont="1" applyFill="1" applyBorder="1" applyAlignment="1" applyProtection="1">
      <alignment horizontal="center" wrapText="1"/>
    </xf>
    <xf numFmtId="165" fontId="17" fillId="13" borderId="45" xfId="1" applyNumberFormat="1" applyFont="1" applyFill="1" applyBorder="1" applyAlignment="1" applyProtection="1">
      <alignment horizontal="center" wrapText="1"/>
    </xf>
    <xf numFmtId="165" fontId="13" fillId="13" borderId="30" xfId="1" applyNumberFormat="1" applyFont="1" applyFill="1" applyBorder="1" applyAlignment="1" applyProtection="1">
      <alignment horizontal="center" wrapText="1"/>
    </xf>
    <xf numFmtId="165" fontId="13" fillId="13" borderId="31" xfId="1" applyNumberFormat="1" applyFont="1" applyFill="1" applyBorder="1" applyAlignment="1" applyProtection="1">
      <alignment horizontal="center" wrapText="1"/>
    </xf>
    <xf numFmtId="165" fontId="13" fillId="13" borderId="40" xfId="1" applyNumberFormat="1" applyFont="1" applyFill="1" applyBorder="1" applyAlignment="1" applyProtection="1">
      <alignment horizontal="center" wrapText="1"/>
    </xf>
    <xf numFmtId="165" fontId="17" fillId="13" borderId="33" xfId="1" applyNumberFormat="1" applyFont="1" applyFill="1" applyBorder="1" applyAlignment="1" applyProtection="1">
      <alignment horizontal="center" wrapText="1"/>
    </xf>
    <xf numFmtId="165" fontId="17" fillId="13" borderId="29" xfId="1" applyNumberFormat="1" applyFont="1" applyFill="1" applyBorder="1" applyAlignment="1" applyProtection="1">
      <alignment horizontal="center" wrapText="1"/>
    </xf>
    <xf numFmtId="165" fontId="17" fillId="13" borderId="48" xfId="1" applyNumberFormat="1" applyFont="1" applyFill="1" applyBorder="1" applyAlignment="1" applyProtection="1">
      <alignment horizontal="center" wrapText="1"/>
    </xf>
    <xf numFmtId="0" fontId="3" fillId="10" borderId="50" xfId="0" applyFont="1" applyFill="1" applyBorder="1" applyAlignment="1">
      <alignment horizontal="center"/>
    </xf>
    <xf numFmtId="0" fontId="3" fillId="10" borderId="51" xfId="0" applyFont="1" applyFill="1" applyBorder="1" applyAlignment="1">
      <alignment horizontal="center"/>
    </xf>
    <xf numFmtId="0" fontId="18" fillId="7" borderId="20" xfId="2" applyFont="1" applyFill="1" applyBorder="1" applyAlignment="1" applyProtection="1">
      <alignment horizontal="center" wrapText="1"/>
      <protection locked="0"/>
    </xf>
    <xf numFmtId="0" fontId="18" fillId="7" borderId="52" xfId="2" applyFont="1" applyFill="1" applyBorder="1" applyAlignment="1" applyProtection="1">
      <alignment horizontal="center" wrapText="1"/>
      <protection locked="0"/>
    </xf>
    <xf numFmtId="0" fontId="2" fillId="2" borderId="2" xfId="0" applyFont="1" applyFill="1" applyBorder="1" applyAlignment="1" applyProtection="1">
      <alignment horizontal="left"/>
    </xf>
    <xf numFmtId="0" fontId="2" fillId="2" borderId="3" xfId="0" applyFont="1" applyFill="1" applyBorder="1" applyAlignment="1" applyProtection="1">
      <alignment horizontal="left"/>
    </xf>
    <xf numFmtId="0" fontId="0" fillId="0" borderId="0" xfId="0" applyBorder="1" applyAlignment="1">
      <alignment horizontal="center" wrapText="1"/>
    </xf>
    <xf numFmtId="0" fontId="2" fillId="2" borderId="61" xfId="0" applyFont="1" applyFill="1" applyBorder="1" applyAlignment="1" applyProtection="1">
      <alignment horizontal="left" wrapText="1"/>
    </xf>
    <xf numFmtId="0" fontId="2" fillId="2" borderId="62" xfId="0" applyFont="1" applyFill="1" applyBorder="1" applyAlignment="1" applyProtection="1">
      <alignment horizontal="left" wrapText="1"/>
    </xf>
    <xf numFmtId="0" fontId="2" fillId="2" borderId="16" xfId="0" applyFont="1" applyFill="1" applyBorder="1" applyAlignment="1" applyProtection="1">
      <alignment horizontal="left"/>
    </xf>
    <xf numFmtId="0" fontId="2" fillId="2" borderId="22" xfId="0" applyFont="1" applyFill="1" applyBorder="1" applyAlignment="1" applyProtection="1">
      <alignment horizontal="left"/>
    </xf>
    <xf numFmtId="0" fontId="2" fillId="2" borderId="17" xfId="0" applyFont="1" applyFill="1" applyBorder="1" applyAlignment="1" applyProtection="1">
      <alignment horizontal="left"/>
    </xf>
    <xf numFmtId="0" fontId="2" fillId="2" borderId="18" xfId="0" applyFont="1" applyFill="1" applyBorder="1" applyAlignment="1" applyProtection="1">
      <alignment horizontal="center" wrapText="1"/>
    </xf>
    <xf numFmtId="0" fontId="2" fillId="2" borderId="19" xfId="0" applyFont="1" applyFill="1" applyBorder="1" applyAlignment="1" applyProtection="1">
      <alignment horizontal="center" wrapText="1"/>
    </xf>
    <xf numFmtId="0" fontId="2" fillId="2" borderId="23" xfId="0" applyFont="1" applyFill="1" applyBorder="1" applyAlignment="1" applyProtection="1">
      <alignment horizontal="left" wrapText="1"/>
    </xf>
    <xf numFmtId="0" fontId="2" fillId="2" borderId="19" xfId="0" applyFont="1" applyFill="1" applyBorder="1" applyAlignment="1" applyProtection="1">
      <alignment horizontal="left" wrapText="1"/>
    </xf>
    <xf numFmtId="0" fontId="2" fillId="2" borderId="18" xfId="0" applyFont="1" applyFill="1" applyBorder="1" applyAlignment="1" applyProtection="1">
      <alignment horizontal="left" wrapText="1"/>
    </xf>
    <xf numFmtId="0" fontId="2" fillId="2" borderId="0" xfId="0" applyFont="1" applyFill="1" applyBorder="1" applyAlignment="1" applyProtection="1">
      <alignment horizontal="left" wrapText="1"/>
    </xf>
    <xf numFmtId="165" fontId="3" fillId="5" borderId="6" xfId="1" applyNumberFormat="1" applyFont="1" applyFill="1" applyBorder="1" applyAlignment="1" applyProtection="1">
      <alignment horizontal="center"/>
      <protection locked="0"/>
    </xf>
    <xf numFmtId="165" fontId="3" fillId="5" borderId="25" xfId="1" applyNumberFormat="1" applyFont="1" applyFill="1" applyBorder="1" applyAlignment="1" applyProtection="1">
      <alignment horizontal="center"/>
      <protection locked="0"/>
    </xf>
    <xf numFmtId="0" fontId="2" fillId="2" borderId="10" xfId="0" applyFont="1" applyFill="1" applyBorder="1" applyAlignment="1" applyProtection="1">
      <alignment horizontal="left"/>
    </xf>
    <xf numFmtId="165" fontId="3" fillId="5" borderId="13" xfId="1" applyNumberFormat="1" applyFont="1" applyFill="1" applyBorder="1" applyAlignment="1" applyProtection="1">
      <alignment horizontal="center"/>
      <protection locked="0"/>
    </xf>
    <xf numFmtId="165" fontId="3" fillId="5" borderId="27" xfId="1" applyNumberFormat="1" applyFont="1" applyFill="1" applyBorder="1" applyAlignment="1" applyProtection="1">
      <alignment horizontal="center"/>
      <protection locked="0"/>
    </xf>
    <xf numFmtId="0" fontId="2" fillId="2" borderId="57" xfId="0" applyFont="1" applyFill="1" applyBorder="1" applyAlignment="1" applyProtection="1">
      <alignment horizontal="left"/>
    </xf>
    <xf numFmtId="0" fontId="2" fillId="2" borderId="58" xfId="0" applyFont="1" applyFill="1" applyBorder="1" applyAlignment="1" applyProtection="1">
      <alignment horizontal="left"/>
    </xf>
    <xf numFmtId="0" fontId="2" fillId="2" borderId="34" xfId="0" applyFont="1" applyFill="1" applyBorder="1" applyAlignment="1" applyProtection="1">
      <alignment horizontal="left"/>
    </xf>
    <xf numFmtId="0" fontId="2" fillId="2" borderId="35" xfId="0" applyFont="1" applyFill="1" applyBorder="1" applyAlignment="1" applyProtection="1">
      <alignment horizontal="left"/>
    </xf>
    <xf numFmtId="0" fontId="2" fillId="2" borderId="38" xfId="0" applyFont="1" applyFill="1" applyBorder="1" applyAlignment="1" applyProtection="1">
      <alignment horizontal="left"/>
    </xf>
    <xf numFmtId="0" fontId="2" fillId="2" borderId="1" xfId="0" applyFont="1" applyFill="1" applyBorder="1" applyAlignment="1" applyProtection="1">
      <alignment horizontal="left" wrapText="1"/>
    </xf>
    <xf numFmtId="0" fontId="43" fillId="0" borderId="77" xfId="0" applyFont="1" applyBorder="1" applyAlignment="1">
      <alignment horizontal="left" vertical="center" wrapText="1"/>
    </xf>
    <xf numFmtId="0" fontId="43" fillId="0" borderId="78" xfId="0" applyFont="1" applyBorder="1" applyAlignment="1">
      <alignment horizontal="left" vertical="center" wrapText="1"/>
    </xf>
    <xf numFmtId="0" fontId="43" fillId="0" borderId="79" xfId="0" applyFont="1" applyBorder="1" applyAlignment="1">
      <alignment horizontal="left" vertical="center" wrapText="1"/>
    </xf>
    <xf numFmtId="10" fontId="43" fillId="0" borderId="77" xfId="0" applyNumberFormat="1" applyFont="1" applyBorder="1" applyAlignment="1">
      <alignment horizontal="center" vertical="center" wrapText="1"/>
    </xf>
    <xf numFmtId="10" fontId="43" fillId="0" borderId="78" xfId="0" applyNumberFormat="1" applyFont="1" applyBorder="1" applyAlignment="1">
      <alignment horizontal="center" vertical="center" wrapText="1"/>
    </xf>
    <xf numFmtId="10" fontId="43" fillId="0" borderId="79" xfId="0" applyNumberFormat="1" applyFont="1" applyBorder="1" applyAlignment="1">
      <alignment horizontal="center" vertical="center" wrapText="1"/>
    </xf>
    <xf numFmtId="0" fontId="43" fillId="0" borderId="77" xfId="0" applyFont="1" applyBorder="1" applyAlignment="1">
      <alignment horizontal="center" vertical="center" wrapText="1"/>
    </xf>
    <xf numFmtId="0" fontId="43" fillId="0" borderId="78" xfId="0" applyFont="1" applyBorder="1" applyAlignment="1">
      <alignment horizontal="center" vertical="center" wrapText="1"/>
    </xf>
    <xf numFmtId="0" fontId="43" fillId="0" borderId="79" xfId="0" applyFont="1" applyBorder="1" applyAlignment="1">
      <alignment horizontal="center" vertical="center" wrapText="1"/>
    </xf>
    <xf numFmtId="0" fontId="42" fillId="34" borderId="63" xfId="0" applyFont="1" applyFill="1" applyBorder="1" applyAlignment="1">
      <alignment horizontal="center" vertical="center" wrapText="1"/>
    </xf>
    <xf numFmtId="0" fontId="42" fillId="34" borderId="75" xfId="0" applyFont="1" applyFill="1" applyBorder="1" applyAlignment="1">
      <alignment horizontal="center" vertical="center" wrapText="1"/>
    </xf>
    <xf numFmtId="0" fontId="42" fillId="34" borderId="76" xfId="0" applyFont="1" applyFill="1" applyBorder="1" applyAlignment="1">
      <alignment horizontal="center" vertical="center" wrapText="1"/>
    </xf>
  </cellXfs>
  <cellStyles count="20">
    <cellStyle name="Comma" xfId="1" builtinId="3"/>
    <cellStyle name="Comma 2" xfId="8" xr:uid="{00000000-0005-0000-0000-000001000000}"/>
    <cellStyle name="Comma_PULIANI" xfId="7" xr:uid="{00000000-0005-0000-0000-000002000000}"/>
    <cellStyle name="Hyperlink" xfId="5" builtinId="8"/>
    <cellStyle name="Hyperlink 2" xfId="13" xr:uid="{903204C7-D583-4619-BE45-01FAD692CBE1}"/>
    <cellStyle name="Normal" xfId="0" builtinId="0"/>
    <cellStyle name="Normal 2" xfId="6" xr:uid="{00000000-0005-0000-0000-000005000000}"/>
    <cellStyle name="Normal 3" xfId="9" xr:uid="{315A4239-125E-45E6-B6B8-ABE3B02ACF87}"/>
    <cellStyle name="Normal 3 2" xfId="10" xr:uid="{85D24923-8572-45EB-AB10-33DBCB586449}"/>
    <cellStyle name="Normal 3 3" xfId="12" xr:uid="{17543526-CFD0-43C1-B81E-FD902BF485DC}"/>
    <cellStyle name="Normal 4" xfId="2" xr:uid="{00000000-0005-0000-0000-000006000000}"/>
    <cellStyle name="Normal 58" xfId="15" xr:uid="{B8853281-AD4B-40BE-BD63-F371173DEF0F}"/>
    <cellStyle name="Normal 58 2" xfId="19" xr:uid="{16439D1A-4346-43EB-B7F7-3A27F7CC543D}"/>
    <cellStyle name="Normal 58 3" xfId="17" xr:uid="{6FCB5C03-1969-4E47-8047-C832034F7561}"/>
    <cellStyle name="Normal 6" xfId="16" xr:uid="{843794C9-8E67-4DCD-9C09-9140DDEBE434}"/>
    <cellStyle name="Normal 7" xfId="18" xr:uid="{01091C46-59D5-4805-9D24-A4DF34D9F6A7}"/>
    <cellStyle name="Normal_senp__eligibility" xfId="4" xr:uid="{00000000-0005-0000-0000-000007000000}"/>
    <cellStyle name="Percent" xfId="3" builtinId="5"/>
    <cellStyle name="Percent 2" xfId="11" xr:uid="{CF4E9861-D833-427D-88B0-B3771C76AE8E}"/>
    <cellStyle name="Percent 3" xfId="14" xr:uid="{CFCF34F2-8A48-449F-B74B-8777A512C8B3}"/>
  </cellStyles>
  <dxfs count="205">
    <dxf>
      <font>
        <color theme="6" tint="0.59996337778862885"/>
      </font>
      <fill>
        <patternFill>
          <bgColor theme="6" tint="0.59996337778862885"/>
        </patternFill>
      </fill>
    </dxf>
    <dxf>
      <font>
        <color theme="6" tint="0.59996337778862885"/>
      </font>
      <fill>
        <patternFill>
          <bgColor theme="6" tint="0.59996337778862885"/>
        </patternFill>
      </fill>
    </dxf>
    <dxf>
      <font>
        <color theme="2" tint="-0.24994659260841701"/>
      </font>
      <fill>
        <patternFill>
          <bgColor theme="2" tint="-0.24994659260841701"/>
        </patternFill>
      </fill>
    </dxf>
    <dxf>
      <fill>
        <patternFill>
          <bgColor theme="1"/>
        </patternFill>
      </fill>
    </dxf>
    <dxf>
      <fill>
        <patternFill>
          <bgColor theme="1"/>
        </patternFill>
      </fill>
    </dxf>
    <dxf>
      <font>
        <color theme="2" tint="-0.24994659260841701"/>
      </font>
      <fill>
        <patternFill>
          <bgColor theme="2" tint="-0.24994659260841701"/>
        </patternFill>
      </fill>
    </dxf>
    <dxf>
      <fill>
        <patternFill>
          <bgColor theme="1"/>
        </patternFill>
      </fill>
    </dxf>
    <dxf>
      <fill>
        <patternFill>
          <bgColor theme="1"/>
        </patternFill>
      </fill>
    </dxf>
    <dxf>
      <font>
        <color theme="6" tint="0.59996337778862885"/>
      </font>
      <fill>
        <patternFill>
          <bgColor theme="6" tint="0.59996337778862885"/>
        </patternFill>
      </fill>
    </dxf>
    <dxf>
      <font>
        <color theme="6" tint="0.59996337778862885"/>
      </font>
      <fill>
        <patternFill>
          <bgColor theme="6" tint="0.59996337778862885"/>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b val="0"/>
        <i val="0"/>
        <strike val="0"/>
        <condense val="0"/>
        <extend val="0"/>
        <outline val="0"/>
        <shadow val="0"/>
        <u val="none"/>
        <vertAlign val="baseline"/>
        <sz val="11"/>
        <color theme="1"/>
        <name val="Calibri"/>
        <family val="2"/>
        <scheme val="minor"/>
      </font>
      <numFmt numFmtId="175"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medium">
          <color theme="1"/>
        </right>
        <top style="medium">
          <color theme="1"/>
        </top>
        <bottom style="medium">
          <color theme="1"/>
        </bottom>
      </border>
    </dxf>
    <dxf>
      <font>
        <strike val="0"/>
        <outline val="0"/>
        <shadow val="0"/>
        <u val="none"/>
        <vertAlign val="baseline"/>
        <name val="Calibri"/>
        <family val="2"/>
        <scheme val="minor"/>
      </font>
      <alignment horizontal="general" vertical="center" textRotation="0" wrapText="0" indent="0" justifyLastLine="0" shrinkToFit="0" readingOrder="0"/>
    </dxf>
    <dxf>
      <fill>
        <patternFill patternType="solid">
          <fgColor indexed="64"/>
          <bgColor theme="0"/>
        </patternFill>
      </fill>
      <border diagonalUp="0" diagonalDown="0" outline="0">
        <left style="thin">
          <color indexed="64"/>
        </left>
        <right/>
        <top style="medium">
          <color indexed="64"/>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color theme="1"/>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vertical/>
        <horizontal/>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color theme="1"/>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vertical/>
        <horizontal/>
      </border>
    </dxf>
    <dxf>
      <fill>
        <patternFill patternType="solid">
          <fgColor indexed="64"/>
          <bgColor theme="0"/>
        </patternFill>
      </fill>
      <border diagonalUp="0" diagonalDown="0" outline="0">
        <left style="thin">
          <color indexed="64"/>
        </left>
        <right style="thin">
          <color indexed="64"/>
        </right>
        <top/>
        <bottom style="thin">
          <color indexed="64"/>
        </bottom>
      </border>
    </dxf>
    <dxf>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b val="0"/>
        <i val="0"/>
        <strike val="0"/>
        <condense val="0"/>
        <extend val="0"/>
        <outline val="0"/>
        <shadow val="0"/>
        <u val="none"/>
        <vertAlign val="baseline"/>
        <sz val="10"/>
        <color theme="1"/>
        <name val="Calibri"/>
        <family val="2"/>
        <scheme val="minor"/>
      </font>
      <numFmt numFmtId="175"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vertical/>
        <horizontal/>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color theme="1"/>
        <name val="Calibri"/>
        <family val="2"/>
        <scheme val="minor"/>
      </font>
      <numFmt numFmtId="175"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vertical/>
        <horizontal/>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75"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name val="Calibri"/>
        <family val="2"/>
        <scheme val="minor"/>
      </font>
      <alignment horizontal="general" vertical="center" textRotation="0" wrapText="0" indent="0" justifyLastLine="0" shrinkToFit="0" readingOrder="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name val="Calibri"/>
        <family val="2"/>
        <scheme val="minor"/>
      </font>
      <numFmt numFmtId="0" formatCode="General"/>
      <alignment vertical="center" textRotation="0" indent="0" justifyLastLine="0" shrinkToFit="0" readingOrder="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1"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name val="Calibri"/>
        <family val="2"/>
        <scheme val="minor"/>
      </font>
      <alignment vertical="center" textRotation="0" indent="0" justifyLastLine="0" shrinkToFit="0" readingOrder="0"/>
    </dxf>
    <dxf>
      <fill>
        <patternFill patternType="solid">
          <fgColor indexed="64"/>
          <bgColor theme="0"/>
        </patternFill>
      </fill>
      <border diagonalUp="0" diagonalDown="0" outline="0">
        <left style="thin">
          <color indexed="64"/>
        </left>
        <right style="thin">
          <color indexed="64"/>
        </right>
        <top/>
        <bottom style="thin">
          <color indexed="64"/>
        </bottom>
      </border>
    </dxf>
    <dxf>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b val="0"/>
        <i val="0"/>
        <strike val="0"/>
        <condense val="0"/>
        <extend val="0"/>
        <outline val="0"/>
        <shadow val="0"/>
        <u val="none"/>
        <vertAlign val="baseline"/>
        <sz val="10"/>
        <color theme="1"/>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19" formatCode="dd/mm/yyyy"/>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right/>
        <top style="medium">
          <color theme="1"/>
        </top>
        <bottom style="medium">
          <color theme="1"/>
        </bottom>
      </border>
    </dxf>
    <dxf>
      <font>
        <strike val="0"/>
        <outline val="0"/>
        <shadow val="0"/>
        <u val="none"/>
        <vertAlign val="baseline"/>
        <sz val="10"/>
        <color auto="1"/>
        <name val="Calibri"/>
        <family val="2"/>
        <scheme val="minor"/>
      </font>
      <numFmt numFmtId="3" formatCode="#,##0"/>
      <fill>
        <patternFill patternType="none">
          <fgColor indexed="64"/>
          <bgColor indexed="65"/>
        </patternFill>
      </fill>
      <alignment horizontal="general" vertical="center" textRotation="0" wrapText="0" indent="0" justifyLastLine="0" shrinkToFit="0" readingOrder="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b val="0"/>
        <i val="0"/>
        <strike val="0"/>
        <condense val="0"/>
        <extend val="0"/>
        <outline val="0"/>
        <shadow val="0"/>
        <u val="none"/>
        <vertAlign val="baseline"/>
        <sz val="10"/>
        <color theme="1"/>
        <name val="Calibri"/>
        <family val="2"/>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75"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name val="Calibri"/>
        <family val="2"/>
        <scheme val="minor"/>
      </font>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medium">
          <color theme="1"/>
        </left>
        <right style="thin">
          <color indexed="64"/>
        </right>
        <top style="medium">
          <color theme="1"/>
        </top>
        <bottom style="medium">
          <color theme="1"/>
        </bottom>
      </border>
    </dxf>
    <dxf>
      <font>
        <strike val="0"/>
        <outline val="0"/>
        <shadow val="0"/>
        <u val="none"/>
        <vertAlign val="baseline"/>
        <name val="Calibri"/>
        <family val="2"/>
        <scheme val="minor"/>
      </font>
      <alignment vertical="center" textRotation="0" indent="0" justifyLastLine="0" shrinkToFit="0" readingOrder="0"/>
    </dxf>
    <dxf>
      <fill>
        <patternFill patternType="solid">
          <fgColor indexed="64"/>
          <bgColor theme="0"/>
        </patternFill>
      </fill>
      <border diagonalUp="0" diagonalDown="0" outline="0">
        <left/>
        <right style="thin">
          <color indexed="64"/>
        </right>
        <top/>
        <bottom style="thin">
          <color indexed="64"/>
        </bottom>
      </border>
    </dxf>
    <dxf>
      <border>
        <top style="thin">
          <color indexed="64"/>
        </top>
      </border>
    </dxf>
    <dxf>
      <font>
        <strike val="0"/>
        <outline val="0"/>
        <shadow val="0"/>
        <u val="none"/>
        <vertAlign val="baseline"/>
        <sz val="10"/>
        <name val="Calibri"/>
        <family val="2"/>
        <scheme val="minor"/>
      </font>
      <alignment vertical="center" textRotation="0" indent="0" justifyLastLine="0" shrinkToFit="0" readingOrder="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0"/>
        <name val="Calibri"/>
        <family val="2"/>
        <scheme val="minor"/>
      </font>
      <fill>
        <patternFill patternType="solid">
          <fgColor indexed="64"/>
          <bgColor theme="0"/>
        </patternFill>
      </fill>
      <alignment vertical="center" textRotation="0" indent="0" justifyLastLine="0" shrinkToFit="0" readingOrder="0"/>
    </dxf>
    <dxf>
      <border outline="0">
        <bottom style="thin">
          <color indexed="64"/>
        </bottom>
      </border>
    </dxf>
    <dxf>
      <font>
        <strike val="0"/>
        <outline val="0"/>
        <shadow val="0"/>
        <u val="none"/>
        <vertAlign val="baseline"/>
        <sz val="10"/>
        <name val="Calibri"/>
        <family val="2"/>
        <scheme val="minor"/>
      </font>
      <fill>
        <patternFill patternType="solid">
          <fgColor indexed="64"/>
          <bgColor theme="0"/>
        </patternFill>
      </fill>
      <alignment vertical="center" textRotation="0" indent="0" justifyLastLine="0" shrinkToFit="0" readingOrder="0"/>
      <border diagonalUp="0" diagonalDown="0" outline="0">
        <left style="thin">
          <color indexed="64"/>
        </left>
        <right style="thin">
          <color indexed="64"/>
        </right>
        <top/>
        <bottom/>
      </border>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b val="0"/>
        <i val="0"/>
        <color rgb="FFFF0000"/>
      </font>
    </dxf>
    <dxf>
      <font>
        <b val="0"/>
        <i val="0"/>
        <color rgb="FFFF0000"/>
      </font>
    </dxf>
    <dxf>
      <font>
        <b val="0"/>
        <i val="0"/>
        <color rgb="FFFF0000"/>
      </font>
    </dxf>
  </dxfs>
  <tableStyles count="0" defaultTableStyle="TableStyleMedium2" defaultPivotStyle="PivotStyleLight16"/>
  <colors>
    <mruColors>
      <color rgb="FF8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3.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ENP-ICICI.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389206\Desktop\Calculators\SENP%20Calculator\Copy%20of%20SENP_Calculator_Final-2018%20V4%20-%20Locked.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10.16.168.211/Users/120127.ICICIBANKLTD/AppData/Local/Microsoft/Windows/Temporary%20Internet%20Files/Content.Outlook/4F4ZWR3C/Banking_product%20V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Profile"/>
      <sheetName val="ITR"/>
      <sheetName val="ROC"/>
      <sheetName val="GST"/>
      <sheetName val="KYC"/>
      <sheetName val="Financial Statement-Combined"/>
      <sheetName val="Cash Flow"/>
      <sheetName val="Financial Statement1"/>
      <sheetName val="Financial Statement2"/>
      <sheetName val="Financial Statement3"/>
      <sheetName val="Financial Statement4"/>
      <sheetName val="Instructions"/>
      <sheetName val="Ratios Sheet - combined"/>
      <sheetName val="Ratios Sheet1"/>
      <sheetName val="Ratios Sheet2"/>
      <sheetName val="Ratios Sheet3"/>
      <sheetName val="Ratios Sheet4"/>
      <sheetName val="Daily-Balance"/>
      <sheetName val="Credit Summation"/>
      <sheetName val="Analysis-Debit"/>
      <sheetName val="Analysis-Credit"/>
      <sheetName val="NC-RTR"/>
      <sheetName val="Eligibility"/>
      <sheetName val="Variant Inputs &amp; Comparison"/>
      <sheetName val="Empower HL &amp; NRP"/>
      <sheetName val="Banking product- Eligibility"/>
      <sheetName val="Express BT - Non Home"/>
      <sheetName val="Express BT - Home"/>
      <sheetName val="GTP - Eligibilit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5">
          <cell r="IV5" t="e">
            <v>#NUM!</v>
          </cell>
        </row>
        <row r="13">
          <cell r="IV13" t="e">
            <v>#NUM!</v>
          </cell>
        </row>
        <row r="15">
          <cell r="IV15">
            <v>0</v>
          </cell>
        </row>
        <row r="16">
          <cell r="IV16">
            <v>0</v>
          </cell>
        </row>
      </sheetData>
      <sheetData sheetId="26"/>
      <sheetData sheetId="27"/>
      <sheetData sheetId="2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atios Sheet1"/>
      <sheetName val="Ratios Sheet2"/>
      <sheetName val="Ratios Sheet3"/>
      <sheetName val="Ratios Sheet4"/>
      <sheetName val="Ratios Sheet - combined"/>
      <sheetName val="Eligibility"/>
      <sheetName val="Daily balance"/>
      <sheetName val="Variant Inputs &amp; Comparison"/>
      <sheetName val="Credit Summation"/>
      <sheetName val="Empower HL &amp; NRP"/>
      <sheetName val="Banking product- Eligibility"/>
      <sheetName val="Express BT"/>
      <sheetName val="GTP - Eligibility"/>
    </sheetNames>
    <sheetDataSet>
      <sheetData sheetId="0"/>
      <sheetData sheetId="1"/>
      <sheetData sheetId="2"/>
      <sheetData sheetId="3"/>
      <sheetData sheetId="4"/>
      <sheetData sheetId="5"/>
      <sheetData sheetId="6">
        <row r="38">
          <cell r="F38">
            <v>2336584.441417126</v>
          </cell>
        </row>
      </sheetData>
      <sheetData sheetId="7"/>
      <sheetData sheetId="8"/>
      <sheetData sheetId="9"/>
      <sheetData sheetId="10"/>
      <sheetData sheetId="11">
        <row r="5">
          <cell r="IV5">
            <v>32043.410787595167</v>
          </cell>
        </row>
        <row r="13">
          <cell r="IV13">
            <v>64086.821575190334</v>
          </cell>
        </row>
        <row r="15">
          <cell r="IV15">
            <v>1841052.7777777778</v>
          </cell>
        </row>
        <row r="16">
          <cell r="IV16">
            <v>2454737.0370370368</v>
          </cell>
        </row>
      </sheetData>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Daily balance"/>
      <sheetName val="Credit Summation"/>
      <sheetName val="Banking product- Eligibility"/>
    </sheetNames>
    <sheetDataSet>
      <sheetData sheetId="0" refreshError="1"/>
      <sheetData sheetId="1" refreshError="1"/>
      <sheetData sheetId="2">
        <row r="12">
          <cell r="II12">
            <v>0</v>
          </cell>
        </row>
        <row r="13">
          <cell r="II13">
            <v>1</v>
          </cell>
        </row>
        <row r="14">
          <cell r="II14">
            <v>1</v>
          </cell>
        </row>
        <row r="31">
          <cell r="B31">
            <v>0</v>
          </cell>
        </row>
      </sheetData>
      <sheetData sheetId="3">
        <row r="5">
          <cell r="IV5">
            <v>38068.572278880114</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43371C-BB66-4397-A4FE-E932E7B384EC}" name="LoanTrack" displayName="LoanTrack" ref="B26:BC36" headerRowCount="0" totalsRowCount="1" headerRowDxfId="185" dataDxfId="183" totalsRowDxfId="181" headerRowBorderDxfId="184" tableBorderDxfId="182" totalsRowBorderDxfId="180">
  <tableColumns count="54">
    <tableColumn id="1" xr3:uid="{35459ED0-8CA7-4794-B623-DB086DC766B1}" name="Column1" totalsRowLabel="Total" headerRowDxfId="179" dataDxfId="178" totalsRowDxfId="177" totalsRowCellStyle="Normal 2"/>
    <tableColumn id="2" xr3:uid="{1DD3A005-C74D-4815-8531-04515D9C8A2C}" name="Column2" headerRowDxfId="176" dataDxfId="175" totalsRowDxfId="174" totalsRowCellStyle="Normal 2"/>
    <tableColumn id="3" xr3:uid="{FB9BC393-2454-4EFE-8C72-288FCD716B73}" name="Column3" totalsRowFunction="count" headerRowDxfId="173" dataDxfId="172" totalsRowDxfId="171" totalsRowCellStyle="Normal 2"/>
    <tableColumn id="4" xr3:uid="{03EF6B8F-879C-4021-B36B-F4CFC5899EBB}" name="Column4" totalsRowFunction="sum" headerRowDxfId="170" dataDxfId="169" totalsRowDxfId="168" totalsRowCellStyle="Normal 2"/>
    <tableColumn id="53" xr3:uid="{98ED543B-6EE6-4ED0-B8EC-931E1BB3ED1C}" name="Column52" totalsRowFunction="sum" headerRowDxfId="167" dataDxfId="166" totalsRowDxfId="165" totalsRowCellStyle="Normal 2"/>
    <tableColumn id="5" xr3:uid="{99C0B1F1-CC21-4550-A97C-C2F2ADA8DC77}" name="Column5" totalsRowFunction="sum" headerRowDxfId="164" dataDxfId="163" totalsRowDxfId="162" totalsRowCellStyle="Normal 2"/>
    <tableColumn id="6" xr3:uid="{FA8887B9-EC43-48E1-B303-36F43F8F7784}" name="Column6" headerRowDxfId="161" dataDxfId="160" totalsRowDxfId="159" totalsRowCellStyle="Normal 2"/>
    <tableColumn id="54" xr3:uid="{76AB320A-F094-4F58-B58A-40A6B6838714}" name="Column54" totalsRowFunction="sum" headerRowDxfId="158" dataDxfId="157" totalsRowDxfId="156" dataCellStyle="Normal 3 2" totalsRowCellStyle="Normal 2"/>
    <tableColumn id="7" xr3:uid="{15077505-127F-4862-813F-AAE1861DB255}" name="Column7" headerRowDxfId="155" dataDxfId="154" totalsRowDxfId="153" totalsRowCellStyle="Normal 2"/>
    <tableColumn id="8" xr3:uid="{C3DFA59B-6FFA-4A22-ABF9-C9AFD9F85027}" name="Column8" headerRowDxfId="152" dataDxfId="151" totalsRowDxfId="150" totalsRowCellStyle="Normal 2">
      <calculatedColumnFormula>IFERROR(IF(J26&lt;(TODAY()-H26)/30,"",J26-((TODAY()-H26)/30)+1),"")</calculatedColumnFormula>
    </tableColumn>
    <tableColumn id="9" xr3:uid="{974C744D-7B9C-45AE-BDE5-1FFD803D5BD1}" name="Column9" totalsRowFunction="custom" headerRowDxfId="149" dataDxfId="148" totalsRowDxfId="147" totalsRowCellStyle="Normal 2">
      <totalsRowFormula>COUNTIF(L26:L35,"Yes")</totalsRowFormula>
    </tableColumn>
    <tableColumn id="10" xr3:uid="{2AEE8DA7-C7C7-4E45-917B-72D8C2A51BFA}" name="Column10" totalsRowFunction="sum" headerRowDxfId="146" dataDxfId="145" totalsRowDxfId="144" totalsRowCellStyle="Normal 2">
      <calculatedColumnFormula>IF(OR(L26="Yes",AND(K26&gt;1,K26&lt;&gt;"")),G26,"")</calculatedColumnFormula>
    </tableColumn>
    <tableColumn id="11" xr3:uid="{4AE4DA56-5B88-48B3-8398-710A64DC8543}" name="Column11" totalsRowFunction="custom" headerRowDxfId="143" dataDxfId="142" totalsRowDxfId="141" totalsRowCellStyle="Normal 2">
      <totalsRowFormula>SUMPRODUCT((N26:N35&lt;&gt;"")/COUNTIF(N26:N35,N26:N35&amp;""))</totalsRowFormula>
    </tableColumn>
    <tableColumn id="52" xr3:uid="{5906A00C-22A2-435E-859B-D9D121C39040}" name="Column51" totalsRowFunction="sum" headerRowDxfId="140" dataDxfId="139" totalsRowDxfId="138" dataCellStyle="Normal 3 2" totalsRowCellStyle="Normal 2">
      <calculatedColumnFormula>IF($G26&lt;&gt;"",COUNT($S26,$V26,$Y26,$AB26,$AE26,$AH26,$AK26,$AN26,$AQ26,$AT26,$AW26,$AZ26),"")</calculatedColumnFormula>
    </tableColumn>
    <tableColumn id="55" xr3:uid="{90E7A8F8-7209-4C12-9A0B-327410BE2121}" name="Column53" totalsRowFunction="sum" headerRowDxfId="137" dataDxfId="136" totalsRowDxfId="135" dataCellStyle="Normal 3 2" totalsRowCellStyle="Normal 2"/>
    <tableColumn id="51" xr3:uid="{72C9991C-A45F-4C42-B864-182535A04A63}" name="Column50" totalsRowFunction="sum" headerRowDxfId="134" dataDxfId="133" totalsRowDxfId="132" dataCellStyle="Normal 3 2" totalsRowCellStyle="Normal 2">
      <calculatedColumnFormula>IF($G26&lt;&gt;"",SUM($T26,$W26,$Z26,$AC26,$AF26,$AI26,$AL26,$AO26,$AR26,$AU26,$AX26,$BA26),"")</calculatedColumnFormula>
    </tableColumn>
    <tableColumn id="50" xr3:uid="{4905F0A6-04BC-4089-AB85-A92C86CD5088}" name="Column49" totalsRowFunction="custom" headerRowDxfId="131" dataDxfId="130" totalsRowDxfId="129" dataCellStyle="Normal 3 2" totalsRowCellStyle="Normal 2">
      <calculatedColumnFormula>IF($G26&lt;&gt;"",IFERROR(AVERAGE($U26,$X26,$AA26,$AD26,$AG26,$AJ26,$AM26,$AP26,$AS26,$AV26,$AY26,$BB26),""),"")</calculatedColumnFormula>
      <totalsRowFormula>IFERROR(SUBTOTAL(101,R26:R35),"")</totalsRowFormula>
    </tableColumn>
    <tableColumn id="12" xr3:uid="{AF932EC9-10F9-49F8-BAEE-21619AFABD75}" name="Column12" totalsRowFunction="count" headerRowDxfId="128" dataDxfId="127" totalsRowDxfId="126" totalsRowCellStyle="Normal 2"/>
    <tableColumn id="13" xr3:uid="{8C3F55CC-66B7-4C6E-92A4-D05312BF3920}" name="Column13" totalsRowFunction="sum" headerRowDxfId="125" dataDxfId="124" totalsRowDxfId="123" totalsRowCellStyle="Normal 2"/>
    <tableColumn id="14" xr3:uid="{BD36A5ED-194E-4F6A-B944-33DFC939B2DB}" name="Column14" totalsRowFunction="custom" headerRowDxfId="122" dataDxfId="121" totalsRowDxfId="120" totalsRowCellStyle="Normal 2">
      <totalsRowFormula>IFERROR(SUBTOTAL(101,U26:U35),"")</totalsRowFormula>
    </tableColumn>
    <tableColumn id="15" xr3:uid="{5F78151C-DE3B-43D6-8FA5-EEE0BD3D6BE0}" name="Column15" totalsRowFunction="count" headerRowDxfId="119" dataDxfId="118" totalsRowDxfId="117" totalsRowCellStyle="Normal 2"/>
    <tableColumn id="16" xr3:uid="{118DAB81-68B1-43C6-BF2E-F70D20FA13C2}" name="Column16" totalsRowFunction="sum" headerRowDxfId="116" dataDxfId="115" totalsRowDxfId="114" totalsRowCellStyle="Normal 2"/>
    <tableColumn id="17" xr3:uid="{BC8B4506-E692-4DD1-85C1-890054C6A130}" name="Column17" totalsRowFunction="custom" headerRowDxfId="113" dataDxfId="112" totalsRowDxfId="111" totalsRowCellStyle="Normal 2">
      <totalsRowFormula>IFERROR(SUBTOTAL(101,X26:X35),"")</totalsRowFormula>
    </tableColumn>
    <tableColumn id="18" xr3:uid="{240F1DAB-AE7D-4371-B2B6-1A7E88497670}" name="Column18" totalsRowFunction="count" headerRowDxfId="110" dataDxfId="109" totalsRowDxfId="108" totalsRowCellStyle="Normal 2"/>
    <tableColumn id="19" xr3:uid="{CA4677E6-BD86-4E29-9D38-7D7147EE1D50}" name="Column19" totalsRowFunction="sum" headerRowDxfId="107" dataDxfId="106" totalsRowDxfId="105" totalsRowCellStyle="Normal 2"/>
    <tableColumn id="20" xr3:uid="{69806BFF-73F8-4694-AB83-DCDB7AC46587}" name="Column20" totalsRowFunction="custom" headerRowDxfId="104" dataDxfId="103" totalsRowDxfId="102" totalsRowCellStyle="Normal 2">
      <totalsRowFormula>IFERROR(SUBTOTAL(101,AA26:AA35),"")</totalsRowFormula>
    </tableColumn>
    <tableColumn id="21" xr3:uid="{F4A14207-A594-4DC1-9550-B8BCEFC570AA}" name="Column21" totalsRowFunction="count" headerRowDxfId="101" dataDxfId="100" totalsRowDxfId="99" totalsRowCellStyle="Normal 2"/>
    <tableColumn id="22" xr3:uid="{D25AE1C6-BC15-489C-9FD7-83EFAF6FB459}" name="Column22" totalsRowFunction="sum" headerRowDxfId="98" dataDxfId="97" totalsRowDxfId="96" totalsRowCellStyle="Normal 2"/>
    <tableColumn id="23" xr3:uid="{5708BB16-E06E-490B-BFF0-2F3B3F8A4FF6}" name="Column23" totalsRowFunction="custom" headerRowDxfId="95" dataDxfId="94" totalsRowDxfId="93" totalsRowCellStyle="Normal 2">
      <totalsRowFormula>IFERROR(SUBTOTAL(101,AD26:AD35),"")</totalsRowFormula>
    </tableColumn>
    <tableColumn id="24" xr3:uid="{2B5FB6A8-0B2F-49EC-BB9C-E006B5F74884}" name="Column24" totalsRowFunction="count" headerRowDxfId="92" dataDxfId="91" totalsRowDxfId="90" totalsRowCellStyle="Normal 2"/>
    <tableColumn id="25" xr3:uid="{ED15E58E-3F3E-4E81-B5B9-5E6247C0708F}" name="Column25" totalsRowFunction="sum" headerRowDxfId="89" dataDxfId="88" totalsRowDxfId="87" totalsRowCellStyle="Normal 2"/>
    <tableColumn id="26" xr3:uid="{82667CEE-7DDE-48FA-8E96-6DCF4F117F8C}" name="Column26" totalsRowFunction="custom" headerRowDxfId="86" dataDxfId="85" totalsRowDxfId="84" totalsRowCellStyle="Normal 2">
      <totalsRowFormula>IFERROR(SUBTOTAL(101,AG26:AG35),"")</totalsRowFormula>
    </tableColumn>
    <tableColumn id="27" xr3:uid="{6B64B7EF-B04F-47A1-BC2F-483C0C668303}" name="Column27" totalsRowFunction="count" headerRowDxfId="83" dataDxfId="82" totalsRowDxfId="81" totalsRowCellStyle="Normal 2"/>
    <tableColumn id="28" xr3:uid="{51B2C91B-979F-4FBE-9AA2-3A36FFB0800F}" name="Column28" totalsRowFunction="sum" headerRowDxfId="80" dataDxfId="79" totalsRowDxfId="78" totalsRowCellStyle="Normal 2"/>
    <tableColumn id="29" xr3:uid="{58F26F4F-E227-4D08-BBBF-B6EB7799E6A5}" name="Column29" totalsRowFunction="custom" headerRowDxfId="77" dataDxfId="76" totalsRowDxfId="75" totalsRowCellStyle="Normal 2">
      <totalsRowFormula>IFERROR(SUBTOTAL(101,AJ26:AJ35),"")</totalsRowFormula>
    </tableColumn>
    <tableColumn id="30" xr3:uid="{89F836D0-3715-42F0-B1FB-C22BA4453289}" name="Column30" totalsRowFunction="count" headerRowDxfId="74" dataDxfId="73" totalsRowDxfId="72" totalsRowCellStyle="Normal 2"/>
    <tableColumn id="31" xr3:uid="{A4244E2E-C716-4ECE-AA7E-EF8A843F865C}" name="Column31" totalsRowFunction="sum" headerRowDxfId="71" dataDxfId="70" totalsRowDxfId="69" totalsRowCellStyle="Normal 2"/>
    <tableColumn id="32" xr3:uid="{9035CFE2-79C4-46A1-B451-363BC80EB943}" name="Column32" totalsRowFunction="custom" headerRowDxfId="68" dataDxfId="67" totalsRowDxfId="66" totalsRowCellStyle="Normal 2">
      <totalsRowFormula>IFERROR(SUBTOTAL(101,AM26:AM35),"")</totalsRowFormula>
    </tableColumn>
    <tableColumn id="33" xr3:uid="{07D2B9DD-90A1-4CAA-B8D7-D1D62F565ACE}" name="Column33" totalsRowFunction="count" headerRowDxfId="65" dataDxfId="64" totalsRowDxfId="63" totalsRowCellStyle="Normal 2"/>
    <tableColumn id="34" xr3:uid="{3AA3B466-2BD7-4317-A62F-09595DDE4592}" name="Column34" totalsRowFunction="sum" headerRowDxfId="62" dataDxfId="61" totalsRowDxfId="60" totalsRowCellStyle="Normal 2"/>
    <tableColumn id="35" xr3:uid="{A5C93C6F-B95C-49B6-BE7E-6DD65E90615C}" name="Column35" totalsRowFunction="custom" headerRowDxfId="59" dataDxfId="58" totalsRowDxfId="57" totalsRowCellStyle="Normal 2">
      <totalsRowFormula>IFERROR(SUBTOTAL(101,AP26:AP35),"")</totalsRowFormula>
    </tableColumn>
    <tableColumn id="36" xr3:uid="{4C528CCE-8090-4974-88A8-6B11FBA0550D}" name="Column36" totalsRowFunction="count" headerRowDxfId="56" dataDxfId="55" totalsRowDxfId="54" totalsRowCellStyle="Normal 2"/>
    <tableColumn id="37" xr3:uid="{A269E967-87C0-4A51-B18D-6AF49025E5FC}" name="Column37" totalsRowFunction="sum" headerRowDxfId="53" dataDxfId="52" totalsRowDxfId="51" totalsRowCellStyle="Normal 2"/>
    <tableColumn id="38" xr3:uid="{1DF1F245-B3A4-4F83-99B5-91A30FACE610}" name="Column38" totalsRowFunction="custom" headerRowDxfId="50" dataDxfId="49" totalsRowDxfId="48" totalsRowCellStyle="Normal 2">
      <totalsRowFormula>IFERROR(SUBTOTAL(101,AS26:AS35),"")</totalsRowFormula>
    </tableColumn>
    <tableColumn id="39" xr3:uid="{E9E1D645-1D40-4DFD-BD88-CF0F01AED411}" name="Column39" totalsRowFunction="count" headerRowDxfId="47" dataDxfId="46" totalsRowDxfId="45" totalsRowCellStyle="Normal 2"/>
    <tableColumn id="40" xr3:uid="{C9F7C565-BD28-43FE-BCBA-3BB7AE2E3185}" name="Column40" totalsRowFunction="sum" headerRowDxfId="44" dataDxfId="43" totalsRowDxfId="42" totalsRowCellStyle="Normal 2"/>
    <tableColumn id="41" xr3:uid="{6FFC7EEE-3D22-4D12-A8F1-85E26FE85D81}" name="Column41" totalsRowFunction="custom" headerRowDxfId="41" dataDxfId="40" totalsRowDxfId="39" totalsRowCellStyle="Normal 2">
      <totalsRowFormula>IFERROR(SUBTOTAL(101,AV26:AV35),"")</totalsRowFormula>
    </tableColumn>
    <tableColumn id="42" xr3:uid="{5660B1C7-EBD7-4C30-9D10-CEBC9DE62C83}" name="Column42" totalsRowFunction="count" headerRowDxfId="38" dataDxfId="37" totalsRowDxfId="36" totalsRowCellStyle="Normal 2"/>
    <tableColumn id="43" xr3:uid="{96A516E1-AEBC-42F6-8474-F5DE0D36325E}" name="Column43" totalsRowFunction="sum" headerRowDxfId="35" dataDxfId="34" totalsRowDxfId="33" totalsRowCellStyle="Normal 2"/>
    <tableColumn id="44" xr3:uid="{F2B050B9-767A-4A49-B3A2-A3455336A24E}" name="Column44" totalsRowFunction="custom" headerRowDxfId="32" dataDxfId="31" totalsRowDxfId="30" totalsRowCellStyle="Normal 2">
      <totalsRowFormula>IFERROR(SUBTOTAL(101,AY26:AY35),"")</totalsRowFormula>
    </tableColumn>
    <tableColumn id="45" xr3:uid="{82E82385-9554-43B4-808A-AA9E0696DFDB}" name="Column45" totalsRowFunction="count" headerRowDxfId="29" dataDxfId="28" totalsRowDxfId="27" totalsRowCellStyle="Normal 2"/>
    <tableColumn id="46" xr3:uid="{BAF98C38-0418-41E2-B9BD-97243F5680A9}" name="Column46" totalsRowFunction="sum" headerRowDxfId="26" dataDxfId="25" totalsRowDxfId="24" totalsRowCellStyle="Normal 2"/>
    <tableColumn id="47" xr3:uid="{DB5DF147-EAA4-44AD-84EB-6C9CC2C34476}" name="Column47" totalsRowFunction="custom" headerRowDxfId="23" dataDxfId="22" totalsRowDxfId="21" totalsRowCellStyle="Normal 2">
      <totalsRowFormula>IFERROR(SUBTOTAL(101,BB26:BB35),"")</totalsRowFormula>
    </tableColumn>
    <tableColumn id="48" xr3:uid="{B05E8EDB-AAAE-4CE1-A06C-108C57DE0FAD}" name="Column48" totalsRowFunction="count" headerRowDxfId="20" dataDxfId="19" totalsRowDxfId="18" totalsRowCellStyle="Normal 2"/>
  </tableColumns>
  <tableStyleInfo name="TableStyleLight8"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5357C-7393-4FDA-AC65-E58ED65F9D1D}">
  <sheetPr codeName="Sheet24">
    <tabColor theme="3" tint="-0.499984740745262"/>
  </sheetPr>
  <dimension ref="A1:J70"/>
  <sheetViews>
    <sheetView showRowColHeaders="0" workbookViewId="0">
      <selection activeCell="J13" sqref="J13"/>
    </sheetView>
  </sheetViews>
  <sheetFormatPr defaultRowHeight="14.25" outlineLevelRow="2"/>
  <cols>
    <col min="1" max="1" width="3" style="415" customWidth="1"/>
    <col min="2" max="2" width="3.85546875" style="415" customWidth="1"/>
    <col min="3" max="3" width="25.85546875" style="415" customWidth="1"/>
    <col min="4" max="9" width="13.28515625" style="415" customWidth="1"/>
    <col min="10" max="10" width="52.140625" style="415" customWidth="1"/>
    <col min="11" max="11" width="12.140625" style="415" customWidth="1"/>
    <col min="12" max="13" width="9.140625" style="415" customWidth="1"/>
    <col min="14" max="16384" width="9.140625" style="415"/>
  </cols>
  <sheetData>
    <row r="1" spans="1:10" ht="15" thickBot="1">
      <c r="B1" s="416"/>
      <c r="C1" s="416"/>
      <c r="D1" s="416"/>
      <c r="E1" s="416"/>
      <c r="F1" s="416"/>
      <c r="G1" s="417"/>
      <c r="H1" s="417"/>
      <c r="I1" s="417"/>
    </row>
    <row r="2" spans="1:10" ht="21.75" customHeight="1" thickBot="1">
      <c r="A2" s="418"/>
      <c r="B2" s="538" t="s">
        <v>898</v>
      </c>
      <c r="C2" s="539"/>
      <c r="D2" s="539"/>
      <c r="E2" s="539"/>
      <c r="F2" s="539"/>
      <c r="G2" s="539"/>
      <c r="H2" s="539"/>
      <c r="I2" s="540"/>
      <c r="J2" s="419"/>
    </row>
    <row r="3" spans="1:10" ht="15.75" customHeight="1">
      <c r="A3" s="418"/>
      <c r="B3" s="541" t="s">
        <v>1095</v>
      </c>
      <c r="C3" s="542"/>
      <c r="D3" s="543"/>
      <c r="E3" s="543"/>
      <c r="F3" s="544" t="s">
        <v>1096</v>
      </c>
      <c r="G3" s="545"/>
      <c r="H3" s="543"/>
      <c r="I3" s="546"/>
      <c r="J3" s="419"/>
    </row>
    <row r="4" spans="1:10">
      <c r="A4" s="418"/>
      <c r="B4" s="547" t="s">
        <v>1097</v>
      </c>
      <c r="C4" s="548"/>
      <c r="D4" s="549"/>
      <c r="E4" s="549"/>
      <c r="F4" s="549"/>
      <c r="G4" s="549"/>
      <c r="H4" s="549"/>
      <c r="I4" s="550"/>
      <c r="J4" s="419"/>
    </row>
    <row r="5" spans="1:10" outlineLevel="1">
      <c r="A5" s="418"/>
      <c r="B5" s="547" t="s">
        <v>1098</v>
      </c>
      <c r="C5" s="548"/>
      <c r="D5" s="549"/>
      <c r="E5" s="549"/>
      <c r="F5" s="549"/>
      <c r="G5" s="549"/>
      <c r="H5" s="549"/>
      <c r="I5" s="550"/>
      <c r="J5" s="419"/>
    </row>
    <row r="6" spans="1:10" outlineLevel="1">
      <c r="A6" s="418"/>
      <c r="B6" s="547" t="s">
        <v>1099</v>
      </c>
      <c r="C6" s="548"/>
      <c r="D6" s="549"/>
      <c r="E6" s="549"/>
      <c r="F6" s="549"/>
      <c r="G6" s="549"/>
      <c r="H6" s="549"/>
      <c r="I6" s="550"/>
      <c r="J6" s="419"/>
    </row>
    <row r="7" spans="1:10" outlineLevel="1">
      <c r="A7" s="418"/>
      <c r="B7" s="547" t="s">
        <v>1100</v>
      </c>
      <c r="C7" s="548"/>
      <c r="D7" s="549"/>
      <c r="E7" s="549"/>
      <c r="F7" s="552" t="s">
        <v>1101</v>
      </c>
      <c r="G7" s="553"/>
      <c r="H7" s="558"/>
      <c r="I7" s="559"/>
      <c r="J7" s="419"/>
    </row>
    <row r="8" spans="1:10" outlineLevel="1">
      <c r="A8" s="418"/>
      <c r="B8" s="547" t="s">
        <v>1102</v>
      </c>
      <c r="C8" s="548"/>
      <c r="D8" s="551">
        <f>GST!E3</f>
        <v>0</v>
      </c>
      <c r="E8" s="551"/>
      <c r="F8" s="552" t="s">
        <v>1103</v>
      </c>
      <c r="G8" s="553"/>
      <c r="H8" s="551">
        <f>GST!E8</f>
        <v>0</v>
      </c>
      <c r="I8" s="554"/>
      <c r="J8" s="419"/>
    </row>
    <row r="9" spans="1:10">
      <c r="A9" s="418"/>
      <c r="B9" s="547" t="s">
        <v>1104</v>
      </c>
      <c r="C9" s="548"/>
      <c r="D9" s="555"/>
      <c r="E9" s="555"/>
      <c r="F9" s="552" t="s">
        <v>1105</v>
      </c>
      <c r="G9" s="553"/>
      <c r="H9" s="556" t="str">
        <f ca="1">IF(D9&lt;&gt;"",DATEDIF(D9,TODAY(),"Y")&amp;" Years","")</f>
        <v/>
      </c>
      <c r="I9" s="557"/>
      <c r="J9" s="419"/>
    </row>
    <row r="10" spans="1:10" ht="14.25" customHeight="1">
      <c r="A10" s="418"/>
      <c r="B10" s="547" t="s">
        <v>1106</v>
      </c>
      <c r="C10" s="548"/>
      <c r="D10" s="564"/>
      <c r="E10" s="564"/>
      <c r="F10" s="552" t="s">
        <v>1107</v>
      </c>
      <c r="G10" s="553"/>
      <c r="H10" s="564"/>
      <c r="I10" s="565"/>
      <c r="J10" s="419"/>
    </row>
    <row r="11" spans="1:10" outlineLevel="1">
      <c r="A11" s="418"/>
      <c r="B11" s="547" t="s">
        <v>1108</v>
      </c>
      <c r="C11" s="548"/>
      <c r="D11" s="562">
        <f>ROC!E3</f>
        <v>0</v>
      </c>
      <c r="E11" s="562"/>
      <c r="F11" s="552" t="s">
        <v>1103</v>
      </c>
      <c r="G11" s="553"/>
      <c r="H11" s="562">
        <f>ROC!E22</f>
        <v>0</v>
      </c>
      <c r="I11" s="563"/>
      <c r="J11" s="419"/>
    </row>
    <row r="12" spans="1:10" outlineLevel="1">
      <c r="A12" s="418"/>
      <c r="B12" s="547" t="s">
        <v>1109</v>
      </c>
      <c r="C12" s="548"/>
      <c r="D12" s="560">
        <f>ROC!E10</f>
        <v>0</v>
      </c>
      <c r="E12" s="560"/>
      <c r="F12" s="552" t="s">
        <v>1110</v>
      </c>
      <c r="G12" s="553"/>
      <c r="H12" s="560">
        <f>ROC!E11</f>
        <v>0</v>
      </c>
      <c r="I12" s="561"/>
      <c r="J12" s="419"/>
    </row>
    <row r="13" spans="1:10" ht="31.5" customHeight="1">
      <c r="A13" s="418"/>
      <c r="B13" s="547" t="s">
        <v>1111</v>
      </c>
      <c r="C13" s="548"/>
      <c r="D13" s="562"/>
      <c r="E13" s="562"/>
      <c r="F13" s="562"/>
      <c r="G13" s="562"/>
      <c r="H13" s="562"/>
      <c r="I13" s="563"/>
      <c r="J13" s="419"/>
    </row>
    <row r="14" spans="1:10" ht="15" thickBot="1">
      <c r="A14" s="418"/>
      <c r="B14" s="575" t="s">
        <v>1219</v>
      </c>
      <c r="C14" s="576"/>
      <c r="D14" s="577">
        <v>0</v>
      </c>
      <c r="E14" s="577"/>
      <c r="F14" s="578" t="s">
        <v>1220</v>
      </c>
      <c r="G14" s="579"/>
      <c r="H14" s="577">
        <v>0</v>
      </c>
      <c r="I14" s="580"/>
      <c r="J14" s="419"/>
    </row>
    <row r="15" spans="1:10" ht="21" customHeight="1" outlineLevel="1" thickBot="1">
      <c r="A15" s="418"/>
      <c r="B15" s="581" t="s">
        <v>1112</v>
      </c>
      <c r="C15" s="582"/>
      <c r="D15" s="582"/>
      <c r="E15" s="582"/>
      <c r="F15" s="582"/>
      <c r="G15" s="582"/>
      <c r="H15" s="582"/>
      <c r="I15" s="583"/>
      <c r="J15" s="419"/>
    </row>
    <row r="16" spans="1:10" ht="15" outlineLevel="1">
      <c r="A16" s="418"/>
      <c r="B16" s="584" t="s">
        <v>1113</v>
      </c>
      <c r="C16" s="585"/>
      <c r="D16" s="585"/>
      <c r="E16" s="585"/>
      <c r="F16" s="585"/>
      <c r="G16" s="585"/>
      <c r="H16" s="585"/>
      <c r="I16" s="586"/>
      <c r="J16" s="419"/>
    </row>
    <row r="17" spans="1:10" ht="15" hidden="1" outlineLevel="2">
      <c r="A17" s="418"/>
      <c r="B17" s="566" t="s">
        <v>984</v>
      </c>
      <c r="C17" s="568" t="s">
        <v>1057</v>
      </c>
      <c r="D17" s="570">
        <v>0</v>
      </c>
      <c r="E17" s="571"/>
      <c r="F17" s="570" t="s">
        <v>1221</v>
      </c>
      <c r="G17" s="571"/>
      <c r="H17" s="570" t="s">
        <v>1221</v>
      </c>
      <c r="I17" s="572"/>
      <c r="J17" s="419"/>
    </row>
    <row r="18" spans="1:10" hidden="1" outlineLevel="2">
      <c r="A18" s="418"/>
      <c r="B18" s="567"/>
      <c r="C18" s="569"/>
      <c r="D18" s="420" t="s">
        <v>1114</v>
      </c>
      <c r="E18" s="420" t="s">
        <v>1115</v>
      </c>
      <c r="F18" s="420" t="s">
        <v>1114</v>
      </c>
      <c r="G18" s="420" t="s">
        <v>1115</v>
      </c>
      <c r="H18" s="420" t="s">
        <v>1114</v>
      </c>
      <c r="I18" s="421" t="s">
        <v>1115</v>
      </c>
      <c r="J18" s="419"/>
    </row>
    <row r="19" spans="1:10" ht="18" hidden="1" customHeight="1" outlineLevel="2">
      <c r="A19" s="418"/>
      <c r="B19" s="422">
        <v>1</v>
      </c>
      <c r="C19" s="423"/>
      <c r="D19" s="424"/>
      <c r="E19" s="425" t="str">
        <f>IFERROR(D19/$D$25,"")</f>
        <v/>
      </c>
      <c r="F19" s="426"/>
      <c r="G19" s="425" t="str">
        <f>IFERROR(F19/$F$25,"")</f>
        <v/>
      </c>
      <c r="H19" s="424"/>
      <c r="I19" s="427" t="str">
        <f>IFERROR(H19/$H$25,"")</f>
        <v/>
      </c>
      <c r="J19" s="419"/>
    </row>
    <row r="20" spans="1:10" ht="14.25" hidden="1" customHeight="1" outlineLevel="2">
      <c r="A20" s="418"/>
      <c r="B20" s="422">
        <v>2</v>
      </c>
      <c r="C20" s="423"/>
      <c r="D20" s="424"/>
      <c r="E20" s="425" t="str">
        <f>IFERROR(D20/$D$25,"")</f>
        <v/>
      </c>
      <c r="F20" s="426"/>
      <c r="G20" s="425" t="str">
        <f t="shared" ref="G20:G24" si="0">IFERROR(F20/$F$25,"")</f>
        <v/>
      </c>
      <c r="H20" s="424"/>
      <c r="I20" s="427" t="str">
        <f t="shared" ref="I20:I24" si="1">IFERROR(H20/$H$25,"")</f>
        <v/>
      </c>
      <c r="J20" s="419"/>
    </row>
    <row r="21" spans="1:10" ht="14.25" hidden="1" customHeight="1" outlineLevel="2">
      <c r="A21" s="418"/>
      <c r="B21" s="422">
        <v>3</v>
      </c>
      <c r="C21" s="423"/>
      <c r="D21" s="424"/>
      <c r="E21" s="425" t="str">
        <f>IFERROR(D21/$D$25,"")</f>
        <v/>
      </c>
      <c r="F21" s="426"/>
      <c r="G21" s="425" t="str">
        <f t="shared" si="0"/>
        <v/>
      </c>
      <c r="H21" s="424"/>
      <c r="I21" s="427" t="str">
        <f t="shared" si="1"/>
        <v/>
      </c>
      <c r="J21" s="419"/>
    </row>
    <row r="22" spans="1:10" ht="14.25" hidden="1" customHeight="1" outlineLevel="2">
      <c r="A22" s="418"/>
      <c r="B22" s="422">
        <v>4</v>
      </c>
      <c r="C22" s="423"/>
      <c r="D22" s="424"/>
      <c r="E22" s="425" t="str">
        <f>IFERROR(D22/$D$25,"")</f>
        <v/>
      </c>
      <c r="F22" s="426"/>
      <c r="G22" s="425" t="str">
        <f t="shared" si="0"/>
        <v/>
      </c>
      <c r="H22" s="424"/>
      <c r="I22" s="427" t="str">
        <f t="shared" si="1"/>
        <v/>
      </c>
      <c r="J22" s="419"/>
    </row>
    <row r="23" spans="1:10" ht="14.25" hidden="1" customHeight="1" outlineLevel="2">
      <c r="A23" s="418"/>
      <c r="B23" s="422">
        <v>5</v>
      </c>
      <c r="C23" s="423"/>
      <c r="D23" s="424"/>
      <c r="E23" s="425" t="str">
        <f t="shared" ref="E23" si="2">IFERROR(D23/$D$25,"")</f>
        <v/>
      </c>
      <c r="F23" s="426"/>
      <c r="G23" s="425" t="str">
        <f t="shared" si="0"/>
        <v/>
      </c>
      <c r="H23" s="424"/>
      <c r="I23" s="427" t="str">
        <f t="shared" si="1"/>
        <v/>
      </c>
      <c r="J23" s="419"/>
    </row>
    <row r="24" spans="1:10" ht="14.25" hidden="1" customHeight="1" outlineLevel="2">
      <c r="A24" s="418"/>
      <c r="B24" s="422">
        <v>6</v>
      </c>
      <c r="C24" s="423" t="s">
        <v>1116</v>
      </c>
      <c r="D24" s="428">
        <f>D25-SUM(D19:D23)</f>
        <v>0</v>
      </c>
      <c r="E24" s="425" t="str">
        <f>IFERROR(D24/$D$25,"")</f>
        <v/>
      </c>
      <c r="F24" s="428">
        <f>F25-SUM(F19:F23)</f>
        <v>0</v>
      </c>
      <c r="G24" s="425" t="str">
        <f t="shared" si="0"/>
        <v/>
      </c>
      <c r="H24" s="428">
        <f>H25-SUM(H19:H23)</f>
        <v>0</v>
      </c>
      <c r="I24" s="427" t="str">
        <f t="shared" si="1"/>
        <v/>
      </c>
      <c r="J24" s="419"/>
    </row>
    <row r="25" spans="1:10" ht="14.25" hidden="1" customHeight="1" outlineLevel="2">
      <c r="A25" s="418"/>
      <c r="B25" s="573" t="s">
        <v>145</v>
      </c>
      <c r="C25" s="574"/>
      <c r="D25" s="429"/>
      <c r="E25" s="430">
        <f>SUM(E19:E24)</f>
        <v>0</v>
      </c>
      <c r="F25" s="429"/>
      <c r="G25" s="430">
        <f>SUM(G19:G24)</f>
        <v>0</v>
      </c>
      <c r="H25" s="429"/>
      <c r="I25" s="431">
        <f>SUM(I19:I24)</f>
        <v>0</v>
      </c>
      <c r="J25" s="419"/>
    </row>
    <row r="26" spans="1:10" ht="15" outlineLevel="1" collapsed="1">
      <c r="A26" s="418"/>
      <c r="B26" s="587" t="s">
        <v>1117</v>
      </c>
      <c r="C26" s="588"/>
      <c r="D26" s="588"/>
      <c r="E26" s="588"/>
      <c r="F26" s="588"/>
      <c r="G26" s="588"/>
      <c r="H26" s="588"/>
      <c r="I26" s="589"/>
      <c r="J26" s="419"/>
    </row>
    <row r="27" spans="1:10" ht="15" hidden="1" customHeight="1" outlineLevel="2">
      <c r="A27" s="418"/>
      <c r="B27" s="566" t="s">
        <v>984</v>
      </c>
      <c r="C27" s="568" t="s">
        <v>1057</v>
      </c>
      <c r="D27" s="570">
        <v>0</v>
      </c>
      <c r="E27" s="571"/>
      <c r="F27" s="570" t="s">
        <v>1221</v>
      </c>
      <c r="G27" s="571"/>
      <c r="H27" s="570" t="s">
        <v>1221</v>
      </c>
      <c r="I27" s="572"/>
      <c r="J27" s="419"/>
    </row>
    <row r="28" spans="1:10" hidden="1" outlineLevel="2">
      <c r="A28" s="418"/>
      <c r="B28" s="567"/>
      <c r="C28" s="569"/>
      <c r="D28" s="420" t="s">
        <v>1114</v>
      </c>
      <c r="E28" s="420" t="s">
        <v>1115</v>
      </c>
      <c r="F28" s="420" t="s">
        <v>1114</v>
      </c>
      <c r="G28" s="420" t="s">
        <v>1115</v>
      </c>
      <c r="H28" s="420" t="s">
        <v>1114</v>
      </c>
      <c r="I28" s="421" t="s">
        <v>1115</v>
      </c>
      <c r="J28" s="419"/>
    </row>
    <row r="29" spans="1:10" ht="14.25" hidden="1" customHeight="1" outlineLevel="2">
      <c r="A29" s="418"/>
      <c r="B29" s="422">
        <v>1</v>
      </c>
      <c r="C29" s="423"/>
      <c r="D29" s="424"/>
      <c r="E29" s="425" t="str">
        <f>IFERROR(D29/$D$35,"")</f>
        <v/>
      </c>
      <c r="F29" s="426"/>
      <c r="G29" s="425" t="str">
        <f>IFERROR(F29/$F$35,"")</f>
        <v/>
      </c>
      <c r="H29" s="424"/>
      <c r="I29" s="427" t="str">
        <f>IFERROR(H29/$H$35,"")</f>
        <v/>
      </c>
      <c r="J29" s="419"/>
    </row>
    <row r="30" spans="1:10" ht="14.25" hidden="1" customHeight="1" outlineLevel="2">
      <c r="A30" s="418"/>
      <c r="B30" s="422">
        <v>2</v>
      </c>
      <c r="C30" s="423"/>
      <c r="D30" s="424"/>
      <c r="E30" s="425" t="str">
        <f t="shared" ref="E30:E34" si="3">IFERROR(D30/$D$35,"")</f>
        <v/>
      </c>
      <c r="F30" s="426"/>
      <c r="G30" s="425" t="str">
        <f t="shared" ref="G30:G34" si="4">IFERROR(F30/$F$35,"")</f>
        <v/>
      </c>
      <c r="H30" s="424"/>
      <c r="I30" s="427" t="str">
        <f t="shared" ref="I30:I34" si="5">IFERROR(H30/$H$35,"")</f>
        <v/>
      </c>
      <c r="J30" s="419"/>
    </row>
    <row r="31" spans="1:10" ht="14.25" hidden="1" customHeight="1" outlineLevel="2">
      <c r="A31" s="418"/>
      <c r="B31" s="422">
        <v>3</v>
      </c>
      <c r="C31" s="423"/>
      <c r="D31" s="424"/>
      <c r="E31" s="425" t="str">
        <f t="shared" si="3"/>
        <v/>
      </c>
      <c r="F31" s="426"/>
      <c r="G31" s="425" t="str">
        <f t="shared" si="4"/>
        <v/>
      </c>
      <c r="H31" s="424"/>
      <c r="I31" s="427" t="str">
        <f t="shared" si="5"/>
        <v/>
      </c>
      <c r="J31" s="419"/>
    </row>
    <row r="32" spans="1:10" ht="14.25" hidden="1" customHeight="1" outlineLevel="2">
      <c r="A32" s="418"/>
      <c r="B32" s="422">
        <v>4</v>
      </c>
      <c r="C32" s="423"/>
      <c r="D32" s="424"/>
      <c r="E32" s="425" t="str">
        <f t="shared" si="3"/>
        <v/>
      </c>
      <c r="F32" s="426"/>
      <c r="G32" s="425" t="str">
        <f t="shared" si="4"/>
        <v/>
      </c>
      <c r="H32" s="424"/>
      <c r="I32" s="427" t="str">
        <f t="shared" si="5"/>
        <v/>
      </c>
      <c r="J32" s="419"/>
    </row>
    <row r="33" spans="1:10" ht="14.25" hidden="1" customHeight="1" outlineLevel="2">
      <c r="A33" s="418"/>
      <c r="B33" s="422">
        <v>5</v>
      </c>
      <c r="C33" s="423"/>
      <c r="D33" s="424"/>
      <c r="E33" s="425" t="str">
        <f t="shared" si="3"/>
        <v/>
      </c>
      <c r="F33" s="426"/>
      <c r="G33" s="425" t="str">
        <f t="shared" si="4"/>
        <v/>
      </c>
      <c r="H33" s="424"/>
      <c r="I33" s="427" t="str">
        <f t="shared" si="5"/>
        <v/>
      </c>
      <c r="J33" s="419"/>
    </row>
    <row r="34" spans="1:10" ht="14.25" hidden="1" customHeight="1" outlineLevel="2">
      <c r="A34" s="418"/>
      <c r="B34" s="422">
        <v>6</v>
      </c>
      <c r="C34" s="423" t="s">
        <v>1116</v>
      </c>
      <c r="D34" s="428">
        <f>D35-SUM(D29:D33)</f>
        <v>0</v>
      </c>
      <c r="E34" s="425" t="str">
        <f t="shared" si="3"/>
        <v/>
      </c>
      <c r="F34" s="428">
        <f>F35-SUM(F29:F33)</f>
        <v>0</v>
      </c>
      <c r="G34" s="425" t="str">
        <f t="shared" si="4"/>
        <v/>
      </c>
      <c r="H34" s="428">
        <f>H35-SUM(H29:H33)</f>
        <v>0</v>
      </c>
      <c r="I34" s="427" t="str">
        <f t="shared" si="5"/>
        <v/>
      </c>
      <c r="J34" s="419"/>
    </row>
    <row r="35" spans="1:10" ht="14.25" hidden="1" customHeight="1" outlineLevel="2">
      <c r="A35" s="418"/>
      <c r="B35" s="573" t="s">
        <v>145</v>
      </c>
      <c r="C35" s="574"/>
      <c r="D35" s="429"/>
      <c r="E35" s="430">
        <f>SUM(E29:E34)</f>
        <v>0</v>
      </c>
      <c r="F35" s="429"/>
      <c r="G35" s="430">
        <f>SUM(G29:G34)</f>
        <v>0</v>
      </c>
      <c r="H35" s="429"/>
      <c r="I35" s="431">
        <f>SUM(I29:I34)</f>
        <v>0</v>
      </c>
      <c r="J35" s="419"/>
    </row>
    <row r="36" spans="1:10" ht="15" outlineLevel="1" collapsed="1">
      <c r="A36" s="418"/>
      <c r="B36" s="587" t="s">
        <v>1118</v>
      </c>
      <c r="C36" s="588"/>
      <c r="D36" s="588"/>
      <c r="E36" s="588"/>
      <c r="F36" s="588"/>
      <c r="G36" s="588"/>
      <c r="H36" s="588"/>
      <c r="I36" s="589"/>
      <c r="J36" s="419"/>
    </row>
    <row r="37" spans="1:10" ht="15" hidden="1" customHeight="1" outlineLevel="2">
      <c r="A37" s="418"/>
      <c r="B37" s="566" t="s">
        <v>984</v>
      </c>
      <c r="C37" s="568" t="s">
        <v>1057</v>
      </c>
      <c r="D37" s="570">
        <v>0</v>
      </c>
      <c r="E37" s="571"/>
      <c r="F37" s="570" t="s">
        <v>1221</v>
      </c>
      <c r="G37" s="571"/>
      <c r="H37" s="570" t="s">
        <v>1221</v>
      </c>
      <c r="I37" s="572"/>
      <c r="J37" s="419"/>
    </row>
    <row r="38" spans="1:10" hidden="1" outlineLevel="2">
      <c r="A38" s="418"/>
      <c r="B38" s="567"/>
      <c r="C38" s="569"/>
      <c r="D38" s="420" t="s">
        <v>1114</v>
      </c>
      <c r="E38" s="420" t="s">
        <v>1115</v>
      </c>
      <c r="F38" s="420" t="s">
        <v>1114</v>
      </c>
      <c r="G38" s="420" t="s">
        <v>1115</v>
      </c>
      <c r="H38" s="420" t="s">
        <v>1114</v>
      </c>
      <c r="I38" s="421" t="s">
        <v>1115</v>
      </c>
      <c r="J38" s="419"/>
    </row>
    <row r="39" spans="1:10" hidden="1" outlineLevel="2">
      <c r="A39" s="418"/>
      <c r="B39" s="422">
        <v>1</v>
      </c>
      <c r="C39" s="423"/>
      <c r="D39" s="424"/>
      <c r="E39" s="425" t="str">
        <f>IFERROR(D39/$D$35,"")</f>
        <v/>
      </c>
      <c r="F39" s="426"/>
      <c r="G39" s="425" t="str">
        <f>IFERROR(F39/$F$35,"")</f>
        <v/>
      </c>
      <c r="H39" s="424"/>
      <c r="I39" s="427" t="str">
        <f>IFERROR(H39/$H$35,"")</f>
        <v/>
      </c>
      <c r="J39" s="419"/>
    </row>
    <row r="40" spans="1:10" hidden="1" outlineLevel="2">
      <c r="A40" s="418"/>
      <c r="B40" s="422">
        <v>2</v>
      </c>
      <c r="C40" s="423"/>
      <c r="D40" s="424"/>
      <c r="E40" s="425" t="str">
        <f t="shared" ref="E40:E44" si="6">IFERROR(D40/$D$35,"")</f>
        <v/>
      </c>
      <c r="F40" s="426"/>
      <c r="G40" s="425" t="str">
        <f t="shared" ref="G40:G44" si="7">IFERROR(F40/$F$35,"")</f>
        <v/>
      </c>
      <c r="H40" s="424"/>
      <c r="I40" s="427" t="str">
        <f t="shared" ref="I40:I44" si="8">IFERROR(H40/$H$35,"")</f>
        <v/>
      </c>
      <c r="J40" s="419"/>
    </row>
    <row r="41" spans="1:10" hidden="1" outlineLevel="2">
      <c r="A41" s="418"/>
      <c r="B41" s="422">
        <v>3</v>
      </c>
      <c r="C41" s="423"/>
      <c r="D41" s="424"/>
      <c r="E41" s="425" t="str">
        <f t="shared" si="6"/>
        <v/>
      </c>
      <c r="F41" s="426"/>
      <c r="G41" s="425" t="str">
        <f t="shared" si="7"/>
        <v/>
      </c>
      <c r="H41" s="424"/>
      <c r="I41" s="427" t="str">
        <f t="shared" si="8"/>
        <v/>
      </c>
      <c r="J41" s="419"/>
    </row>
    <row r="42" spans="1:10" hidden="1" outlineLevel="2">
      <c r="A42" s="418"/>
      <c r="B42" s="422">
        <v>4</v>
      </c>
      <c r="C42" s="423"/>
      <c r="D42" s="424"/>
      <c r="E42" s="425" t="str">
        <f t="shared" si="6"/>
        <v/>
      </c>
      <c r="F42" s="426"/>
      <c r="G42" s="425" t="str">
        <f t="shared" si="7"/>
        <v/>
      </c>
      <c r="H42" s="424"/>
      <c r="I42" s="427" t="str">
        <f t="shared" si="8"/>
        <v/>
      </c>
      <c r="J42" s="419"/>
    </row>
    <row r="43" spans="1:10" hidden="1" outlineLevel="2">
      <c r="A43" s="418"/>
      <c r="B43" s="422">
        <v>5</v>
      </c>
      <c r="C43" s="423"/>
      <c r="D43" s="424"/>
      <c r="E43" s="425" t="str">
        <f t="shared" si="6"/>
        <v/>
      </c>
      <c r="F43" s="426"/>
      <c r="G43" s="425" t="str">
        <f t="shared" si="7"/>
        <v/>
      </c>
      <c r="H43" s="424"/>
      <c r="I43" s="427" t="str">
        <f t="shared" si="8"/>
        <v/>
      </c>
      <c r="J43" s="419"/>
    </row>
    <row r="44" spans="1:10" hidden="1" outlineLevel="2">
      <c r="A44" s="418"/>
      <c r="B44" s="422">
        <v>6</v>
      </c>
      <c r="C44" s="423" t="s">
        <v>1116</v>
      </c>
      <c r="D44" s="428">
        <f>D45-SUM(D39:D43)</f>
        <v>0</v>
      </c>
      <c r="E44" s="425" t="str">
        <f t="shared" si="6"/>
        <v/>
      </c>
      <c r="F44" s="428">
        <f>F45-SUM(F39:F43)</f>
        <v>0</v>
      </c>
      <c r="G44" s="425" t="str">
        <f t="shared" si="7"/>
        <v/>
      </c>
      <c r="H44" s="428">
        <f>H45-SUM(H39:H43)</f>
        <v>0</v>
      </c>
      <c r="I44" s="427" t="str">
        <f t="shared" si="8"/>
        <v/>
      </c>
      <c r="J44" s="419"/>
    </row>
    <row r="45" spans="1:10" hidden="1" outlineLevel="2">
      <c r="A45" s="418"/>
      <c r="B45" s="573" t="s">
        <v>145</v>
      </c>
      <c r="C45" s="574"/>
      <c r="D45" s="429"/>
      <c r="E45" s="430">
        <f>SUM(E39:E44)</f>
        <v>0</v>
      </c>
      <c r="F45" s="429"/>
      <c r="G45" s="430">
        <f>SUM(G39:G44)</f>
        <v>0</v>
      </c>
      <c r="H45" s="429"/>
      <c r="I45" s="431">
        <f>SUM(I39:I44)</f>
        <v>0</v>
      </c>
      <c r="J45" s="419"/>
    </row>
    <row r="46" spans="1:10" ht="15" outlineLevel="1" collapsed="1">
      <c r="A46" s="418"/>
      <c r="B46" s="587" t="s">
        <v>1119</v>
      </c>
      <c r="C46" s="588"/>
      <c r="D46" s="588"/>
      <c r="E46" s="588"/>
      <c r="F46" s="588"/>
      <c r="G46" s="588"/>
      <c r="H46" s="588"/>
      <c r="I46" s="589"/>
      <c r="J46" s="419"/>
    </row>
    <row r="47" spans="1:10" ht="25.5" hidden="1" outlineLevel="2">
      <c r="A47" s="418"/>
      <c r="B47" s="432" t="s">
        <v>984</v>
      </c>
      <c r="C47" s="433" t="s">
        <v>1057</v>
      </c>
      <c r="D47" s="420" t="s">
        <v>1120</v>
      </c>
      <c r="E47" s="598" t="s">
        <v>1121</v>
      </c>
      <c r="F47" s="599"/>
      <c r="G47" s="434">
        <f>D37</f>
        <v>0</v>
      </c>
      <c r="H47" s="434" t="str">
        <f>F37</f>
        <v>-</v>
      </c>
      <c r="I47" s="435" t="str">
        <f>H37</f>
        <v>-</v>
      </c>
      <c r="J47" s="419"/>
    </row>
    <row r="48" spans="1:10" hidden="1" outlineLevel="2">
      <c r="A48" s="418"/>
      <c r="B48" s="422">
        <v>1</v>
      </c>
      <c r="C48" s="423"/>
      <c r="D48" s="424"/>
      <c r="E48" s="590" t="str">
        <f>IFERROR(D48/$D$35,"")</f>
        <v/>
      </c>
      <c r="F48" s="591"/>
      <c r="G48" s="425" t="str">
        <f>IFERROR(F48/$F$35,"")</f>
        <v/>
      </c>
      <c r="H48" s="436"/>
      <c r="I48" s="427" t="str">
        <f>IFERROR(H48/$H$35,"")</f>
        <v/>
      </c>
      <c r="J48" s="419"/>
    </row>
    <row r="49" spans="1:10" hidden="1" outlineLevel="2">
      <c r="A49" s="418"/>
      <c r="B49" s="422">
        <v>2</v>
      </c>
      <c r="C49" s="423"/>
      <c r="D49" s="424"/>
      <c r="E49" s="590" t="str">
        <f t="shared" ref="E49:E53" si="9">IFERROR(D49/$D$35,"")</f>
        <v/>
      </c>
      <c r="F49" s="591"/>
      <c r="G49" s="425" t="str">
        <f t="shared" ref="G49:G53" si="10">IFERROR(F49/$F$35,"")</f>
        <v/>
      </c>
      <c r="H49" s="436"/>
      <c r="I49" s="427" t="str">
        <f t="shared" ref="I49:I53" si="11">IFERROR(H49/$H$35,"")</f>
        <v/>
      </c>
      <c r="J49" s="419"/>
    </row>
    <row r="50" spans="1:10" hidden="1" outlineLevel="2">
      <c r="A50" s="418"/>
      <c r="B50" s="422">
        <v>3</v>
      </c>
      <c r="C50" s="423"/>
      <c r="D50" s="424"/>
      <c r="E50" s="590" t="str">
        <f t="shared" si="9"/>
        <v/>
      </c>
      <c r="F50" s="591"/>
      <c r="G50" s="425" t="str">
        <f t="shared" si="10"/>
        <v/>
      </c>
      <c r="H50" s="436"/>
      <c r="I50" s="427" t="str">
        <f t="shared" si="11"/>
        <v/>
      </c>
      <c r="J50" s="419"/>
    </row>
    <row r="51" spans="1:10" hidden="1" outlineLevel="2">
      <c r="A51" s="418"/>
      <c r="B51" s="422">
        <v>4</v>
      </c>
      <c r="C51" s="423"/>
      <c r="D51" s="424"/>
      <c r="E51" s="590" t="str">
        <f t="shared" si="9"/>
        <v/>
      </c>
      <c r="F51" s="591"/>
      <c r="G51" s="425" t="str">
        <f t="shared" si="10"/>
        <v/>
      </c>
      <c r="H51" s="436"/>
      <c r="I51" s="427" t="str">
        <f t="shared" si="11"/>
        <v/>
      </c>
      <c r="J51" s="419"/>
    </row>
    <row r="52" spans="1:10" hidden="1" outlineLevel="2">
      <c r="A52" s="418"/>
      <c r="B52" s="422">
        <v>5</v>
      </c>
      <c r="C52" s="423"/>
      <c r="D52" s="424"/>
      <c r="E52" s="590" t="str">
        <f t="shared" si="9"/>
        <v/>
      </c>
      <c r="F52" s="591"/>
      <c r="G52" s="425" t="str">
        <f t="shared" si="10"/>
        <v/>
      </c>
      <c r="H52" s="436"/>
      <c r="I52" s="427" t="str">
        <f t="shared" si="11"/>
        <v/>
      </c>
      <c r="J52" s="419"/>
    </row>
    <row r="53" spans="1:10" hidden="1" outlineLevel="2">
      <c r="A53" s="418"/>
      <c r="B53" s="422">
        <v>6</v>
      </c>
      <c r="C53" s="423" t="s">
        <v>1116</v>
      </c>
      <c r="D53" s="428"/>
      <c r="E53" s="590" t="str">
        <f t="shared" si="9"/>
        <v/>
      </c>
      <c r="F53" s="591"/>
      <c r="G53" s="425" t="str">
        <f t="shared" si="10"/>
        <v/>
      </c>
      <c r="H53" s="436"/>
      <c r="I53" s="427" t="str">
        <f t="shared" si="11"/>
        <v/>
      </c>
      <c r="J53" s="419"/>
    </row>
    <row r="54" spans="1:10" hidden="1" outlineLevel="2">
      <c r="A54" s="418"/>
      <c r="B54" s="573" t="s">
        <v>145</v>
      </c>
      <c r="C54" s="574"/>
      <c r="D54" s="429"/>
      <c r="E54" s="592"/>
      <c r="F54" s="593"/>
      <c r="G54" s="430">
        <f>SUM(G48:G53)</f>
        <v>0</v>
      </c>
      <c r="H54" s="430">
        <f>SUM(H48:H53)</f>
        <v>0</v>
      </c>
      <c r="I54" s="431">
        <f>SUM(I48:I53)</f>
        <v>0</v>
      </c>
      <c r="J54" s="419"/>
    </row>
    <row r="55" spans="1:10" ht="15" outlineLevel="1" collapsed="1" thickBot="1">
      <c r="A55" s="418"/>
      <c r="B55" s="594" t="s">
        <v>1122</v>
      </c>
      <c r="C55" s="579"/>
      <c r="D55" s="595"/>
      <c r="E55" s="596"/>
      <c r="F55" s="596"/>
      <c r="G55" s="596"/>
      <c r="H55" s="596"/>
      <c r="I55" s="597"/>
      <c r="J55" s="419"/>
    </row>
    <row r="56" spans="1:10" ht="15" thickBot="1">
      <c r="A56" s="418"/>
      <c r="B56" s="437"/>
      <c r="C56" s="438"/>
      <c r="D56" s="438"/>
      <c r="E56" s="438"/>
      <c r="F56" s="438"/>
      <c r="G56" s="438"/>
      <c r="H56" s="438"/>
      <c r="I56" s="439"/>
      <c r="J56" s="419"/>
    </row>
    <row r="57" spans="1:10" ht="15" outlineLevel="1">
      <c r="A57" s="418"/>
      <c r="B57" s="584" t="s">
        <v>1123</v>
      </c>
      <c r="C57" s="585"/>
      <c r="D57" s="585"/>
      <c r="E57" s="585"/>
      <c r="F57" s="585"/>
      <c r="G57" s="585"/>
      <c r="H57" s="585"/>
      <c r="I57" s="586"/>
      <c r="J57" s="419"/>
    </row>
    <row r="58" spans="1:10" outlineLevel="1">
      <c r="A58" s="418"/>
      <c r="B58" s="547" t="s">
        <v>1124</v>
      </c>
      <c r="C58" s="548"/>
      <c r="D58" s="612"/>
      <c r="E58" s="612"/>
      <c r="F58" s="552" t="s">
        <v>1125</v>
      </c>
      <c r="G58" s="553"/>
      <c r="H58" s="612"/>
      <c r="I58" s="613"/>
      <c r="J58" s="419"/>
    </row>
    <row r="59" spans="1:10" outlineLevel="1">
      <c r="A59" s="418"/>
      <c r="B59" s="547" t="s">
        <v>1126</v>
      </c>
      <c r="C59" s="548"/>
      <c r="D59" s="612"/>
      <c r="E59" s="612"/>
      <c r="F59" s="552" t="s">
        <v>1127</v>
      </c>
      <c r="G59" s="553"/>
      <c r="H59" s="612"/>
      <c r="I59" s="613"/>
      <c r="J59" s="419"/>
    </row>
    <row r="60" spans="1:10" ht="39.75" customHeight="1" outlineLevel="1">
      <c r="A60" s="418"/>
      <c r="B60" s="547" t="s">
        <v>1128</v>
      </c>
      <c r="C60" s="548"/>
      <c r="D60" s="600"/>
      <c r="E60" s="600"/>
      <c r="F60" s="600"/>
      <c r="G60" s="600"/>
      <c r="H60" s="600"/>
      <c r="I60" s="601"/>
      <c r="J60" s="419"/>
    </row>
    <row r="61" spans="1:10" ht="15" outlineLevel="1" thickBot="1">
      <c r="A61" s="418"/>
      <c r="B61" s="602" t="s">
        <v>1122</v>
      </c>
      <c r="C61" s="603"/>
      <c r="D61" s="604" t="s">
        <v>1129</v>
      </c>
      <c r="E61" s="604"/>
      <c r="F61" s="604"/>
      <c r="G61" s="604"/>
      <c r="H61" s="604"/>
      <c r="I61" s="605"/>
      <c r="J61" s="419"/>
    </row>
    <row r="62" spans="1:10" ht="15" thickBot="1">
      <c r="A62" s="418"/>
      <c r="B62" s="440"/>
      <c r="C62" s="416"/>
      <c r="D62" s="416"/>
      <c r="E62" s="416"/>
      <c r="F62" s="416"/>
      <c r="G62" s="416"/>
      <c r="H62" s="441"/>
      <c r="I62" s="441"/>
      <c r="J62" s="419"/>
    </row>
    <row r="63" spans="1:10" ht="15.75" outlineLevel="1" thickBot="1">
      <c r="A63" s="418"/>
      <c r="B63" s="606" t="s">
        <v>1130</v>
      </c>
      <c r="C63" s="607"/>
      <c r="D63" s="607"/>
      <c r="E63" s="607"/>
      <c r="F63" s="608"/>
      <c r="G63" s="419"/>
      <c r="I63" s="419"/>
    </row>
    <row r="64" spans="1:10" ht="13.5" customHeight="1" outlineLevel="1">
      <c r="A64" s="418"/>
      <c r="B64" s="541" t="s">
        <v>1131</v>
      </c>
      <c r="C64" s="542"/>
      <c r="D64" s="609"/>
      <c r="E64" s="610"/>
      <c r="F64" s="611"/>
      <c r="G64" s="442"/>
      <c r="I64" s="419"/>
    </row>
    <row r="65" spans="1:10" ht="13.5" customHeight="1" outlineLevel="1">
      <c r="A65" s="418"/>
      <c r="B65" s="547" t="s">
        <v>1132</v>
      </c>
      <c r="C65" s="548"/>
      <c r="D65" s="614">
        <f>G65</f>
        <v>0</v>
      </c>
      <c r="E65" s="615"/>
      <c r="F65" s="616"/>
      <c r="G65" s="442"/>
      <c r="I65" s="419"/>
    </row>
    <row r="66" spans="1:10" ht="13.5" customHeight="1" outlineLevel="1">
      <c r="A66" s="418"/>
      <c r="B66" s="547" t="s">
        <v>1133</v>
      </c>
      <c r="C66" s="548"/>
      <c r="D66" s="614">
        <f>G66</f>
        <v>0</v>
      </c>
      <c r="E66" s="615"/>
      <c r="F66" s="616"/>
      <c r="G66" s="442"/>
      <c r="I66" s="419"/>
    </row>
    <row r="67" spans="1:10" ht="13.5" customHeight="1" outlineLevel="1">
      <c r="A67" s="418"/>
      <c r="B67" s="547" t="s">
        <v>1134</v>
      </c>
      <c r="C67" s="548"/>
      <c r="D67" s="614">
        <f>G67</f>
        <v>0</v>
      </c>
      <c r="E67" s="615"/>
      <c r="F67" s="616"/>
      <c r="G67" s="443"/>
    </row>
    <row r="68" spans="1:10" ht="13.5" customHeight="1" outlineLevel="1">
      <c r="A68" s="418"/>
      <c r="B68" s="547" t="s">
        <v>1103</v>
      </c>
      <c r="C68" s="548"/>
      <c r="D68" s="614">
        <f>G68</f>
        <v>0</v>
      </c>
      <c r="E68" s="615"/>
      <c r="F68" s="616"/>
      <c r="G68" s="444"/>
      <c r="I68" s="419"/>
    </row>
    <row r="69" spans="1:10" ht="15" outlineLevel="1" thickBot="1">
      <c r="A69" s="418"/>
      <c r="B69" s="602" t="s">
        <v>1101</v>
      </c>
      <c r="C69" s="603"/>
      <c r="D69" s="617">
        <f>G69</f>
        <v>0</v>
      </c>
      <c r="E69" s="618"/>
      <c r="F69" s="619"/>
      <c r="G69" s="445"/>
      <c r="I69" s="419"/>
    </row>
    <row r="70" spans="1:10" ht="15">
      <c r="B70" s="446"/>
      <c r="C70" s="446"/>
      <c r="D70" s="446"/>
      <c r="E70" s="446"/>
      <c r="F70" s="446"/>
      <c r="G70" s="446"/>
      <c r="H70" s="446"/>
      <c r="I70" s="446"/>
      <c r="J70" s="446"/>
    </row>
  </sheetData>
  <mergeCells count="101">
    <mergeCell ref="B68:C68"/>
    <mergeCell ref="D68:F68"/>
    <mergeCell ref="B69:C69"/>
    <mergeCell ref="D69:F69"/>
    <mergeCell ref="B65:C65"/>
    <mergeCell ref="D65:F65"/>
    <mergeCell ref="B66:C66"/>
    <mergeCell ref="D66:F66"/>
    <mergeCell ref="B67:C67"/>
    <mergeCell ref="D67:F67"/>
    <mergeCell ref="B60:C60"/>
    <mergeCell ref="D60:I60"/>
    <mergeCell ref="B61:C61"/>
    <mergeCell ref="D61:I61"/>
    <mergeCell ref="B63:F63"/>
    <mergeCell ref="B64:C64"/>
    <mergeCell ref="D64:F64"/>
    <mergeCell ref="B57:I57"/>
    <mergeCell ref="B58:C58"/>
    <mergeCell ref="D58:E58"/>
    <mergeCell ref="F58:G58"/>
    <mergeCell ref="H58:I58"/>
    <mergeCell ref="B59:C59"/>
    <mergeCell ref="D59:E59"/>
    <mergeCell ref="F59:G59"/>
    <mergeCell ref="H59:I59"/>
    <mergeCell ref="E51:F51"/>
    <mergeCell ref="E52:F52"/>
    <mergeCell ref="E53:F53"/>
    <mergeCell ref="B54:C54"/>
    <mergeCell ref="E54:F54"/>
    <mergeCell ref="B55:C55"/>
    <mergeCell ref="D55:I55"/>
    <mergeCell ref="B45:C45"/>
    <mergeCell ref="B46:I46"/>
    <mergeCell ref="E47:F47"/>
    <mergeCell ref="E48:F48"/>
    <mergeCell ref="E49:F49"/>
    <mergeCell ref="E50:F50"/>
    <mergeCell ref="B35:C35"/>
    <mergeCell ref="B36:I36"/>
    <mergeCell ref="B37:B38"/>
    <mergeCell ref="C37:C38"/>
    <mergeCell ref="D37:E37"/>
    <mergeCell ref="F37:G37"/>
    <mergeCell ref="H37:I37"/>
    <mergeCell ref="B26:I26"/>
    <mergeCell ref="B27:B28"/>
    <mergeCell ref="C27:C28"/>
    <mergeCell ref="D27:E27"/>
    <mergeCell ref="F27:G27"/>
    <mergeCell ref="H27:I27"/>
    <mergeCell ref="B17:B18"/>
    <mergeCell ref="C17:C18"/>
    <mergeCell ref="D17:E17"/>
    <mergeCell ref="F17:G17"/>
    <mergeCell ref="H17:I17"/>
    <mergeCell ref="B25:C25"/>
    <mergeCell ref="B14:C14"/>
    <mergeCell ref="D14:E14"/>
    <mergeCell ref="F14:G14"/>
    <mergeCell ref="H14:I14"/>
    <mergeCell ref="B15:I15"/>
    <mergeCell ref="B16:I16"/>
    <mergeCell ref="B12:C12"/>
    <mergeCell ref="D12:E12"/>
    <mergeCell ref="F12:G12"/>
    <mergeCell ref="H12:I12"/>
    <mergeCell ref="B13:C13"/>
    <mergeCell ref="D13:I13"/>
    <mergeCell ref="B10:C10"/>
    <mergeCell ref="D10:E10"/>
    <mergeCell ref="F10:G10"/>
    <mergeCell ref="H10:I10"/>
    <mergeCell ref="B11:C11"/>
    <mergeCell ref="D11:E11"/>
    <mergeCell ref="F11:G11"/>
    <mergeCell ref="H11:I11"/>
    <mergeCell ref="B9:C9"/>
    <mergeCell ref="D9:E9"/>
    <mergeCell ref="F9:G9"/>
    <mergeCell ref="H9:I9"/>
    <mergeCell ref="B5:C5"/>
    <mergeCell ref="D5:I5"/>
    <mergeCell ref="B6:C6"/>
    <mergeCell ref="D6:I6"/>
    <mergeCell ref="B7:C7"/>
    <mergeCell ref="D7:E7"/>
    <mergeCell ref="F7:G7"/>
    <mergeCell ref="H7:I7"/>
    <mergeCell ref="B2:I2"/>
    <mergeCell ref="B3:C3"/>
    <mergeCell ref="D3:E3"/>
    <mergeCell ref="F3:G3"/>
    <mergeCell ref="H3:I3"/>
    <mergeCell ref="B4:C4"/>
    <mergeCell ref="D4:I4"/>
    <mergeCell ref="B8:C8"/>
    <mergeCell ref="D8:E8"/>
    <mergeCell ref="F8:G8"/>
    <mergeCell ref="H8:I8"/>
  </mergeCells>
  <dataValidations count="1">
    <dataValidation type="list" allowBlank="1" showInputMessage="1" showErrorMessage="1" sqref="D10" xr:uid="{3BF08702-5828-401D-B110-6794BB05F4F2}">
      <formula1>"Proprietorship, Partnership, Private Ltd Company, Limited Liablity Partnership, Public Ltd Co, Trust, Society"</formula1>
    </dataValidation>
  </dataValidation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6F0DF-BA1D-4DC9-B42C-43D26D62395C}">
  <sheetPr codeName="Sheet29">
    <tabColor theme="3" tint="-0.499984740745262"/>
  </sheetPr>
  <dimension ref="A1:ES10"/>
  <sheetViews>
    <sheetView workbookViewId="0">
      <selection activeCell="D27" sqref="D27:E27"/>
    </sheetView>
  </sheetViews>
  <sheetFormatPr defaultRowHeight="12.75"/>
  <cols>
    <col min="1" max="1" width="2.7109375" style="447" customWidth="1"/>
    <col min="2" max="2" width="3.140625" style="447" customWidth="1"/>
    <col min="3" max="3" width="25.7109375" style="447" customWidth="1"/>
    <col min="4" max="5" width="17.7109375" style="447" customWidth="1"/>
    <col min="6" max="6" width="35.42578125" style="447" customWidth="1"/>
    <col min="7" max="8" width="17.7109375" style="447" customWidth="1"/>
    <col min="9" max="9" width="9.140625" style="447" customWidth="1"/>
    <col min="10" max="16384" width="9.140625" style="447"/>
  </cols>
  <sheetData>
    <row r="1" spans="1:149" ht="13.5" thickBot="1"/>
    <row r="2" spans="1:149" ht="17.25" thickBot="1">
      <c r="A2" s="448"/>
      <c r="B2" s="620" t="s">
        <v>1135</v>
      </c>
      <c r="C2" s="621"/>
      <c r="D2" s="621"/>
      <c r="E2" s="621"/>
      <c r="F2" s="621"/>
      <c r="G2" s="621"/>
      <c r="H2" s="622"/>
    </row>
    <row r="3" spans="1:149">
      <c r="B3" s="623" t="s">
        <v>1057</v>
      </c>
      <c r="C3" s="624"/>
      <c r="D3" s="625"/>
      <c r="E3" s="625"/>
      <c r="F3" s="449" t="s">
        <v>1100</v>
      </c>
      <c r="G3" s="625"/>
      <c r="H3" s="626"/>
    </row>
    <row r="4" spans="1:149" s="451" customFormat="1">
      <c r="A4" s="450"/>
      <c r="B4" s="627"/>
      <c r="C4" s="628"/>
      <c r="D4" s="628"/>
      <c r="E4" s="628"/>
      <c r="F4" s="628"/>
      <c r="G4" s="628"/>
      <c r="H4" s="629"/>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row>
    <row r="5" spans="1:149">
      <c r="B5" s="636"/>
      <c r="C5" s="452" t="s">
        <v>1136</v>
      </c>
      <c r="D5" s="633"/>
      <c r="E5" s="634"/>
      <c r="F5" s="453"/>
      <c r="G5" s="633"/>
      <c r="H5" s="635"/>
    </row>
    <row r="6" spans="1:149">
      <c r="B6" s="637"/>
      <c r="C6" s="452" t="s">
        <v>1137</v>
      </c>
      <c r="D6" s="633"/>
      <c r="E6" s="634"/>
      <c r="F6" s="453"/>
      <c r="G6" s="633"/>
      <c r="H6" s="635"/>
    </row>
    <row r="7" spans="1:149">
      <c r="B7" s="637"/>
      <c r="C7" s="454" t="s">
        <v>1103</v>
      </c>
      <c r="D7" s="633"/>
      <c r="E7" s="634"/>
      <c r="F7" s="453"/>
      <c r="G7" s="633"/>
      <c r="H7" s="635"/>
    </row>
    <row r="8" spans="1:149">
      <c r="B8" s="637"/>
      <c r="C8" s="455" t="s">
        <v>1138</v>
      </c>
      <c r="D8" s="633"/>
      <c r="E8" s="634"/>
      <c r="F8" s="453"/>
      <c r="G8" s="633"/>
      <c r="H8" s="635"/>
    </row>
    <row r="9" spans="1:149">
      <c r="B9" s="638"/>
      <c r="C9" s="455" t="s">
        <v>1139</v>
      </c>
      <c r="D9" s="633"/>
      <c r="E9" s="634"/>
      <c r="F9" s="456"/>
      <c r="G9" s="633"/>
      <c r="H9" s="635"/>
    </row>
    <row r="10" spans="1:149" s="451" customFormat="1" ht="13.5" thickBot="1">
      <c r="B10" s="630"/>
      <c r="C10" s="631"/>
      <c r="D10" s="631"/>
      <c r="E10" s="631"/>
      <c r="F10" s="631"/>
      <c r="G10" s="631"/>
      <c r="H10" s="632"/>
      <c r="J10" s="447"/>
      <c r="K10" s="447"/>
      <c r="L10" s="447"/>
      <c r="M10" s="447"/>
      <c r="N10" s="447"/>
      <c r="O10" s="447"/>
      <c r="P10" s="447"/>
      <c r="Q10" s="447"/>
      <c r="R10" s="447"/>
      <c r="S10" s="447"/>
      <c r="T10" s="447"/>
      <c r="U10" s="447"/>
      <c r="V10" s="447"/>
      <c r="W10" s="447"/>
      <c r="X10" s="447"/>
      <c r="Y10" s="447"/>
      <c r="Z10" s="447"/>
      <c r="AA10" s="447"/>
      <c r="AB10" s="447"/>
      <c r="AC10" s="447"/>
      <c r="AD10" s="447"/>
      <c r="AE10" s="447"/>
      <c r="AF10" s="447"/>
      <c r="AG10" s="447"/>
      <c r="AH10" s="447"/>
      <c r="AI10" s="447"/>
      <c r="AJ10" s="447"/>
      <c r="AK10" s="447"/>
      <c r="AL10" s="447"/>
      <c r="AM10" s="447"/>
      <c r="AN10" s="447"/>
      <c r="AO10" s="447"/>
      <c r="AP10" s="447"/>
      <c r="AQ10" s="447"/>
      <c r="AR10" s="447"/>
      <c r="AS10" s="447"/>
      <c r="AT10" s="447"/>
      <c r="AU10" s="447"/>
      <c r="AV10" s="447"/>
      <c r="AW10" s="447"/>
      <c r="AX10" s="447"/>
      <c r="AY10" s="447"/>
      <c r="AZ10" s="447"/>
      <c r="BA10" s="447"/>
      <c r="BB10" s="447"/>
      <c r="BC10" s="447"/>
      <c r="BD10" s="447"/>
      <c r="BE10" s="447"/>
      <c r="BF10" s="447"/>
      <c r="BG10" s="447"/>
      <c r="BH10" s="447"/>
      <c r="BI10" s="447"/>
      <c r="BJ10" s="447"/>
      <c r="BK10" s="447"/>
      <c r="BL10" s="447"/>
      <c r="BM10" s="447"/>
      <c r="BN10" s="447"/>
      <c r="BO10" s="447"/>
      <c r="BP10" s="447"/>
      <c r="BQ10" s="447"/>
      <c r="BR10" s="447"/>
      <c r="BS10" s="447"/>
      <c r="BT10" s="447"/>
      <c r="BU10" s="447"/>
      <c r="BV10" s="447"/>
      <c r="BW10" s="447"/>
      <c r="BX10" s="447"/>
      <c r="BY10" s="447"/>
      <c r="BZ10" s="447"/>
      <c r="CA10" s="447"/>
      <c r="CB10" s="447"/>
      <c r="CC10" s="447"/>
      <c r="CD10" s="447"/>
      <c r="CE10" s="447"/>
      <c r="CF10" s="447"/>
      <c r="CG10" s="447"/>
      <c r="CH10" s="447"/>
      <c r="CI10" s="447"/>
      <c r="CJ10" s="447"/>
      <c r="CK10" s="447"/>
      <c r="CL10" s="447"/>
      <c r="CM10" s="447"/>
      <c r="CN10" s="447"/>
      <c r="CO10" s="447"/>
      <c r="CP10" s="447"/>
      <c r="CQ10" s="447"/>
      <c r="CR10" s="447"/>
      <c r="CS10" s="447"/>
      <c r="CT10" s="447"/>
      <c r="CU10" s="447"/>
      <c r="CV10" s="447"/>
      <c r="CW10" s="447"/>
      <c r="CX10" s="447"/>
      <c r="CY10" s="447"/>
      <c r="CZ10" s="447"/>
      <c r="DA10" s="447"/>
      <c r="DB10" s="447"/>
      <c r="DC10" s="447"/>
      <c r="DD10" s="447"/>
      <c r="DE10" s="447"/>
      <c r="DF10" s="447"/>
      <c r="DG10" s="447"/>
      <c r="DH10" s="447"/>
      <c r="DI10" s="447"/>
      <c r="DJ10" s="447"/>
      <c r="DK10" s="447"/>
      <c r="DL10" s="447"/>
      <c r="DM10" s="447"/>
      <c r="DN10" s="447"/>
      <c r="DO10" s="447"/>
      <c r="DP10" s="447"/>
      <c r="DQ10" s="447"/>
      <c r="DR10" s="447"/>
      <c r="DS10" s="447"/>
      <c r="DT10" s="447"/>
      <c r="DU10" s="447"/>
      <c r="DV10" s="447"/>
      <c r="DW10" s="447"/>
      <c r="DX10" s="447"/>
      <c r="DY10" s="447"/>
      <c r="DZ10" s="447"/>
      <c r="EA10" s="447"/>
      <c r="EB10" s="447"/>
      <c r="EC10" s="447"/>
      <c r="ED10" s="447"/>
      <c r="EE10" s="447"/>
      <c r="EF10" s="447"/>
      <c r="EG10" s="447"/>
      <c r="EH10" s="447"/>
      <c r="EI10" s="447"/>
      <c r="EJ10" s="447"/>
      <c r="EK10" s="447"/>
      <c r="EL10" s="447"/>
      <c r="EM10" s="447"/>
      <c r="EN10" s="447"/>
      <c r="EO10" s="447"/>
      <c r="EP10" s="447"/>
      <c r="EQ10" s="447"/>
      <c r="ER10" s="447"/>
      <c r="ES10" s="447"/>
    </row>
  </sheetData>
  <mergeCells count="17">
    <mergeCell ref="B10:H10"/>
    <mergeCell ref="D7:E7"/>
    <mergeCell ref="G7:H7"/>
    <mergeCell ref="D8:E8"/>
    <mergeCell ref="G8:H8"/>
    <mergeCell ref="D9:E9"/>
    <mergeCell ref="G9:H9"/>
    <mergeCell ref="B5:B9"/>
    <mergeCell ref="D5:E5"/>
    <mergeCell ref="G5:H5"/>
    <mergeCell ref="D6:E6"/>
    <mergeCell ref="G6:H6"/>
    <mergeCell ref="B2:H2"/>
    <mergeCell ref="B3:C3"/>
    <mergeCell ref="D3:E3"/>
    <mergeCell ref="G3:H3"/>
    <mergeCell ref="B4:H4"/>
  </mergeCells>
  <dataValidations count="1">
    <dataValidation type="list" allowBlank="1" showInputMessage="1" showErrorMessage="1" sqref="D7:H7" xr:uid="{4B8195CD-856C-455F-BE1F-D6BDBF0F7E6F}">
      <formula1>"Return Submitted and verified, Return Processed and Refund Paid, Successfully e-Verified, ITR Processed, e-Return for this PAN and Acknowledgement Number has been Digitally signed, Return Processed with No Demand and No Refund,No Records found "</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B61B8-A4B3-4CF8-96B9-8EFFB77D7854}">
  <sheetPr codeName="Sheet25">
    <tabColor theme="3" tint="-0.499984740745262"/>
  </sheetPr>
  <dimension ref="B1:J38"/>
  <sheetViews>
    <sheetView showRowColHeaders="0" topLeftCell="A5" workbookViewId="0">
      <selection activeCell="D27" sqref="D27:E27"/>
    </sheetView>
  </sheetViews>
  <sheetFormatPr defaultRowHeight="15"/>
  <cols>
    <col min="1" max="1" width="2.7109375" style="457" customWidth="1"/>
    <col min="2" max="2" width="3.85546875" style="457" customWidth="1"/>
    <col min="3" max="3" width="19.42578125" style="457" customWidth="1"/>
    <col min="4" max="4" width="23.7109375" style="457" customWidth="1"/>
    <col min="5" max="5" width="40.7109375" style="457" customWidth="1"/>
    <col min="6" max="8" width="12.7109375" style="457" customWidth="1"/>
    <col min="9" max="9" width="13.7109375" style="457" customWidth="1"/>
    <col min="10" max="10" width="62.7109375" style="457" customWidth="1"/>
    <col min="11" max="16384" width="9.140625" style="457"/>
  </cols>
  <sheetData>
    <row r="1" spans="2:7" ht="15.75" thickBot="1"/>
    <row r="2" spans="2:7" ht="20.25" customHeight="1" thickBot="1">
      <c r="B2" s="644" t="s">
        <v>1140</v>
      </c>
      <c r="C2" s="645"/>
      <c r="D2" s="645"/>
      <c r="E2" s="645"/>
      <c r="F2" s="645"/>
      <c r="G2" s="646"/>
    </row>
    <row r="3" spans="2:7">
      <c r="B3" s="647" t="s">
        <v>1141</v>
      </c>
      <c r="C3" s="648"/>
      <c r="D3" s="649"/>
      <c r="E3" s="650"/>
      <c r="F3" s="650"/>
      <c r="G3" s="651"/>
    </row>
    <row r="4" spans="2:7">
      <c r="B4" s="639" t="s">
        <v>1142</v>
      </c>
      <c r="C4" s="640"/>
      <c r="D4" s="641"/>
      <c r="E4" s="642"/>
      <c r="F4" s="642"/>
      <c r="G4" s="643"/>
    </row>
    <row r="5" spans="2:7">
      <c r="B5" s="639" t="s">
        <v>1143</v>
      </c>
      <c r="C5" s="640"/>
      <c r="D5" s="641"/>
      <c r="E5" s="642"/>
      <c r="F5" s="642"/>
      <c r="G5" s="643"/>
    </row>
    <row r="6" spans="2:7">
      <c r="B6" s="639" t="s">
        <v>1144</v>
      </c>
      <c r="C6" s="640"/>
      <c r="D6" s="641"/>
      <c r="E6" s="652"/>
      <c r="F6" s="653"/>
      <c r="G6" s="654"/>
    </row>
    <row r="7" spans="2:7">
      <c r="B7" s="639" t="s">
        <v>1145</v>
      </c>
      <c r="C7" s="640"/>
      <c r="D7" s="641"/>
      <c r="E7" s="642"/>
      <c r="F7" s="642"/>
      <c r="G7" s="643"/>
    </row>
    <row r="8" spans="2:7">
      <c r="B8" s="639" t="s">
        <v>1146</v>
      </c>
      <c r="C8" s="640"/>
      <c r="D8" s="641"/>
      <c r="E8" s="642"/>
      <c r="F8" s="642"/>
      <c r="G8" s="643"/>
    </row>
    <row r="9" spans="2:7">
      <c r="B9" s="639" t="s">
        <v>1147</v>
      </c>
      <c r="C9" s="640"/>
      <c r="D9" s="641"/>
      <c r="E9" s="642"/>
      <c r="F9" s="642"/>
      <c r="G9" s="643"/>
    </row>
    <row r="10" spans="2:7">
      <c r="B10" s="639" t="s">
        <v>1148</v>
      </c>
      <c r="C10" s="640"/>
      <c r="D10" s="641"/>
      <c r="E10" s="660"/>
      <c r="F10" s="660"/>
      <c r="G10" s="661"/>
    </row>
    <row r="11" spans="2:7">
      <c r="B11" s="639" t="s">
        <v>1149</v>
      </c>
      <c r="C11" s="640"/>
      <c r="D11" s="641"/>
      <c r="E11" s="660"/>
      <c r="F11" s="660"/>
      <c r="G11" s="661"/>
    </row>
    <row r="12" spans="2:7">
      <c r="B12" s="639" t="s">
        <v>1150</v>
      </c>
      <c r="C12" s="640"/>
      <c r="D12" s="641"/>
      <c r="E12" s="642"/>
      <c r="F12" s="642"/>
      <c r="G12" s="643"/>
    </row>
    <row r="13" spans="2:7">
      <c r="B13" s="639" t="s">
        <v>1104</v>
      </c>
      <c r="C13" s="640"/>
      <c r="D13" s="641"/>
      <c r="E13" s="458"/>
      <c r="F13" s="459" t="s">
        <v>1151</v>
      </c>
      <c r="G13" s="460" t="str">
        <f ca="1">IF(E13&lt;&gt;"",DATEDIF(E13,TODAY(),"Y")&amp;" Years","")</f>
        <v/>
      </c>
    </row>
    <row r="14" spans="2:7" ht="30" customHeight="1">
      <c r="B14" s="639" t="s">
        <v>1152</v>
      </c>
      <c r="C14" s="640"/>
      <c r="D14" s="641"/>
      <c r="E14" s="658"/>
      <c r="F14" s="658"/>
      <c r="G14" s="659"/>
    </row>
    <row r="15" spans="2:7" ht="39" customHeight="1">
      <c r="B15" s="655" t="s">
        <v>1153</v>
      </c>
      <c r="C15" s="656"/>
      <c r="D15" s="657"/>
      <c r="E15" s="658"/>
      <c r="F15" s="658"/>
      <c r="G15" s="659"/>
    </row>
    <row r="16" spans="2:7">
      <c r="B16" s="639" t="s">
        <v>1154</v>
      </c>
      <c r="C16" s="640"/>
      <c r="D16" s="641"/>
      <c r="E16" s="642"/>
      <c r="F16" s="642"/>
      <c r="G16" s="643"/>
    </row>
    <row r="17" spans="2:10">
      <c r="B17" s="639" t="s">
        <v>1155</v>
      </c>
      <c r="C17" s="640"/>
      <c r="D17" s="641"/>
      <c r="E17" s="642"/>
      <c r="F17" s="642"/>
      <c r="G17" s="643"/>
    </row>
    <row r="18" spans="2:10">
      <c r="B18" s="639" t="s">
        <v>1156</v>
      </c>
      <c r="C18" s="640"/>
      <c r="D18" s="641"/>
      <c r="E18" s="642"/>
      <c r="F18" s="642"/>
      <c r="G18" s="643"/>
    </row>
    <row r="19" spans="2:10">
      <c r="B19" s="639" t="s">
        <v>1157</v>
      </c>
      <c r="C19" s="640"/>
      <c r="D19" s="641"/>
      <c r="E19" s="642"/>
      <c r="F19" s="642"/>
      <c r="G19" s="643"/>
    </row>
    <row r="20" spans="2:10">
      <c r="B20" s="639" t="s">
        <v>1158</v>
      </c>
      <c r="C20" s="640"/>
      <c r="D20" s="641"/>
      <c r="E20" s="664"/>
      <c r="F20" s="664"/>
      <c r="G20" s="665"/>
    </row>
    <row r="21" spans="2:10">
      <c r="B21" s="639" t="s">
        <v>1159</v>
      </c>
      <c r="C21" s="640"/>
      <c r="D21" s="641"/>
      <c r="E21" s="664"/>
      <c r="F21" s="664"/>
      <c r="G21" s="665"/>
    </row>
    <row r="22" spans="2:10">
      <c r="B22" s="639" t="s">
        <v>1160</v>
      </c>
      <c r="C22" s="640"/>
      <c r="D22" s="641"/>
      <c r="E22" s="666"/>
      <c r="F22" s="666"/>
      <c r="G22" s="667"/>
    </row>
    <row r="23" spans="2:10" ht="15.75" thickBot="1">
      <c r="B23" s="668" t="s">
        <v>1101</v>
      </c>
      <c r="C23" s="669"/>
      <c r="D23" s="670"/>
      <c r="E23" s="671"/>
      <c r="F23" s="672"/>
      <c r="G23" s="673"/>
    </row>
    <row r="24" spans="2:10" ht="15.75" thickBot="1"/>
    <row r="25" spans="2:10" ht="20.25" customHeight="1" thickBot="1">
      <c r="B25" s="674" t="s">
        <v>1074</v>
      </c>
      <c r="C25" s="675"/>
      <c r="D25" s="675"/>
      <c r="E25" s="676"/>
    </row>
    <row r="26" spans="2:10">
      <c r="B26" s="662" t="s">
        <v>1161</v>
      </c>
      <c r="C26" s="663"/>
      <c r="D26" s="461">
        <f>COUNTIF(H32:H33,"-")</f>
        <v>0</v>
      </c>
      <c r="E26" s="462">
        <f>SUMIF(H32:H33,"-",I32:I33)</f>
        <v>0</v>
      </c>
    </row>
    <row r="27" spans="2:10">
      <c r="B27" s="662" t="s">
        <v>1162</v>
      </c>
      <c r="C27" s="663"/>
      <c r="D27" s="461">
        <f>COUNTIFS(H32:H33,"&lt;&gt;-",H32:H33,"&lt;&gt;")</f>
        <v>0</v>
      </c>
      <c r="E27" s="462">
        <f>SUMIF(H32:H33,"&lt;&gt;-",I32:I33)</f>
        <v>0</v>
      </c>
    </row>
    <row r="28" spans="2:10" ht="15.75" thickBot="1">
      <c r="B28" s="679" t="s">
        <v>145</v>
      </c>
      <c r="C28" s="680"/>
      <c r="D28" s="463">
        <f>SUM(D26:D27)</f>
        <v>0</v>
      </c>
      <c r="E28" s="464">
        <f>+SUM(E26:E27)</f>
        <v>0</v>
      </c>
    </row>
    <row r="29" spans="2:10" ht="15.75" thickBot="1"/>
    <row r="30" spans="2:10" ht="20.25" customHeight="1" thickBot="1">
      <c r="B30" s="674" t="s">
        <v>1163</v>
      </c>
      <c r="C30" s="675"/>
      <c r="D30" s="675"/>
      <c r="E30" s="675"/>
      <c r="F30" s="675"/>
      <c r="G30" s="675"/>
      <c r="H30" s="675"/>
      <c r="I30" s="675"/>
      <c r="J30" s="676"/>
    </row>
    <row r="31" spans="2:10" ht="30">
      <c r="B31" s="465" t="s">
        <v>1076</v>
      </c>
      <c r="C31" s="466" t="s">
        <v>1164</v>
      </c>
      <c r="D31" s="466" t="s">
        <v>1165</v>
      </c>
      <c r="E31" s="466" t="s">
        <v>1166</v>
      </c>
      <c r="F31" s="466" t="s">
        <v>1167</v>
      </c>
      <c r="G31" s="466" t="s">
        <v>1168</v>
      </c>
      <c r="H31" s="466" t="s">
        <v>1169</v>
      </c>
      <c r="I31" s="466" t="s">
        <v>986</v>
      </c>
      <c r="J31" s="467" t="s">
        <v>1121</v>
      </c>
    </row>
    <row r="32" spans="2:10">
      <c r="B32" s="468"/>
      <c r="C32" s="469"/>
      <c r="D32" s="469"/>
      <c r="E32" s="469"/>
      <c r="F32" s="470"/>
      <c r="G32" s="470"/>
      <c r="H32" s="470"/>
      <c r="I32" s="471"/>
      <c r="J32" s="472"/>
    </row>
    <row r="33" spans="2:10" ht="15.75" thickBot="1">
      <c r="B33" s="473"/>
      <c r="C33" s="474"/>
      <c r="D33" s="474"/>
      <c r="E33" s="474"/>
      <c r="F33" s="475"/>
      <c r="G33" s="475"/>
      <c r="H33" s="475"/>
      <c r="I33" s="476"/>
      <c r="J33" s="477"/>
    </row>
    <row r="34" spans="2:10" ht="15.75" thickBot="1">
      <c r="J34" s="478"/>
    </row>
    <row r="35" spans="2:10" ht="20.25" customHeight="1" thickBot="1">
      <c r="B35" s="681" t="s">
        <v>1170</v>
      </c>
      <c r="C35" s="682"/>
      <c r="D35" s="682"/>
      <c r="E35" s="682"/>
      <c r="F35" s="682"/>
      <c r="G35" s="682"/>
      <c r="H35" s="682"/>
      <c r="I35" s="682"/>
      <c r="J35" s="683"/>
    </row>
    <row r="36" spans="2:10" s="481" customFormat="1" ht="30">
      <c r="B36" s="479" t="s">
        <v>1076</v>
      </c>
      <c r="C36" s="480" t="s">
        <v>1171</v>
      </c>
      <c r="D36" s="480" t="s">
        <v>1057</v>
      </c>
      <c r="E36" s="480" t="s">
        <v>1172</v>
      </c>
      <c r="F36" s="480" t="s">
        <v>1173</v>
      </c>
      <c r="G36" s="480" t="s">
        <v>1174</v>
      </c>
      <c r="H36" s="480" t="s">
        <v>1175</v>
      </c>
      <c r="I36" s="684" t="s">
        <v>1176</v>
      </c>
      <c r="J36" s="685"/>
    </row>
    <row r="37" spans="2:10">
      <c r="B37" s="482">
        <v>1</v>
      </c>
      <c r="C37" s="483"/>
      <c r="D37" s="469"/>
      <c r="E37" s="469"/>
      <c r="F37" s="470"/>
      <c r="G37" s="469"/>
      <c r="H37" s="470"/>
      <c r="I37" s="686"/>
      <c r="J37" s="687"/>
    </row>
    <row r="38" spans="2:10" ht="15.75" thickBot="1">
      <c r="B38" s="484"/>
      <c r="C38" s="485"/>
      <c r="D38" s="474"/>
      <c r="E38" s="474"/>
      <c r="F38" s="475"/>
      <c r="G38" s="474"/>
      <c r="H38" s="475"/>
      <c r="I38" s="677"/>
      <c r="J38" s="678"/>
    </row>
  </sheetData>
  <mergeCells count="51">
    <mergeCell ref="I38:J38"/>
    <mergeCell ref="B27:C27"/>
    <mergeCell ref="B28:C28"/>
    <mergeCell ref="B30:J30"/>
    <mergeCell ref="B35:J35"/>
    <mergeCell ref="I36:J36"/>
    <mergeCell ref="I37:J37"/>
    <mergeCell ref="B26:C26"/>
    <mergeCell ref="B19:D19"/>
    <mergeCell ref="E19:G19"/>
    <mergeCell ref="B20:D20"/>
    <mergeCell ref="E20:G20"/>
    <mergeCell ref="B21:D21"/>
    <mergeCell ref="E21:G21"/>
    <mergeCell ref="B22:D22"/>
    <mergeCell ref="E22:G22"/>
    <mergeCell ref="B23:D23"/>
    <mergeCell ref="E23:G23"/>
    <mergeCell ref="B25:E25"/>
    <mergeCell ref="B16:D16"/>
    <mergeCell ref="E16:G16"/>
    <mergeCell ref="B17:D17"/>
    <mergeCell ref="E17:G17"/>
    <mergeCell ref="B18:D18"/>
    <mergeCell ref="E18:G18"/>
    <mergeCell ref="B15:D15"/>
    <mergeCell ref="E15:G15"/>
    <mergeCell ref="B9:D9"/>
    <mergeCell ref="E9:G9"/>
    <mergeCell ref="B10:D10"/>
    <mergeCell ref="E10:G10"/>
    <mergeCell ref="B11:D11"/>
    <mergeCell ref="E11:G11"/>
    <mergeCell ref="B12:D12"/>
    <mergeCell ref="E12:G12"/>
    <mergeCell ref="B13:D13"/>
    <mergeCell ref="B14:D14"/>
    <mergeCell ref="E14:G14"/>
    <mergeCell ref="B6:D6"/>
    <mergeCell ref="E6:G6"/>
    <mergeCell ref="B7:D7"/>
    <mergeCell ref="E7:G7"/>
    <mergeCell ref="B8:D8"/>
    <mergeCell ref="E8:G8"/>
    <mergeCell ref="B5:D5"/>
    <mergeCell ref="E5:G5"/>
    <mergeCell ref="B2:G2"/>
    <mergeCell ref="B3:D3"/>
    <mergeCell ref="E3:G3"/>
    <mergeCell ref="B4:D4"/>
    <mergeCell ref="E4:G4"/>
  </mergeCells>
  <pageMargins left="0.7" right="0.7" top="0.75" bottom="0.75" header="0.3" footer="0.3"/>
  <pageSetup paperSize="9" orientation="portrait" horizontalDpi="4294967292" verticalDpi="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43A5-24F9-4FA9-9679-9F1F3F0BCB4A}">
  <sheetPr codeName="Sheet26">
    <tabColor theme="3" tint="-0.499984740745262"/>
  </sheetPr>
  <dimension ref="B1:H46"/>
  <sheetViews>
    <sheetView showGridLines="0" showRowColHeaders="0" workbookViewId="0">
      <selection activeCell="D27" sqref="D27:E27"/>
    </sheetView>
  </sheetViews>
  <sheetFormatPr defaultRowHeight="14.25" outlineLevelRow="1"/>
  <cols>
    <col min="1" max="1" width="2.7109375" style="487" customWidth="1"/>
    <col min="2" max="2" width="3.7109375" style="487" customWidth="1"/>
    <col min="3" max="3" width="12.7109375" style="486" customWidth="1"/>
    <col min="4" max="7" width="14.7109375" style="486" customWidth="1"/>
    <col min="8" max="16384" width="9.140625" style="487"/>
  </cols>
  <sheetData>
    <row r="1" spans="2:7" s="486" customFormat="1" ht="13.5" thickBot="1"/>
    <row r="2" spans="2:7" ht="21" customHeight="1" thickBot="1">
      <c r="B2" s="692" t="s">
        <v>1177</v>
      </c>
      <c r="C2" s="693"/>
      <c r="D2" s="693"/>
      <c r="E2" s="693"/>
      <c r="F2" s="693"/>
      <c r="G2" s="694"/>
    </row>
    <row r="3" spans="2:7" ht="15" customHeight="1">
      <c r="B3" s="695" t="s">
        <v>1178</v>
      </c>
      <c r="C3" s="696"/>
      <c r="D3" s="696"/>
      <c r="E3" s="697"/>
      <c r="F3" s="697"/>
      <c r="G3" s="698"/>
    </row>
    <row r="4" spans="2:7" s="488" customFormat="1" ht="28.5" customHeight="1">
      <c r="B4" s="688" t="s">
        <v>1179</v>
      </c>
      <c r="C4" s="689"/>
      <c r="D4" s="689"/>
      <c r="E4" s="690"/>
      <c r="F4" s="690"/>
      <c r="G4" s="691"/>
    </row>
    <row r="5" spans="2:7" s="488" customFormat="1" ht="28.5" customHeight="1">
      <c r="B5" s="688" t="s">
        <v>1180</v>
      </c>
      <c r="C5" s="689"/>
      <c r="D5" s="689"/>
      <c r="E5" s="690"/>
      <c r="F5" s="690"/>
      <c r="G5" s="691"/>
    </row>
    <row r="6" spans="2:7" ht="13.5" customHeight="1">
      <c r="B6" s="699" t="s">
        <v>1181</v>
      </c>
      <c r="C6" s="700"/>
      <c r="D6" s="700"/>
      <c r="E6" s="701"/>
      <c r="F6" s="701"/>
      <c r="G6" s="702"/>
    </row>
    <row r="7" spans="2:7" ht="13.5" customHeight="1">
      <c r="B7" s="699" t="s">
        <v>1182</v>
      </c>
      <c r="C7" s="700"/>
      <c r="D7" s="700"/>
      <c r="E7" s="701"/>
      <c r="F7" s="701"/>
      <c r="G7" s="702"/>
    </row>
    <row r="8" spans="2:7" ht="13.5" customHeight="1">
      <c r="B8" s="699" t="s">
        <v>1183</v>
      </c>
      <c r="C8" s="700"/>
      <c r="D8" s="700"/>
      <c r="E8" s="703"/>
      <c r="F8" s="701"/>
      <c r="G8" s="702"/>
    </row>
    <row r="9" spans="2:7" ht="13.5" customHeight="1">
      <c r="B9" s="699" t="s">
        <v>1184</v>
      </c>
      <c r="C9" s="700"/>
      <c r="D9" s="700"/>
      <c r="E9" s="701"/>
      <c r="F9" s="701"/>
      <c r="G9" s="702"/>
    </row>
    <row r="10" spans="2:7" ht="36.75" customHeight="1">
      <c r="B10" s="699" t="s">
        <v>1185</v>
      </c>
      <c r="C10" s="700"/>
      <c r="D10" s="700"/>
      <c r="E10" s="690"/>
      <c r="F10" s="690"/>
      <c r="G10" s="691"/>
    </row>
    <row r="11" spans="2:7" ht="36.75" customHeight="1">
      <c r="B11" s="699" t="s">
        <v>1186</v>
      </c>
      <c r="C11" s="700"/>
      <c r="D11" s="700"/>
      <c r="E11" s="690"/>
      <c r="F11" s="690"/>
      <c r="G11" s="691"/>
    </row>
    <row r="12" spans="2:7" ht="36.75" customHeight="1">
      <c r="B12" s="699" t="s">
        <v>1187</v>
      </c>
      <c r="C12" s="700"/>
      <c r="D12" s="700"/>
      <c r="E12" s="690"/>
      <c r="F12" s="690"/>
      <c r="G12" s="691"/>
    </row>
    <row r="13" spans="2:7" ht="13.5" customHeight="1">
      <c r="B13" s="699" t="s">
        <v>1188</v>
      </c>
      <c r="C13" s="700"/>
      <c r="D13" s="700"/>
      <c r="E13" s="701"/>
      <c r="F13" s="701"/>
      <c r="G13" s="702"/>
    </row>
    <row r="14" spans="2:7" ht="13.5" customHeight="1">
      <c r="B14" s="699" t="s">
        <v>1101</v>
      </c>
      <c r="C14" s="700"/>
      <c r="D14" s="700"/>
      <c r="E14" s="704"/>
      <c r="F14" s="701"/>
      <c r="G14" s="702"/>
    </row>
    <row r="15" spans="2:7">
      <c r="B15" s="489"/>
      <c r="C15" s="490"/>
      <c r="D15" s="490"/>
      <c r="E15" s="490"/>
      <c r="F15" s="490"/>
      <c r="G15" s="491"/>
    </row>
    <row r="16" spans="2:7" ht="25.5">
      <c r="B16" s="492" t="s">
        <v>1076</v>
      </c>
      <c r="C16" s="493" t="s">
        <v>1189</v>
      </c>
      <c r="D16" s="493" t="s">
        <v>1190</v>
      </c>
      <c r="E16" s="493" t="s">
        <v>1191</v>
      </c>
      <c r="F16" s="493" t="s">
        <v>1192</v>
      </c>
      <c r="G16" s="494" t="s">
        <v>1103</v>
      </c>
    </row>
    <row r="17" spans="2:8" ht="13.5" customHeight="1">
      <c r="B17" s="495"/>
      <c r="C17" s="496"/>
      <c r="D17" s="496"/>
      <c r="E17" s="496"/>
      <c r="F17" s="497"/>
      <c r="G17" s="498"/>
    </row>
    <row r="18" spans="2:8" ht="13.5" customHeight="1">
      <c r="B18" s="495"/>
      <c r="C18" s="496"/>
      <c r="D18" s="496"/>
      <c r="E18" s="496"/>
      <c r="F18" s="497"/>
      <c r="G18" s="498"/>
    </row>
    <row r="19" spans="2:8" ht="13.5" customHeight="1">
      <c r="B19" s="495"/>
      <c r="C19" s="496"/>
      <c r="D19" s="496"/>
      <c r="E19" s="496"/>
      <c r="F19" s="497"/>
      <c r="G19" s="498"/>
    </row>
    <row r="20" spans="2:8" ht="13.5" customHeight="1">
      <c r="B20" s="495"/>
      <c r="C20" s="496"/>
      <c r="D20" s="496"/>
      <c r="E20" s="496"/>
      <c r="F20" s="497"/>
      <c r="G20" s="498"/>
    </row>
    <row r="21" spans="2:8" ht="13.5" customHeight="1">
      <c r="B21" s="495"/>
      <c r="C21" s="496"/>
      <c r="D21" s="496"/>
      <c r="E21" s="496"/>
      <c r="F21" s="497"/>
      <c r="G21" s="498"/>
    </row>
    <row r="22" spans="2:8" ht="13.5" customHeight="1">
      <c r="B22" s="495"/>
      <c r="C22" s="496"/>
      <c r="D22" s="496"/>
      <c r="E22" s="496"/>
      <c r="F22" s="497"/>
      <c r="G22" s="498"/>
    </row>
    <row r="23" spans="2:8" ht="13.5" customHeight="1">
      <c r="B23" s="495"/>
      <c r="C23" s="496"/>
      <c r="D23" s="496"/>
      <c r="E23" s="496"/>
      <c r="F23" s="497"/>
      <c r="G23" s="498"/>
    </row>
    <row r="24" spans="2:8" ht="13.5" customHeight="1">
      <c r="B24" s="495"/>
      <c r="C24" s="496"/>
      <c r="D24" s="496"/>
      <c r="E24" s="496"/>
      <c r="F24" s="497"/>
      <c r="G24" s="498"/>
    </row>
    <row r="25" spans="2:8" ht="13.5" customHeight="1">
      <c r="B25" s="495"/>
      <c r="C25" s="496"/>
      <c r="D25" s="496"/>
      <c r="E25" s="496"/>
      <c r="F25" s="497"/>
      <c r="G25" s="498"/>
    </row>
    <row r="26" spans="2:8" ht="13.5" customHeight="1" thickBot="1">
      <c r="B26" s="499"/>
      <c r="C26" s="500"/>
      <c r="D26" s="500"/>
      <c r="E26" s="500"/>
      <c r="F26" s="501"/>
      <c r="G26" s="502"/>
    </row>
    <row r="27" spans="2:8" ht="15" thickBot="1"/>
    <row r="28" spans="2:8" ht="17.25" outlineLevel="1" thickBot="1">
      <c r="B28" s="692" t="s">
        <v>1193</v>
      </c>
      <c r="C28" s="693"/>
      <c r="D28" s="693"/>
      <c r="E28" s="693"/>
      <c r="F28" s="693"/>
      <c r="G28" s="694"/>
    </row>
    <row r="29" spans="2:8" ht="30" outlineLevel="1">
      <c r="B29" s="707" t="s">
        <v>1194</v>
      </c>
      <c r="C29" s="708"/>
      <c r="D29" s="503"/>
      <c r="E29" s="504"/>
      <c r="F29" s="505" t="s">
        <v>1195</v>
      </c>
      <c r="G29" s="506"/>
    </row>
    <row r="30" spans="2:8" ht="15" outlineLevel="1">
      <c r="B30" s="709" t="s">
        <v>1196</v>
      </c>
      <c r="C30" s="710"/>
      <c r="D30" s="711"/>
      <c r="E30" s="711"/>
      <c r="F30" s="507" t="s">
        <v>1197</v>
      </c>
      <c r="G30" s="508"/>
    </row>
    <row r="31" spans="2:8" outlineLevel="1">
      <c r="B31" s="712" t="s">
        <v>1198</v>
      </c>
      <c r="C31" s="713"/>
      <c r="D31" s="714" t="s">
        <v>1199</v>
      </c>
      <c r="E31" s="714"/>
      <c r="F31" s="714"/>
      <c r="G31" s="715" t="s">
        <v>1200</v>
      </c>
      <c r="H31" s="486"/>
    </row>
    <row r="32" spans="2:8" ht="25.5" outlineLevel="1">
      <c r="B32" s="712"/>
      <c r="C32" s="713"/>
      <c r="D32" s="509" t="s">
        <v>1201</v>
      </c>
      <c r="E32" s="509" t="s">
        <v>1202</v>
      </c>
      <c r="F32" s="509" t="s">
        <v>1203</v>
      </c>
      <c r="G32" s="715"/>
      <c r="H32" s="486"/>
    </row>
    <row r="33" spans="2:8" outlineLevel="1">
      <c r="B33" s="705">
        <v>43556</v>
      </c>
      <c r="C33" s="706"/>
      <c r="D33" s="510"/>
      <c r="E33" s="510"/>
      <c r="F33" s="510"/>
      <c r="G33" s="511">
        <f>SUM(D33:F33)</f>
        <v>0</v>
      </c>
      <c r="H33" s="486"/>
    </row>
    <row r="34" spans="2:8" outlineLevel="1">
      <c r="B34" s="705">
        <f>EDATE(B33,1)</f>
        <v>43586</v>
      </c>
      <c r="C34" s="706"/>
      <c r="D34" s="510"/>
      <c r="E34" s="510"/>
      <c r="F34" s="510"/>
      <c r="G34" s="511">
        <f t="shared" ref="G34:G44" si="0">SUM(D34:F34)</f>
        <v>0</v>
      </c>
      <c r="H34" s="486"/>
    </row>
    <row r="35" spans="2:8" outlineLevel="1">
      <c r="B35" s="705">
        <f t="shared" ref="B35:B44" si="1">EDATE(B34,1)</f>
        <v>43617</v>
      </c>
      <c r="C35" s="706"/>
      <c r="D35" s="510"/>
      <c r="E35" s="510"/>
      <c r="F35" s="510"/>
      <c r="G35" s="511">
        <f t="shared" si="0"/>
        <v>0</v>
      </c>
      <c r="H35" s="486"/>
    </row>
    <row r="36" spans="2:8" outlineLevel="1">
      <c r="B36" s="705">
        <f t="shared" si="1"/>
        <v>43647</v>
      </c>
      <c r="C36" s="706"/>
      <c r="D36" s="510"/>
      <c r="E36" s="510"/>
      <c r="F36" s="510"/>
      <c r="G36" s="511">
        <f t="shared" si="0"/>
        <v>0</v>
      </c>
      <c r="H36" s="486"/>
    </row>
    <row r="37" spans="2:8" outlineLevel="1">
      <c r="B37" s="705">
        <f t="shared" si="1"/>
        <v>43678</v>
      </c>
      <c r="C37" s="706"/>
      <c r="D37" s="510"/>
      <c r="E37" s="510"/>
      <c r="F37" s="510"/>
      <c r="G37" s="511">
        <f t="shared" si="0"/>
        <v>0</v>
      </c>
      <c r="H37" s="486"/>
    </row>
    <row r="38" spans="2:8" outlineLevel="1">
      <c r="B38" s="705">
        <f t="shared" si="1"/>
        <v>43709</v>
      </c>
      <c r="C38" s="706"/>
      <c r="D38" s="510"/>
      <c r="E38" s="510"/>
      <c r="F38" s="510"/>
      <c r="G38" s="511">
        <f t="shared" si="0"/>
        <v>0</v>
      </c>
      <c r="H38" s="486"/>
    </row>
    <row r="39" spans="2:8" outlineLevel="1">
      <c r="B39" s="705">
        <f t="shared" si="1"/>
        <v>43739</v>
      </c>
      <c r="C39" s="706"/>
      <c r="D39" s="510"/>
      <c r="E39" s="510"/>
      <c r="F39" s="510"/>
      <c r="G39" s="511">
        <f t="shared" si="0"/>
        <v>0</v>
      </c>
      <c r="H39" s="486"/>
    </row>
    <row r="40" spans="2:8" outlineLevel="1">
      <c r="B40" s="705">
        <f t="shared" si="1"/>
        <v>43770</v>
      </c>
      <c r="C40" s="706"/>
      <c r="D40" s="510"/>
      <c r="E40" s="510"/>
      <c r="F40" s="510"/>
      <c r="G40" s="511">
        <f t="shared" si="0"/>
        <v>0</v>
      </c>
      <c r="H40" s="486"/>
    </row>
    <row r="41" spans="2:8" outlineLevel="1">
      <c r="B41" s="705">
        <f t="shared" si="1"/>
        <v>43800</v>
      </c>
      <c r="C41" s="706"/>
      <c r="D41" s="510"/>
      <c r="E41" s="510"/>
      <c r="F41" s="510"/>
      <c r="G41" s="511">
        <f t="shared" si="0"/>
        <v>0</v>
      </c>
      <c r="H41" s="486"/>
    </row>
    <row r="42" spans="2:8" outlineLevel="1">
      <c r="B42" s="705">
        <f t="shared" si="1"/>
        <v>43831</v>
      </c>
      <c r="C42" s="706"/>
      <c r="D42" s="510"/>
      <c r="E42" s="510"/>
      <c r="F42" s="510"/>
      <c r="G42" s="511">
        <f t="shared" si="0"/>
        <v>0</v>
      </c>
      <c r="H42" s="486"/>
    </row>
    <row r="43" spans="2:8" outlineLevel="1">
      <c r="B43" s="705">
        <f t="shared" si="1"/>
        <v>43862</v>
      </c>
      <c r="C43" s="706"/>
      <c r="D43" s="510"/>
      <c r="E43" s="510"/>
      <c r="F43" s="510"/>
      <c r="G43" s="511">
        <f t="shared" si="0"/>
        <v>0</v>
      </c>
      <c r="H43" s="486"/>
    </row>
    <row r="44" spans="2:8" outlineLevel="1">
      <c r="B44" s="705">
        <f t="shared" si="1"/>
        <v>43891</v>
      </c>
      <c r="C44" s="706"/>
      <c r="D44" s="510"/>
      <c r="E44" s="510"/>
      <c r="F44" s="510"/>
      <c r="G44" s="511">
        <f t="shared" si="0"/>
        <v>0</v>
      </c>
      <c r="H44" s="486"/>
    </row>
    <row r="45" spans="2:8" ht="15" outlineLevel="1">
      <c r="B45" s="716" t="s">
        <v>1204</v>
      </c>
      <c r="C45" s="717"/>
      <c r="D45" s="512">
        <f>SUM(D33:D44)</f>
        <v>0</v>
      </c>
      <c r="E45" s="512">
        <f>SUM(E33:E44)</f>
        <v>0</v>
      </c>
      <c r="F45" s="512">
        <f>SUM(F33:F44)</f>
        <v>0</v>
      </c>
      <c r="G45" s="513">
        <f>SUM(G33:G44)</f>
        <v>0</v>
      </c>
      <c r="H45" s="486"/>
    </row>
    <row r="46" spans="2:8" ht="15" outlineLevel="1" thickBot="1">
      <c r="B46" s="514" t="s">
        <v>1205</v>
      </c>
      <c r="C46" s="515"/>
      <c r="D46" s="516" t="str">
        <f>IFERROR(_xlfn.IFS($G$30="Monthly",AVERAGE(D33:D44),$G$30="Quaterly",AVERAGE(D33:D36),$G$30="Half Yearly",AVERAGE(D33:D34),$G$30="Annually",D33),"")</f>
        <v/>
      </c>
      <c r="E46" s="516" t="str">
        <f t="shared" ref="E46:G46" si="2">IFERROR(_xlfn.IFS($G$30="Monthly",AVERAGE(E33:E44),$G$30="Quaterly",AVERAGE(E33:E36),$G$30="Half Yearly",AVERAGE(E33:E34),$G$30="Annually",E33),"")</f>
        <v/>
      </c>
      <c r="F46" s="516" t="str">
        <f t="shared" si="2"/>
        <v/>
      </c>
      <c r="G46" s="517" t="str">
        <f t="shared" si="2"/>
        <v/>
      </c>
      <c r="H46" s="486"/>
    </row>
  </sheetData>
  <mergeCells count="45">
    <mergeCell ref="B45:C45"/>
    <mergeCell ref="B39:C39"/>
    <mergeCell ref="B40:C40"/>
    <mergeCell ref="B41:C41"/>
    <mergeCell ref="B42:C42"/>
    <mergeCell ref="B43:C43"/>
    <mergeCell ref="B44:C44"/>
    <mergeCell ref="B38:C38"/>
    <mergeCell ref="B28:G28"/>
    <mergeCell ref="B29:C29"/>
    <mergeCell ref="B30:C30"/>
    <mergeCell ref="D30:E30"/>
    <mergeCell ref="B31:C32"/>
    <mergeCell ref="D31:F31"/>
    <mergeCell ref="G31:G32"/>
    <mergeCell ref="B33:C33"/>
    <mergeCell ref="B34:C34"/>
    <mergeCell ref="B35:C35"/>
    <mergeCell ref="B36:C36"/>
    <mergeCell ref="B37:C37"/>
    <mergeCell ref="B12:D12"/>
    <mergeCell ref="E12:G12"/>
    <mergeCell ref="B13:D13"/>
    <mergeCell ref="E13:G13"/>
    <mergeCell ref="B14:D14"/>
    <mergeCell ref="E14:G14"/>
    <mergeCell ref="B9:D9"/>
    <mergeCell ref="E9:G9"/>
    <mergeCell ref="B10:D10"/>
    <mergeCell ref="E10:G10"/>
    <mergeCell ref="B11:D11"/>
    <mergeCell ref="E11:G11"/>
    <mergeCell ref="B6:D6"/>
    <mergeCell ref="E6:G6"/>
    <mergeCell ref="B7:D7"/>
    <mergeCell ref="E7:G7"/>
    <mergeCell ref="B8:D8"/>
    <mergeCell ref="E8:G8"/>
    <mergeCell ref="B5:D5"/>
    <mergeCell ref="E5:G5"/>
    <mergeCell ref="B2:G2"/>
    <mergeCell ref="B3:D3"/>
    <mergeCell ref="E3:G3"/>
    <mergeCell ref="B4:D4"/>
    <mergeCell ref="E4:G4"/>
  </mergeCells>
  <dataValidations count="1">
    <dataValidation type="list" allowBlank="1" showInputMessage="1" showErrorMessage="1" sqref="G30" xr:uid="{AB38B806-E700-4872-8BB8-A0897E52A167}">
      <formula1>"Monthly,Quaterly,Half Yearly,Annually"</formula1>
    </dataValidation>
  </dataValidations>
  <pageMargins left="0.7" right="0.7" top="0.75" bottom="0.75" header="0.3" footer="0.3"/>
  <pageSetup paperSize="9" orientation="portrait" horizontalDpi="4294967292" verticalDpi="0" copies="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4CF24-A7CE-4C41-8964-24BBFD73671B}">
  <sheetPr codeName="Sheet27">
    <tabColor theme="3" tint="-0.499984740745262"/>
  </sheetPr>
  <dimension ref="A1:H16"/>
  <sheetViews>
    <sheetView showRowColHeaders="0" workbookViewId="0">
      <selection activeCell="D27" sqref="D27:E27"/>
    </sheetView>
  </sheetViews>
  <sheetFormatPr defaultRowHeight="12.75"/>
  <cols>
    <col min="1" max="1" width="2.7109375" style="447" customWidth="1"/>
    <col min="2" max="2" width="3.140625" style="447" customWidth="1"/>
    <col min="3" max="3" width="25.7109375" style="447" customWidth="1"/>
    <col min="4" max="5" width="17.7109375" style="447" customWidth="1"/>
    <col min="6" max="6" width="35.42578125" style="447" customWidth="1"/>
    <col min="7" max="8" width="17.7109375" style="447" customWidth="1"/>
    <col min="9" max="9" width="9.140625" style="447" customWidth="1"/>
    <col min="10" max="16384" width="9.140625" style="447"/>
  </cols>
  <sheetData>
    <row r="1" spans="1:8" ht="13.5" thickBot="1"/>
    <row r="2" spans="1:8" ht="17.25" thickBot="1">
      <c r="A2" s="448"/>
      <c r="B2" s="620" t="s">
        <v>1206</v>
      </c>
      <c r="C2" s="621"/>
      <c r="D2" s="621"/>
      <c r="E2" s="621"/>
      <c r="F2" s="621"/>
      <c r="G2" s="621"/>
      <c r="H2" s="622"/>
    </row>
    <row r="3" spans="1:8">
      <c r="B3" s="721" t="s">
        <v>1207</v>
      </c>
      <c r="C3" s="722"/>
      <c r="D3" s="723"/>
      <c r="E3" s="723"/>
      <c r="F3" s="518" t="s">
        <v>1208</v>
      </c>
      <c r="G3" s="723"/>
      <c r="H3" s="724"/>
    </row>
    <row r="4" spans="1:8" s="451" customFormat="1">
      <c r="A4" s="450"/>
      <c r="B4" s="627"/>
      <c r="C4" s="628"/>
      <c r="D4" s="628"/>
      <c r="E4" s="628"/>
      <c r="F4" s="628"/>
      <c r="G4" s="628"/>
      <c r="H4" s="629"/>
    </row>
    <row r="5" spans="1:8">
      <c r="B5" s="519">
        <v>1</v>
      </c>
      <c r="C5" s="452" t="s">
        <v>1209</v>
      </c>
      <c r="D5" s="718"/>
      <c r="E5" s="718"/>
      <c r="F5" s="520" t="s">
        <v>1171</v>
      </c>
      <c r="G5" s="719"/>
      <c r="H5" s="720"/>
    </row>
    <row r="6" spans="1:8" ht="15">
      <c r="B6" s="521"/>
      <c r="C6" s="522"/>
      <c r="D6" s="725" t="s">
        <v>1100</v>
      </c>
      <c r="E6" s="725"/>
      <c r="F6" s="523" t="s">
        <v>1210</v>
      </c>
      <c r="G6" s="725" t="s">
        <v>1211</v>
      </c>
      <c r="H6" s="726"/>
    </row>
    <row r="7" spans="1:8">
      <c r="B7" s="521"/>
      <c r="C7" s="454" t="s">
        <v>1212</v>
      </c>
      <c r="D7" s="727" t="s">
        <v>1213</v>
      </c>
      <c r="E7" s="727"/>
      <c r="F7" s="453" t="s">
        <v>1213</v>
      </c>
      <c r="G7" s="727" t="s">
        <v>1213</v>
      </c>
      <c r="H7" s="728"/>
    </row>
    <row r="8" spans="1:8" s="524" customFormat="1">
      <c r="B8" s="521"/>
      <c r="C8" s="525" t="s">
        <v>1214</v>
      </c>
      <c r="D8" s="729"/>
      <c r="E8" s="729"/>
      <c r="F8" s="526"/>
      <c r="G8" s="729"/>
      <c r="H8" s="730"/>
    </row>
    <row r="9" spans="1:8">
      <c r="B9" s="521"/>
      <c r="C9" s="454" t="s">
        <v>1215</v>
      </c>
      <c r="D9" s="727"/>
      <c r="E9" s="727"/>
      <c r="F9" s="453"/>
      <c r="G9" s="727"/>
      <c r="H9" s="728"/>
    </row>
    <row r="10" spans="1:8">
      <c r="B10" s="521"/>
      <c r="C10" s="454" t="s">
        <v>1216</v>
      </c>
      <c r="D10" s="727"/>
      <c r="E10" s="727"/>
      <c r="F10" s="527"/>
      <c r="G10" s="731"/>
      <c r="H10" s="732"/>
    </row>
    <row r="11" spans="1:8">
      <c r="B11" s="521"/>
      <c r="C11" s="454" t="s">
        <v>1217</v>
      </c>
      <c r="D11" s="731"/>
      <c r="E11" s="731"/>
      <c r="F11" s="527"/>
      <c r="G11" s="731"/>
      <c r="H11" s="732"/>
    </row>
    <row r="12" spans="1:8">
      <c r="B12" s="521"/>
      <c r="C12" s="454" t="s">
        <v>1121</v>
      </c>
      <c r="D12" s="727"/>
      <c r="E12" s="727"/>
      <c r="F12" s="528"/>
      <c r="G12" s="735"/>
      <c r="H12" s="736"/>
    </row>
    <row r="13" spans="1:8">
      <c r="B13" s="521"/>
      <c r="C13" s="454" t="s">
        <v>1218</v>
      </c>
      <c r="D13" s="731"/>
      <c r="E13" s="731"/>
      <c r="F13" s="527"/>
      <c r="G13" s="731"/>
      <c r="H13" s="732"/>
    </row>
    <row r="14" spans="1:8">
      <c r="B14" s="521"/>
      <c r="C14" s="454" t="s">
        <v>1103</v>
      </c>
      <c r="D14" s="727"/>
      <c r="E14" s="727"/>
      <c r="F14" s="529"/>
      <c r="G14" s="733"/>
      <c r="H14" s="734"/>
    </row>
    <row r="15" spans="1:8">
      <c r="B15" s="521"/>
      <c r="C15" s="454" t="s">
        <v>1101</v>
      </c>
      <c r="D15" s="733"/>
      <c r="E15" s="733"/>
      <c r="F15" s="529"/>
      <c r="G15" s="733"/>
      <c r="H15" s="734"/>
    </row>
    <row r="16" spans="1:8" s="451" customFormat="1" ht="13.5" thickBot="1">
      <c r="B16" s="630"/>
      <c r="C16" s="631"/>
      <c r="D16" s="631"/>
      <c r="E16" s="631"/>
      <c r="F16" s="631"/>
      <c r="G16" s="631"/>
      <c r="H16" s="632"/>
    </row>
  </sheetData>
  <mergeCells count="28">
    <mergeCell ref="D15:E15"/>
    <mergeCell ref="G15:H15"/>
    <mergeCell ref="B16:H16"/>
    <mergeCell ref="D12:E12"/>
    <mergeCell ref="G12:H12"/>
    <mergeCell ref="D13:E13"/>
    <mergeCell ref="G13:H13"/>
    <mergeCell ref="D14:E14"/>
    <mergeCell ref="G14:H14"/>
    <mergeCell ref="D9:E9"/>
    <mergeCell ref="G9:H9"/>
    <mergeCell ref="D10:E10"/>
    <mergeCell ref="G10:H10"/>
    <mergeCell ref="D11:E11"/>
    <mergeCell ref="G11:H11"/>
    <mergeCell ref="D6:E6"/>
    <mergeCell ref="G6:H6"/>
    <mergeCell ref="D7:E7"/>
    <mergeCell ref="G7:H7"/>
    <mergeCell ref="D8:E8"/>
    <mergeCell ref="G8:H8"/>
    <mergeCell ref="D5:E5"/>
    <mergeCell ref="G5:H5"/>
    <mergeCell ref="B2:H2"/>
    <mergeCell ref="B3:C3"/>
    <mergeCell ref="D3:E3"/>
    <mergeCell ref="G3:H3"/>
    <mergeCell ref="B4:H4"/>
  </mergeCells>
  <conditionalFormatting sqref="D8">
    <cfRule type="expression" dxfId="204" priority="3">
      <formula>$D8&lt;&gt;$D10</formula>
    </cfRule>
  </conditionalFormatting>
  <conditionalFormatting sqref="F8">
    <cfRule type="expression" dxfId="203" priority="2">
      <formula>$F8&lt;&gt;$F10</formula>
    </cfRule>
  </conditionalFormatting>
  <conditionalFormatting sqref="G8">
    <cfRule type="expression" dxfId="202" priority="1">
      <formula>$G8&lt;&gt;$G10</formula>
    </cfRule>
  </conditionalFormatting>
  <dataValidations count="2">
    <dataValidation type="list" allowBlank="1" showInputMessage="1" showErrorMessage="1" sqref="D14 F14:G14" xr:uid="{557BBB51-48A2-452A-A750-EDB44B147084}">
      <formula1>"Active,In-Active,Not Valid"</formula1>
    </dataValidation>
    <dataValidation type="list" allowBlank="1" showInputMessage="1" showErrorMessage="1" sqref="D7 F7:G7" xr:uid="{16BFAFF5-0367-4346-AD44-746329F5F225}">
      <formula1>"Available,Not Available"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L107"/>
  <sheetViews>
    <sheetView view="pageBreakPreview" topLeftCell="A37" zoomScale="90" zoomScaleSheetLayoutView="90" workbookViewId="0">
      <selection activeCell="B45" sqref="B45"/>
    </sheetView>
  </sheetViews>
  <sheetFormatPr defaultColWidth="13.5703125" defaultRowHeight="32.1" customHeight="1"/>
  <cols>
    <col min="1" max="1" width="37.28515625" style="116" customWidth="1"/>
    <col min="2" max="2" width="13" style="116" bestFit="1" customWidth="1"/>
    <col min="3" max="3" width="12.7109375" style="116" customWidth="1"/>
    <col min="4" max="4" width="10.140625" style="133" customWidth="1"/>
    <col min="5" max="5" width="12.28515625" style="116" customWidth="1"/>
    <col min="6" max="6" width="15.7109375" style="133" customWidth="1"/>
    <col min="7" max="7" width="12.28515625" style="116" customWidth="1"/>
    <col min="8" max="8" width="15.7109375" style="133" customWidth="1"/>
    <col min="9" max="9" width="17.42578125" style="133" bestFit="1" customWidth="1"/>
    <col min="10" max="10" width="22" style="116" customWidth="1"/>
    <col min="11" max="11" width="12" style="116" customWidth="1"/>
    <col min="12" max="16384" width="13.5703125" style="116"/>
  </cols>
  <sheetData>
    <row r="1" spans="1:10" ht="18">
      <c r="A1" s="738"/>
      <c r="B1" s="738"/>
      <c r="C1" s="738"/>
      <c r="D1" s="738"/>
      <c r="E1" s="738"/>
      <c r="F1" s="738"/>
      <c r="G1" s="738"/>
      <c r="H1" s="738"/>
      <c r="I1" s="739"/>
    </row>
    <row r="2" spans="1:10" ht="7.5" customHeight="1">
      <c r="A2" s="738"/>
      <c r="B2" s="738"/>
      <c r="C2" s="738"/>
      <c r="D2" s="738"/>
      <c r="E2" s="738"/>
      <c r="F2" s="738"/>
      <c r="G2" s="738"/>
      <c r="H2" s="738"/>
      <c r="I2" s="739"/>
    </row>
    <row r="3" spans="1:10" ht="18">
      <c r="A3" s="740" t="s">
        <v>301</v>
      </c>
      <c r="B3" s="117" t="s">
        <v>558</v>
      </c>
      <c r="C3" s="118" t="s">
        <v>303</v>
      </c>
      <c r="D3" s="117" t="s">
        <v>559</v>
      </c>
      <c r="E3" s="118" t="s">
        <v>303</v>
      </c>
      <c r="F3" s="117" t="s">
        <v>560</v>
      </c>
      <c r="G3" s="118" t="s">
        <v>303</v>
      </c>
      <c r="H3" s="117" t="s">
        <v>561</v>
      </c>
      <c r="I3" s="119"/>
    </row>
    <row r="4" spans="1:10" ht="18">
      <c r="A4" s="740"/>
      <c r="B4" s="118" t="s">
        <v>307</v>
      </c>
      <c r="C4" s="117" t="s">
        <v>562</v>
      </c>
      <c r="D4" s="118" t="s">
        <v>307</v>
      </c>
      <c r="E4" s="117" t="s">
        <v>563</v>
      </c>
      <c r="F4" s="118" t="s">
        <v>307</v>
      </c>
      <c r="G4" s="117" t="s">
        <v>564</v>
      </c>
      <c r="H4" s="118" t="s">
        <v>307</v>
      </c>
      <c r="I4" s="119"/>
    </row>
    <row r="5" spans="1:10" ht="18">
      <c r="A5" s="120" t="s">
        <v>185</v>
      </c>
      <c r="B5" s="121">
        <v>599999</v>
      </c>
      <c r="C5" s="122">
        <f>(B5-D5)/D5*100</f>
        <v>85614.142857142855</v>
      </c>
      <c r="D5" s="121">
        <v>700</v>
      </c>
      <c r="E5" s="122" t="e">
        <f>(D5-F5)/F5*100</f>
        <v>#DIV/0!</v>
      </c>
      <c r="F5" s="123">
        <v>0</v>
      </c>
      <c r="G5" s="122" t="e">
        <f>(F5-H5)/H5*100</f>
        <v>#DIV/0!</v>
      </c>
      <c r="H5" s="123">
        <v>0</v>
      </c>
      <c r="I5" s="124"/>
    </row>
    <row r="6" spans="1:10" ht="25.35" customHeight="1">
      <c r="A6" s="125" t="s">
        <v>311</v>
      </c>
      <c r="B6" s="121">
        <v>12</v>
      </c>
      <c r="C6" s="122">
        <f>(B6-D6)/D6*100</f>
        <v>0</v>
      </c>
      <c r="D6" s="121">
        <v>12</v>
      </c>
      <c r="E6" s="122" t="e">
        <f>(D6-F6)/F6*100</f>
        <v>#DIV/0!</v>
      </c>
      <c r="F6" s="121">
        <v>0</v>
      </c>
      <c r="G6" s="122" t="e">
        <f>(F6-H6)/H6*100</f>
        <v>#DIV/0!</v>
      </c>
      <c r="H6" s="121">
        <v>0</v>
      </c>
      <c r="I6" s="124"/>
    </row>
    <row r="7" spans="1:10" ht="18">
      <c r="A7" s="125" t="s">
        <v>312</v>
      </c>
      <c r="B7" s="121">
        <v>5</v>
      </c>
      <c r="C7" s="122">
        <f>(B7-D7)/D7*100</f>
        <v>0</v>
      </c>
      <c r="D7" s="121">
        <v>5</v>
      </c>
      <c r="E7" s="122" t="e">
        <f>(D7-F7)/F7*100</f>
        <v>#DIV/0!</v>
      </c>
      <c r="F7" s="121">
        <v>0</v>
      </c>
      <c r="G7" s="122" t="e">
        <f>(F7-H7)/H7*100</f>
        <v>#DIV/0!</v>
      </c>
      <c r="H7" s="121">
        <v>0</v>
      </c>
      <c r="I7" s="124"/>
    </row>
    <row r="8" spans="1:10" ht="18.75" thickBot="1">
      <c r="A8" s="126" t="s">
        <v>313</v>
      </c>
      <c r="B8" s="127">
        <f>B5+B6+B7</f>
        <v>600016</v>
      </c>
      <c r="C8" s="122">
        <f>(B8-D8)/D8*100</f>
        <v>83584.239888423981</v>
      </c>
      <c r="D8" s="127">
        <f>D5+D6+D7</f>
        <v>717</v>
      </c>
      <c r="E8" s="122" t="e">
        <f>(D8-F8)/F8*100</f>
        <v>#DIV/0!</v>
      </c>
      <c r="F8" s="127">
        <f>F5+F6+F7</f>
        <v>0</v>
      </c>
      <c r="G8" s="122" t="e">
        <f>(F8-H8)/H8*100</f>
        <v>#DIV/0!</v>
      </c>
      <c r="H8" s="127">
        <f>H5+H6+H7</f>
        <v>0</v>
      </c>
      <c r="I8" s="124"/>
    </row>
    <row r="9" spans="1:10" ht="39" thickBot="1">
      <c r="A9" s="126"/>
      <c r="B9" s="127"/>
      <c r="C9" s="128" t="s">
        <v>565</v>
      </c>
      <c r="D9" s="127"/>
      <c r="E9" s="128" t="s">
        <v>566</v>
      </c>
      <c r="F9" s="129"/>
      <c r="G9" s="128" t="s">
        <v>567</v>
      </c>
      <c r="H9" s="129"/>
      <c r="I9" s="130" t="s">
        <v>568</v>
      </c>
    </row>
    <row r="10" spans="1:10" ht="18.75" thickBot="1">
      <c r="A10" s="131" t="s">
        <v>314</v>
      </c>
      <c r="B10" s="121">
        <v>1</v>
      </c>
      <c r="C10" s="122">
        <f t="shared" ref="C10:C29" si="0">B10/$B$5*100</f>
        <v>1.6666694444490742E-4</v>
      </c>
      <c r="D10" s="121">
        <v>1</v>
      </c>
      <c r="E10" s="122">
        <f t="shared" ref="E10:E29" si="1">D10/$D$5*100</f>
        <v>0.14285714285714285</v>
      </c>
      <c r="F10" s="121">
        <v>0</v>
      </c>
      <c r="G10" s="122" t="e">
        <f t="shared" ref="G10:G29" si="2">F10/$F$5*100</f>
        <v>#DIV/0!</v>
      </c>
      <c r="H10" s="121">
        <v>0</v>
      </c>
      <c r="I10" s="132" t="e">
        <f t="shared" ref="I10:I29" si="3">H10/$H$5*100</f>
        <v>#DIV/0!</v>
      </c>
    </row>
    <row r="11" spans="1:10" ht="18.75" thickBot="1">
      <c r="A11" s="131" t="s">
        <v>315</v>
      </c>
      <c r="B11" s="121">
        <v>0</v>
      </c>
      <c r="C11" s="122">
        <f t="shared" si="0"/>
        <v>0</v>
      </c>
      <c r="D11" s="121">
        <v>50</v>
      </c>
      <c r="E11" s="122">
        <f t="shared" si="1"/>
        <v>7.1428571428571423</v>
      </c>
      <c r="F11" s="123">
        <v>0</v>
      </c>
      <c r="G11" s="122" t="e">
        <f t="shared" si="2"/>
        <v>#DIV/0!</v>
      </c>
      <c r="H11" s="123">
        <v>0</v>
      </c>
      <c r="I11" s="132" t="e">
        <f t="shared" si="3"/>
        <v>#DIV/0!</v>
      </c>
      <c r="J11" s="133"/>
    </row>
    <row r="12" spans="1:10" ht="18.75" thickBot="1">
      <c r="A12" s="131" t="s">
        <v>316</v>
      </c>
      <c r="B12" s="121">
        <v>850</v>
      </c>
      <c r="C12" s="122">
        <f t="shared" si="0"/>
        <v>0.14166690277817129</v>
      </c>
      <c r="D12" s="121">
        <v>600</v>
      </c>
      <c r="E12" s="122">
        <f t="shared" si="1"/>
        <v>85.714285714285708</v>
      </c>
      <c r="F12" s="123">
        <v>0</v>
      </c>
      <c r="G12" s="122" t="e">
        <f t="shared" si="2"/>
        <v>#DIV/0!</v>
      </c>
      <c r="H12" s="123">
        <v>0</v>
      </c>
      <c r="I12" s="132" t="e">
        <f t="shared" si="3"/>
        <v>#DIV/0!</v>
      </c>
    </row>
    <row r="13" spans="1:10" ht="18.75" thickBot="1">
      <c r="A13" s="134" t="s">
        <v>317</v>
      </c>
      <c r="B13" s="135">
        <f>B8-B10-B11-B12</f>
        <v>599165</v>
      </c>
      <c r="C13" s="122">
        <f t="shared" si="0"/>
        <v>99.860999768332945</v>
      </c>
      <c r="D13" s="135">
        <f>D8-D10-D11-D12</f>
        <v>66</v>
      </c>
      <c r="E13" s="122">
        <f t="shared" si="1"/>
        <v>9.4285714285714288</v>
      </c>
      <c r="F13" s="135">
        <f>F8-F10-F11-F12</f>
        <v>0</v>
      </c>
      <c r="G13" s="122" t="e">
        <f t="shared" si="2"/>
        <v>#DIV/0!</v>
      </c>
      <c r="H13" s="135">
        <f>H8-H10-H11-H12</f>
        <v>0</v>
      </c>
      <c r="I13" s="132" t="e">
        <f t="shared" si="3"/>
        <v>#DIV/0!</v>
      </c>
    </row>
    <row r="14" spans="1:10" ht="18.75" thickBot="1">
      <c r="A14" s="136" t="s">
        <v>318</v>
      </c>
      <c r="B14" s="121">
        <v>3</v>
      </c>
      <c r="C14" s="122">
        <f t="shared" si="0"/>
        <v>5.000008333347222E-4</v>
      </c>
      <c r="D14" s="121">
        <v>3</v>
      </c>
      <c r="E14" s="122">
        <f t="shared" si="1"/>
        <v>0.4285714285714286</v>
      </c>
      <c r="F14" s="123">
        <v>0</v>
      </c>
      <c r="G14" s="122" t="e">
        <f t="shared" si="2"/>
        <v>#DIV/0!</v>
      </c>
      <c r="H14" s="123">
        <v>0</v>
      </c>
      <c r="I14" s="132" t="e">
        <f t="shared" si="3"/>
        <v>#DIV/0!</v>
      </c>
      <c r="J14" s="133"/>
    </row>
    <row r="15" spans="1:10" ht="18.75" thickBot="1">
      <c r="A15" s="136" t="s">
        <v>319</v>
      </c>
      <c r="B15" s="121">
        <v>2</v>
      </c>
      <c r="C15" s="122">
        <f t="shared" si="0"/>
        <v>3.3333388888981484E-4</v>
      </c>
      <c r="D15" s="121">
        <v>2</v>
      </c>
      <c r="E15" s="122">
        <f t="shared" si="1"/>
        <v>0.2857142857142857</v>
      </c>
      <c r="F15" s="123">
        <v>0</v>
      </c>
      <c r="G15" s="122" t="e">
        <f t="shared" si="2"/>
        <v>#DIV/0!</v>
      </c>
      <c r="H15" s="123">
        <v>0</v>
      </c>
      <c r="I15" s="132" t="e">
        <f t="shared" si="3"/>
        <v>#DIV/0!</v>
      </c>
      <c r="J15" s="133"/>
    </row>
    <row r="16" spans="1:10" ht="18.75" thickBot="1">
      <c r="A16" s="134" t="s">
        <v>320</v>
      </c>
      <c r="B16" s="135">
        <f>B13-B14-B15</f>
        <v>599160</v>
      </c>
      <c r="C16" s="122">
        <f t="shared" si="0"/>
        <v>99.860166433610715</v>
      </c>
      <c r="D16" s="135">
        <f>D13-D14-D15</f>
        <v>61</v>
      </c>
      <c r="E16" s="122">
        <f t="shared" si="1"/>
        <v>8.7142857142857153</v>
      </c>
      <c r="F16" s="135">
        <f>F13-F14-F15</f>
        <v>0</v>
      </c>
      <c r="G16" s="122" t="e">
        <f t="shared" si="2"/>
        <v>#DIV/0!</v>
      </c>
      <c r="H16" s="135">
        <f>H13-H14-H15</f>
        <v>0</v>
      </c>
      <c r="I16" s="132" t="e">
        <f t="shared" si="3"/>
        <v>#DIV/0!</v>
      </c>
    </row>
    <row r="17" spans="1:12" ht="18.75" thickBot="1">
      <c r="A17" s="137" t="s">
        <v>218</v>
      </c>
      <c r="B17" s="121">
        <v>1</v>
      </c>
      <c r="C17" s="122">
        <f t="shared" si="0"/>
        <v>1.6666694444490742E-4</v>
      </c>
      <c r="D17" s="121">
        <v>0.25</v>
      </c>
      <c r="E17" s="122">
        <f t="shared" si="1"/>
        <v>3.5714285714285712E-2</v>
      </c>
      <c r="F17" s="123">
        <v>0</v>
      </c>
      <c r="G17" s="122" t="e">
        <f t="shared" si="2"/>
        <v>#DIV/0!</v>
      </c>
      <c r="H17" s="123">
        <v>0</v>
      </c>
      <c r="I17" s="132" t="e">
        <f t="shared" si="3"/>
        <v>#DIV/0!</v>
      </c>
      <c r="L17" s="138"/>
    </row>
    <row r="18" spans="1:12" s="138" customFormat="1" ht="18.75" thickBot="1">
      <c r="A18" s="131" t="s">
        <v>321</v>
      </c>
      <c r="B18" s="121">
        <v>34</v>
      </c>
      <c r="C18" s="122">
        <f t="shared" si="0"/>
        <v>5.6666761111268515E-3</v>
      </c>
      <c r="D18" s="121">
        <v>34</v>
      </c>
      <c r="E18" s="122">
        <f t="shared" si="1"/>
        <v>4.8571428571428568</v>
      </c>
      <c r="F18" s="123">
        <v>0</v>
      </c>
      <c r="G18" s="122" t="e">
        <f t="shared" si="2"/>
        <v>#DIV/0!</v>
      </c>
      <c r="H18" s="123">
        <v>0</v>
      </c>
      <c r="I18" s="132" t="e">
        <f t="shared" si="3"/>
        <v>#DIV/0!</v>
      </c>
      <c r="L18" s="116"/>
    </row>
    <row r="19" spans="1:12" s="138" customFormat="1" ht="18.75" thickBot="1">
      <c r="A19" s="131" t="s">
        <v>322</v>
      </c>
      <c r="B19" s="121">
        <v>1</v>
      </c>
      <c r="C19" s="122">
        <f t="shared" si="0"/>
        <v>1.6666694444490742E-4</v>
      </c>
      <c r="D19" s="121">
        <v>1</v>
      </c>
      <c r="E19" s="122">
        <f t="shared" si="1"/>
        <v>0.14285714285714285</v>
      </c>
      <c r="F19" s="123">
        <v>1</v>
      </c>
      <c r="G19" s="122" t="e">
        <f t="shared" si="2"/>
        <v>#DIV/0!</v>
      </c>
      <c r="H19" s="123">
        <v>1</v>
      </c>
      <c r="I19" s="132" t="e">
        <f t="shared" si="3"/>
        <v>#DIV/0!</v>
      </c>
      <c r="L19" s="116"/>
    </row>
    <row r="20" spans="1:12" s="138" customFormat="1" ht="18.75" thickBot="1">
      <c r="A20" s="131" t="s">
        <v>323</v>
      </c>
      <c r="B20" s="121">
        <v>1</v>
      </c>
      <c r="C20" s="122">
        <f t="shared" si="0"/>
        <v>1.6666694444490742E-4</v>
      </c>
      <c r="D20" s="121">
        <v>1</v>
      </c>
      <c r="E20" s="122">
        <f t="shared" si="1"/>
        <v>0.14285714285714285</v>
      </c>
      <c r="F20" s="123">
        <v>1</v>
      </c>
      <c r="G20" s="122" t="e">
        <f t="shared" si="2"/>
        <v>#DIV/0!</v>
      </c>
      <c r="H20" s="123">
        <v>1</v>
      </c>
      <c r="I20" s="132" t="e">
        <f t="shared" si="3"/>
        <v>#DIV/0!</v>
      </c>
      <c r="L20" s="116"/>
    </row>
    <row r="21" spans="1:12" s="138" customFormat="1" ht="18.75" thickBot="1">
      <c r="A21" s="131" t="s">
        <v>324</v>
      </c>
      <c r="B21" s="121">
        <v>5</v>
      </c>
      <c r="C21" s="122">
        <f t="shared" si="0"/>
        <v>8.3333472222453715E-4</v>
      </c>
      <c r="D21" s="121">
        <v>5</v>
      </c>
      <c r="E21" s="122">
        <f t="shared" si="1"/>
        <v>0.7142857142857143</v>
      </c>
      <c r="F21" s="123">
        <v>0</v>
      </c>
      <c r="G21" s="122" t="e">
        <f t="shared" si="2"/>
        <v>#DIV/0!</v>
      </c>
      <c r="H21" s="123">
        <v>0</v>
      </c>
      <c r="I21" s="132" t="e">
        <f t="shared" si="3"/>
        <v>#DIV/0!</v>
      </c>
      <c r="L21" s="116"/>
    </row>
    <row r="22" spans="1:12" ht="18.75" thickBot="1">
      <c r="A22" s="137" t="s">
        <v>325</v>
      </c>
      <c r="B22" s="121">
        <v>6</v>
      </c>
      <c r="C22" s="122">
        <f t="shared" si="0"/>
        <v>1.0000016666694444E-3</v>
      </c>
      <c r="D22" s="121">
        <v>6</v>
      </c>
      <c r="E22" s="122">
        <f t="shared" si="1"/>
        <v>0.85714285714285721</v>
      </c>
      <c r="F22" s="123">
        <v>0</v>
      </c>
      <c r="G22" s="122" t="e">
        <f t="shared" si="2"/>
        <v>#DIV/0!</v>
      </c>
      <c r="H22" s="123">
        <v>0</v>
      </c>
      <c r="I22" s="132" t="e">
        <f t="shared" si="3"/>
        <v>#DIV/0!</v>
      </c>
    </row>
    <row r="23" spans="1:12" ht="18.75" thickBot="1">
      <c r="A23" s="139" t="s">
        <v>326</v>
      </c>
      <c r="B23" s="140">
        <f>B16-B17-B18-B22-B21-B19-B20</f>
        <v>599112</v>
      </c>
      <c r="C23" s="122">
        <f t="shared" si="0"/>
        <v>99.852166420277371</v>
      </c>
      <c r="D23" s="140">
        <f>D16-D17-D18-D22-D21-D19-D20</f>
        <v>13.75</v>
      </c>
      <c r="E23" s="122">
        <f t="shared" si="1"/>
        <v>1.9642857142857142</v>
      </c>
      <c r="F23" s="140">
        <f>F16-F17-F18-F22-F21-F19-F20</f>
        <v>-2</v>
      </c>
      <c r="G23" s="122" t="e">
        <f t="shared" si="2"/>
        <v>#DIV/0!</v>
      </c>
      <c r="H23" s="140">
        <f>H16-H17-H18-H22-H21-H19-H20</f>
        <v>-2</v>
      </c>
      <c r="I23" s="132" t="e">
        <f t="shared" si="3"/>
        <v>#DIV/0!</v>
      </c>
    </row>
    <row r="24" spans="1:12" ht="18.75" thickBot="1">
      <c r="A24" s="125" t="s">
        <v>327</v>
      </c>
      <c r="B24" s="121">
        <v>1</v>
      </c>
      <c r="C24" s="122">
        <f t="shared" si="0"/>
        <v>1.6666694444490742E-4</v>
      </c>
      <c r="D24" s="121">
        <v>1</v>
      </c>
      <c r="E24" s="122">
        <f t="shared" si="1"/>
        <v>0.14285714285714285</v>
      </c>
      <c r="F24" s="121">
        <v>0</v>
      </c>
      <c r="G24" s="122" t="e">
        <f t="shared" si="2"/>
        <v>#DIV/0!</v>
      </c>
      <c r="H24" s="121">
        <v>0</v>
      </c>
      <c r="I24" s="132" t="e">
        <f t="shared" si="3"/>
        <v>#DIV/0!</v>
      </c>
      <c r="K24" s="141"/>
    </row>
    <row r="25" spans="1:12" ht="18.75" thickBot="1">
      <c r="A25" s="142" t="s">
        <v>186</v>
      </c>
      <c r="B25" s="127">
        <f>B23-B24</f>
        <v>599111</v>
      </c>
      <c r="C25" s="143">
        <f t="shared" si="0"/>
        <v>99.851999753332919</v>
      </c>
      <c r="D25" s="127">
        <f>D23-D24</f>
        <v>12.75</v>
      </c>
      <c r="E25" s="143">
        <f t="shared" si="1"/>
        <v>1.8214285714285714</v>
      </c>
      <c r="F25" s="127">
        <f>F23-F24</f>
        <v>-2</v>
      </c>
      <c r="G25" s="122" t="e">
        <f t="shared" si="2"/>
        <v>#DIV/0!</v>
      </c>
      <c r="H25" s="127">
        <f>H23-H24</f>
        <v>-2</v>
      </c>
      <c r="I25" s="132" t="e">
        <f t="shared" si="3"/>
        <v>#DIV/0!</v>
      </c>
      <c r="J25" s="144"/>
    </row>
    <row r="26" spans="1:12" ht="18.75" thickBot="1">
      <c r="A26" s="139" t="s">
        <v>328</v>
      </c>
      <c r="B26" s="140">
        <f>B25+B17+B22</f>
        <v>599118</v>
      </c>
      <c r="C26" s="122">
        <f t="shared" si="0"/>
        <v>99.853166421944039</v>
      </c>
      <c r="D26" s="140">
        <f>D25+D17+D22</f>
        <v>19</v>
      </c>
      <c r="E26" s="122">
        <f t="shared" si="1"/>
        <v>2.7142857142857144</v>
      </c>
      <c r="F26" s="140">
        <f>F25+F17+F22</f>
        <v>-2</v>
      </c>
      <c r="G26" s="122" t="e">
        <f t="shared" si="2"/>
        <v>#DIV/0!</v>
      </c>
      <c r="H26" s="140">
        <f>H25+H17+H22</f>
        <v>-2</v>
      </c>
      <c r="I26" s="132" t="e">
        <f t="shared" si="3"/>
        <v>#DIV/0!</v>
      </c>
    </row>
    <row r="27" spans="1:12" ht="18.75" thickBot="1">
      <c r="A27" s="145" t="s">
        <v>329</v>
      </c>
      <c r="B27" s="121">
        <v>1</v>
      </c>
      <c r="C27" s="122">
        <f t="shared" si="0"/>
        <v>1.6666694444490742E-4</v>
      </c>
      <c r="D27" s="121">
        <v>1</v>
      </c>
      <c r="E27" s="122">
        <f t="shared" si="1"/>
        <v>0.14285714285714285</v>
      </c>
      <c r="F27" s="121">
        <v>0</v>
      </c>
      <c r="G27" s="122" t="e">
        <f t="shared" si="2"/>
        <v>#DIV/0!</v>
      </c>
      <c r="H27" s="121">
        <v>0</v>
      </c>
      <c r="I27" s="132" t="e">
        <f t="shared" si="3"/>
        <v>#DIV/0!</v>
      </c>
    </row>
    <row r="28" spans="1:12" ht="18.75" thickBot="1">
      <c r="A28" s="145" t="s">
        <v>220</v>
      </c>
      <c r="B28" s="121">
        <v>1</v>
      </c>
      <c r="C28" s="122">
        <f t="shared" si="0"/>
        <v>1.6666694444490742E-4</v>
      </c>
      <c r="D28" s="121">
        <v>1</v>
      </c>
      <c r="E28" s="122">
        <f t="shared" si="1"/>
        <v>0.14285714285714285</v>
      </c>
      <c r="F28" s="121">
        <v>0</v>
      </c>
      <c r="G28" s="122" t="e">
        <f t="shared" si="2"/>
        <v>#DIV/0!</v>
      </c>
      <c r="H28" s="121">
        <v>0</v>
      </c>
      <c r="I28" s="132" t="e">
        <f t="shared" si="3"/>
        <v>#DIV/0!</v>
      </c>
    </row>
    <row r="29" spans="1:12" ht="18.75" thickBot="1">
      <c r="A29" s="146" t="s">
        <v>187</v>
      </c>
      <c r="B29" s="147">
        <f>B26+B27+B28</f>
        <v>599120</v>
      </c>
      <c r="C29" s="143">
        <f t="shared" si="0"/>
        <v>99.853499755832928</v>
      </c>
      <c r="D29" s="147">
        <f>D26+D27+D28</f>
        <v>21</v>
      </c>
      <c r="E29" s="143">
        <f t="shared" si="1"/>
        <v>3</v>
      </c>
      <c r="F29" s="147">
        <f>F26+F27+F28</f>
        <v>-2</v>
      </c>
      <c r="G29" s="122" t="e">
        <f t="shared" si="2"/>
        <v>#DIV/0!</v>
      </c>
      <c r="H29" s="147">
        <f>H26+H27+H28</f>
        <v>-2</v>
      </c>
      <c r="I29" s="132" t="e">
        <f t="shared" si="3"/>
        <v>#DIV/0!</v>
      </c>
    </row>
    <row r="30" spans="1:12" ht="18.75" thickBot="1">
      <c r="A30" s="146"/>
      <c r="B30" s="147"/>
      <c r="C30" s="143"/>
      <c r="D30" s="147"/>
      <c r="E30" s="143"/>
      <c r="F30" s="147"/>
      <c r="G30" s="143"/>
      <c r="H30" s="147"/>
      <c r="I30" s="148"/>
      <c r="J30" s="149"/>
    </row>
    <row r="31" spans="1:12" ht="18">
      <c r="A31" s="150"/>
      <c r="B31" s="151"/>
      <c r="C31" s="152"/>
      <c r="D31" s="151"/>
      <c r="E31" s="152"/>
      <c r="F31" s="151"/>
      <c r="G31" s="152"/>
      <c r="H31" s="151"/>
      <c r="I31" s="153" t="s">
        <v>330</v>
      </c>
    </row>
    <row r="32" spans="1:12" ht="18">
      <c r="A32" s="740" t="s">
        <v>331</v>
      </c>
      <c r="B32" s="741" t="str">
        <f>B3</f>
        <v>31.03.2021</v>
      </c>
      <c r="C32" s="154" t="s">
        <v>303</v>
      </c>
      <c r="D32" s="741" t="str">
        <f>D3</f>
        <v>31.03.2020</v>
      </c>
      <c r="E32" s="154" t="s">
        <v>303</v>
      </c>
      <c r="F32" s="741" t="str">
        <f>F3</f>
        <v>31.03.2019</v>
      </c>
      <c r="G32" s="154" t="s">
        <v>303</v>
      </c>
      <c r="H32" s="742" t="s">
        <v>306</v>
      </c>
      <c r="I32" s="155"/>
    </row>
    <row r="33" spans="1:10" ht="18">
      <c r="A33" s="740"/>
      <c r="B33" s="741"/>
      <c r="C33" s="156" t="str">
        <f>C4</f>
        <v>In 2021</v>
      </c>
      <c r="D33" s="741"/>
      <c r="E33" s="156" t="str">
        <f>E4</f>
        <v>In 2020</v>
      </c>
      <c r="F33" s="741"/>
      <c r="G33" s="156" t="str">
        <f>G4</f>
        <v>In 2019</v>
      </c>
      <c r="H33" s="742"/>
      <c r="I33" s="157"/>
    </row>
    <row r="34" spans="1:10" ht="18">
      <c r="A34" s="158" t="s">
        <v>332</v>
      </c>
      <c r="B34" s="121">
        <v>10</v>
      </c>
      <c r="C34" s="122" t="e">
        <f t="shared" ref="C34:C65" si="4">(B34-D34)/D34*100</f>
        <v>#DIV/0!</v>
      </c>
      <c r="D34" s="121">
        <v>0</v>
      </c>
      <c r="E34" s="122" t="e">
        <f t="shared" ref="E34:E65" si="5">(D34-F34)/F34*100</f>
        <v>#DIV/0!</v>
      </c>
      <c r="F34" s="121">
        <v>0</v>
      </c>
      <c r="G34" s="122" t="e">
        <f t="shared" ref="G34:G65" si="6">(F34-H34)/H34*100</f>
        <v>#DIV/0!</v>
      </c>
      <c r="H34" s="121">
        <v>0</v>
      </c>
      <c r="I34" s="116"/>
    </row>
    <row r="35" spans="1:10" ht="26.25">
      <c r="A35" s="158" t="s">
        <v>333</v>
      </c>
      <c r="B35" s="121">
        <v>12</v>
      </c>
      <c r="C35" s="122" t="e">
        <f t="shared" si="4"/>
        <v>#DIV/0!</v>
      </c>
      <c r="D35" s="121">
        <v>0</v>
      </c>
      <c r="E35" s="122" t="e">
        <f t="shared" si="5"/>
        <v>#DIV/0!</v>
      </c>
      <c r="F35" s="123">
        <v>0</v>
      </c>
      <c r="G35" s="122" t="e">
        <f t="shared" si="6"/>
        <v>#DIV/0!</v>
      </c>
      <c r="H35" s="123">
        <v>0</v>
      </c>
      <c r="I35" s="116"/>
    </row>
    <row r="36" spans="1:10" ht="18">
      <c r="A36" s="159" t="s">
        <v>188</v>
      </c>
      <c r="B36" s="127">
        <f>SUM(B34:B35)</f>
        <v>22</v>
      </c>
      <c r="C36" s="122" t="e">
        <f t="shared" si="4"/>
        <v>#DIV/0!</v>
      </c>
      <c r="D36" s="127">
        <f>SUM(D34:D35)</f>
        <v>0</v>
      </c>
      <c r="E36" s="122" t="e">
        <f t="shared" si="5"/>
        <v>#DIV/0!</v>
      </c>
      <c r="F36" s="140">
        <f>SUM(F34:F35)</f>
        <v>0</v>
      </c>
      <c r="G36" s="122" t="e">
        <f t="shared" si="6"/>
        <v>#DIV/0!</v>
      </c>
      <c r="H36" s="140">
        <f>SUM(H34:H35)</f>
        <v>0</v>
      </c>
      <c r="I36" s="116"/>
    </row>
    <row r="37" spans="1:10" ht="18">
      <c r="A37" s="158" t="s">
        <v>334</v>
      </c>
      <c r="B37" s="121">
        <v>0</v>
      </c>
      <c r="C37" s="122" t="e">
        <f t="shared" si="4"/>
        <v>#DIV/0!</v>
      </c>
      <c r="D37" s="121">
        <v>0</v>
      </c>
      <c r="E37" s="122" t="e">
        <f t="shared" si="5"/>
        <v>#DIV/0!</v>
      </c>
      <c r="F37" s="121">
        <v>0</v>
      </c>
      <c r="G37" s="122" t="e">
        <f t="shared" si="6"/>
        <v>#DIV/0!</v>
      </c>
      <c r="H37" s="121">
        <v>0</v>
      </c>
      <c r="I37" s="116"/>
    </row>
    <row r="38" spans="1:10" ht="18">
      <c r="A38" s="159" t="s">
        <v>335</v>
      </c>
      <c r="B38" s="127">
        <f>B34+B35+B43-B62-B64-B52</f>
        <v>22</v>
      </c>
      <c r="C38" s="122" t="e">
        <f t="shared" si="4"/>
        <v>#DIV/0!</v>
      </c>
      <c r="D38" s="127">
        <f>D34+D35+D43-D62-D64-D52</f>
        <v>0</v>
      </c>
      <c r="E38" s="122" t="e">
        <f t="shared" si="5"/>
        <v>#DIV/0!</v>
      </c>
      <c r="F38" s="140">
        <f>F34+F35+F43-F62-F64-F52</f>
        <v>0</v>
      </c>
      <c r="G38" s="122" t="e">
        <f t="shared" si="6"/>
        <v>#DIV/0!</v>
      </c>
      <c r="H38" s="140">
        <f>H34+H35+H43-H62-H64-H52</f>
        <v>0</v>
      </c>
      <c r="I38" s="116"/>
    </row>
    <row r="39" spans="1:10" ht="18">
      <c r="A39" s="158" t="s">
        <v>189</v>
      </c>
      <c r="B39" s="121">
        <v>10</v>
      </c>
      <c r="C39" s="122" t="e">
        <f t="shared" si="4"/>
        <v>#DIV/0!</v>
      </c>
      <c r="D39" s="121">
        <v>0</v>
      </c>
      <c r="E39" s="122" t="e">
        <f t="shared" si="5"/>
        <v>#DIV/0!</v>
      </c>
      <c r="F39" s="123">
        <v>0</v>
      </c>
      <c r="G39" s="122" t="e">
        <f t="shared" si="6"/>
        <v>#DIV/0!</v>
      </c>
      <c r="H39" s="123">
        <v>0</v>
      </c>
    </row>
    <row r="40" spans="1:10" ht="18">
      <c r="A40" s="158" t="s">
        <v>190</v>
      </c>
      <c r="B40" s="121">
        <v>1</v>
      </c>
      <c r="C40" s="122" t="e">
        <f t="shared" si="4"/>
        <v>#DIV/0!</v>
      </c>
      <c r="D40" s="121">
        <v>0</v>
      </c>
      <c r="E40" s="122" t="e">
        <f t="shared" si="5"/>
        <v>#DIV/0!</v>
      </c>
      <c r="F40" s="123">
        <v>0</v>
      </c>
      <c r="G40" s="122" t="e">
        <f t="shared" si="6"/>
        <v>#DIV/0!</v>
      </c>
      <c r="H40" s="123">
        <v>0</v>
      </c>
      <c r="I40" s="160"/>
      <c r="J40" s="161"/>
    </row>
    <row r="41" spans="1:10" ht="18">
      <c r="A41" s="162" t="s">
        <v>336</v>
      </c>
      <c r="B41" s="163">
        <f>B39+B40</f>
        <v>11</v>
      </c>
      <c r="C41" s="122" t="e">
        <f t="shared" si="4"/>
        <v>#DIV/0!</v>
      </c>
      <c r="D41" s="163">
        <f>D39+D40</f>
        <v>0</v>
      </c>
      <c r="E41" s="122" t="e">
        <f t="shared" si="5"/>
        <v>#DIV/0!</v>
      </c>
      <c r="F41" s="163">
        <f>F39+F40</f>
        <v>0</v>
      </c>
      <c r="G41" s="122" t="e">
        <f t="shared" si="6"/>
        <v>#DIV/0!</v>
      </c>
      <c r="H41" s="163">
        <f>H39+H40</f>
        <v>0</v>
      </c>
      <c r="I41" s="116"/>
      <c r="J41" s="161"/>
    </row>
    <row r="42" spans="1:10" ht="18">
      <c r="A42" s="158" t="s">
        <v>337</v>
      </c>
      <c r="B42" s="121">
        <v>1</v>
      </c>
      <c r="C42" s="122" t="e">
        <f t="shared" si="4"/>
        <v>#DIV/0!</v>
      </c>
      <c r="D42" s="121">
        <v>0</v>
      </c>
      <c r="E42" s="122" t="e">
        <f t="shared" si="5"/>
        <v>#DIV/0!</v>
      </c>
      <c r="F42" s="123">
        <v>0</v>
      </c>
      <c r="G42" s="122" t="e">
        <f t="shared" si="6"/>
        <v>#DIV/0!</v>
      </c>
      <c r="H42" s="123">
        <v>0</v>
      </c>
      <c r="I42" s="116"/>
    </row>
    <row r="43" spans="1:10" ht="26.25">
      <c r="A43" s="164" t="s">
        <v>338</v>
      </c>
      <c r="B43" s="121">
        <v>0</v>
      </c>
      <c r="C43" s="122" t="e">
        <f t="shared" si="4"/>
        <v>#DIV/0!</v>
      </c>
      <c r="D43" s="121">
        <v>0</v>
      </c>
      <c r="E43" s="122" t="e">
        <f t="shared" si="5"/>
        <v>#DIV/0!</v>
      </c>
      <c r="F43" s="123">
        <v>0</v>
      </c>
      <c r="G43" s="122" t="e">
        <f t="shared" si="6"/>
        <v>#DIV/0!</v>
      </c>
      <c r="H43" s="123">
        <v>0</v>
      </c>
      <c r="I43" s="116"/>
    </row>
    <row r="44" spans="1:10" ht="18">
      <c r="A44" s="165" t="s">
        <v>339</v>
      </c>
      <c r="B44" s="166">
        <f>B45+B46</f>
        <v>1</v>
      </c>
      <c r="C44" s="122" t="e">
        <f t="shared" si="4"/>
        <v>#DIV/0!</v>
      </c>
      <c r="D44" s="166">
        <f>D45+D46</f>
        <v>0</v>
      </c>
      <c r="E44" s="122" t="e">
        <f t="shared" si="5"/>
        <v>#DIV/0!</v>
      </c>
      <c r="F44" s="166">
        <f>F45+F46</f>
        <v>0</v>
      </c>
      <c r="G44" s="122" t="e">
        <f t="shared" si="6"/>
        <v>#DIV/0!</v>
      </c>
      <c r="H44" s="166">
        <f>H45+H46</f>
        <v>0</v>
      </c>
      <c r="I44" s="116"/>
    </row>
    <row r="45" spans="1:10" ht="18">
      <c r="A45" s="167" t="s">
        <v>340</v>
      </c>
      <c r="B45" s="121">
        <v>1</v>
      </c>
      <c r="C45" s="122" t="e">
        <f t="shared" si="4"/>
        <v>#DIV/0!</v>
      </c>
      <c r="D45" s="121">
        <v>0</v>
      </c>
      <c r="E45" s="122" t="e">
        <f t="shared" si="5"/>
        <v>#DIV/0!</v>
      </c>
      <c r="F45" s="123">
        <v>0</v>
      </c>
      <c r="G45" s="122" t="e">
        <f t="shared" si="6"/>
        <v>#DIV/0!</v>
      </c>
      <c r="H45" s="123">
        <v>0</v>
      </c>
      <c r="I45" s="116"/>
    </row>
    <row r="46" spans="1:10" ht="18">
      <c r="A46" s="158" t="s">
        <v>341</v>
      </c>
      <c r="B46" s="121">
        <v>0</v>
      </c>
      <c r="C46" s="122" t="e">
        <f t="shared" si="4"/>
        <v>#DIV/0!</v>
      </c>
      <c r="D46" s="121">
        <v>0</v>
      </c>
      <c r="E46" s="122" t="e">
        <f t="shared" si="5"/>
        <v>#DIV/0!</v>
      </c>
      <c r="F46" s="123">
        <v>0</v>
      </c>
      <c r="G46" s="122" t="e">
        <f t="shared" si="6"/>
        <v>#DIV/0!</v>
      </c>
      <c r="H46" s="123">
        <v>0</v>
      </c>
      <c r="I46" s="116"/>
    </row>
    <row r="47" spans="1:10" ht="18">
      <c r="A47" s="168" t="s">
        <v>342</v>
      </c>
      <c r="B47" s="140">
        <f>B41+B42+B44</f>
        <v>13</v>
      </c>
      <c r="C47" s="122" t="e">
        <f t="shared" si="4"/>
        <v>#DIV/0!</v>
      </c>
      <c r="D47" s="140">
        <f>D41+D42+D44</f>
        <v>0</v>
      </c>
      <c r="E47" s="122" t="e">
        <f t="shared" si="5"/>
        <v>#DIV/0!</v>
      </c>
      <c r="F47" s="140">
        <f>F41+F42+F44</f>
        <v>0</v>
      </c>
      <c r="G47" s="122" t="e">
        <f t="shared" si="6"/>
        <v>#DIV/0!</v>
      </c>
      <c r="H47" s="140">
        <f>H41+H42+H44</f>
        <v>0</v>
      </c>
      <c r="I47" s="116"/>
    </row>
    <row r="48" spans="1:10" ht="18">
      <c r="A48" s="202" t="s">
        <v>343</v>
      </c>
      <c r="B48" s="203">
        <f>B36+B37+B41+B42+B43+B44</f>
        <v>35</v>
      </c>
      <c r="C48" s="204" t="e">
        <f t="shared" si="4"/>
        <v>#DIV/0!</v>
      </c>
      <c r="D48" s="203">
        <f>D36+D37+D41+D42+D43+D44</f>
        <v>0</v>
      </c>
      <c r="E48" s="204" t="e">
        <f t="shared" si="5"/>
        <v>#DIV/0!</v>
      </c>
      <c r="F48" s="203">
        <f>F36+F37+F41+F42+F43+F44</f>
        <v>0</v>
      </c>
      <c r="G48" s="204" t="e">
        <f t="shared" si="6"/>
        <v>#DIV/0!</v>
      </c>
      <c r="H48" s="203">
        <f>H36+H37+H41+H42+H43+H44</f>
        <v>0</v>
      </c>
      <c r="I48" s="116"/>
    </row>
    <row r="49" spans="1:9" ht="18">
      <c r="A49" s="164" t="s">
        <v>344</v>
      </c>
      <c r="B49" s="121">
        <v>0</v>
      </c>
      <c r="C49" s="122" t="e">
        <f t="shared" si="4"/>
        <v>#DIV/0!</v>
      </c>
      <c r="D49" s="121">
        <v>0</v>
      </c>
      <c r="E49" s="122" t="e">
        <f t="shared" si="5"/>
        <v>#DIV/0!</v>
      </c>
      <c r="F49" s="123">
        <v>0</v>
      </c>
      <c r="G49" s="122" t="e">
        <f t="shared" si="6"/>
        <v>#DIV/0!</v>
      </c>
      <c r="H49" s="123">
        <v>0</v>
      </c>
      <c r="I49" s="169"/>
    </row>
    <row r="50" spans="1:9" ht="18">
      <c r="A50" s="170" t="s">
        <v>345</v>
      </c>
      <c r="B50" s="140">
        <f>B51+B53+B52</f>
        <v>0</v>
      </c>
      <c r="C50" s="122" t="e">
        <f t="shared" si="4"/>
        <v>#DIV/0!</v>
      </c>
      <c r="D50" s="140">
        <f>D51+D53+D52</f>
        <v>0</v>
      </c>
      <c r="E50" s="122" t="e">
        <f t="shared" si="5"/>
        <v>#DIV/0!</v>
      </c>
      <c r="F50" s="140">
        <f>F51+F53+F52</f>
        <v>0</v>
      </c>
      <c r="G50" s="122" t="e">
        <f t="shared" si="6"/>
        <v>#DIV/0!</v>
      </c>
      <c r="H50" s="140">
        <f>H51+H53+H52</f>
        <v>0</v>
      </c>
      <c r="I50" s="116"/>
    </row>
    <row r="51" spans="1:9" ht="18">
      <c r="A51" s="171" t="s">
        <v>346</v>
      </c>
      <c r="B51" s="121">
        <v>0</v>
      </c>
      <c r="C51" s="122" t="e">
        <f t="shared" si="4"/>
        <v>#DIV/0!</v>
      </c>
      <c r="D51" s="121">
        <v>0</v>
      </c>
      <c r="E51" s="122" t="e">
        <f t="shared" si="5"/>
        <v>#DIV/0!</v>
      </c>
      <c r="F51" s="123">
        <v>0</v>
      </c>
      <c r="G51" s="122" t="e">
        <f t="shared" si="6"/>
        <v>#DIV/0!</v>
      </c>
      <c r="H51" s="123">
        <v>0</v>
      </c>
      <c r="I51" s="116"/>
    </row>
    <row r="52" spans="1:9" ht="18">
      <c r="A52" s="171" t="s">
        <v>347</v>
      </c>
      <c r="B52" s="121">
        <v>0</v>
      </c>
      <c r="C52" s="122" t="e">
        <f t="shared" si="4"/>
        <v>#DIV/0!</v>
      </c>
      <c r="D52" s="121">
        <v>0</v>
      </c>
      <c r="E52" s="122" t="e">
        <f t="shared" si="5"/>
        <v>#DIV/0!</v>
      </c>
      <c r="F52" s="121">
        <v>0</v>
      </c>
      <c r="G52" s="122" t="e">
        <f t="shared" si="6"/>
        <v>#DIV/0!</v>
      </c>
      <c r="H52" s="121">
        <v>0</v>
      </c>
      <c r="I52" s="116"/>
    </row>
    <row r="53" spans="1:9" ht="18">
      <c r="A53" s="171" t="s">
        <v>348</v>
      </c>
      <c r="B53" s="121">
        <v>0</v>
      </c>
      <c r="C53" s="122" t="e">
        <f t="shared" si="4"/>
        <v>#DIV/0!</v>
      </c>
      <c r="D53" s="121">
        <v>0</v>
      </c>
      <c r="E53" s="122" t="e">
        <f t="shared" si="5"/>
        <v>#DIV/0!</v>
      </c>
      <c r="F53" s="121">
        <v>0</v>
      </c>
      <c r="G53" s="122" t="e">
        <f t="shared" si="6"/>
        <v>#DIV/0!</v>
      </c>
      <c r="H53" s="121">
        <v>0</v>
      </c>
      <c r="I53" s="116"/>
    </row>
    <row r="54" spans="1:9" ht="18">
      <c r="A54" s="172" t="s">
        <v>349</v>
      </c>
      <c r="B54" s="166">
        <f>B56+B57+B60+B61+B55</f>
        <v>2</v>
      </c>
      <c r="C54" s="122" t="e">
        <f t="shared" si="4"/>
        <v>#DIV/0!</v>
      </c>
      <c r="D54" s="166">
        <f>D56+D57+D60+D61+D55</f>
        <v>0</v>
      </c>
      <c r="E54" s="122" t="e">
        <f t="shared" si="5"/>
        <v>#DIV/0!</v>
      </c>
      <c r="F54" s="166">
        <f>F56+F57+F60+F61+F55</f>
        <v>0</v>
      </c>
      <c r="G54" s="122" t="e">
        <f t="shared" si="6"/>
        <v>#DIV/0!</v>
      </c>
      <c r="H54" s="166">
        <f>H56+H57+H60+H61+H55</f>
        <v>0</v>
      </c>
      <c r="I54" s="116"/>
    </row>
    <row r="55" spans="1:9" ht="18">
      <c r="A55" s="173" t="s">
        <v>350</v>
      </c>
      <c r="B55" s="121">
        <v>0</v>
      </c>
      <c r="C55" s="122" t="e">
        <f t="shared" si="4"/>
        <v>#DIV/0!</v>
      </c>
      <c r="D55" s="121">
        <v>0</v>
      </c>
      <c r="E55" s="122" t="e">
        <f t="shared" si="5"/>
        <v>#DIV/0!</v>
      </c>
      <c r="F55" s="121">
        <v>0</v>
      </c>
      <c r="G55" s="122" t="e">
        <f t="shared" si="6"/>
        <v>#DIV/0!</v>
      </c>
      <c r="H55" s="121">
        <v>0</v>
      </c>
      <c r="I55" s="116"/>
    </row>
    <row r="56" spans="1:9" ht="18">
      <c r="A56" s="164" t="s">
        <v>351</v>
      </c>
      <c r="B56" s="121">
        <v>0</v>
      </c>
      <c r="C56" s="122" t="e">
        <f t="shared" si="4"/>
        <v>#DIV/0!</v>
      </c>
      <c r="D56" s="121">
        <v>0</v>
      </c>
      <c r="E56" s="122" t="e">
        <f t="shared" si="5"/>
        <v>#DIV/0!</v>
      </c>
      <c r="F56" s="123">
        <v>0</v>
      </c>
      <c r="G56" s="122" t="e">
        <f t="shared" si="6"/>
        <v>#DIV/0!</v>
      </c>
      <c r="H56" s="123">
        <v>0</v>
      </c>
      <c r="I56" s="116"/>
    </row>
    <row r="57" spans="1:9" ht="18">
      <c r="A57" s="174" t="s">
        <v>352</v>
      </c>
      <c r="B57" s="166">
        <f>B58+B59</f>
        <v>2</v>
      </c>
      <c r="C57" s="122" t="e">
        <f t="shared" si="4"/>
        <v>#DIV/0!</v>
      </c>
      <c r="D57" s="166">
        <f>D58+D59</f>
        <v>0</v>
      </c>
      <c r="E57" s="122" t="e">
        <f t="shared" si="5"/>
        <v>#DIV/0!</v>
      </c>
      <c r="F57" s="166">
        <f>F58+F59</f>
        <v>0</v>
      </c>
      <c r="G57" s="122" t="e">
        <f t="shared" si="6"/>
        <v>#DIV/0!</v>
      </c>
      <c r="H57" s="166">
        <f>H58+H59</f>
        <v>0</v>
      </c>
      <c r="I57" s="116"/>
    </row>
    <row r="58" spans="1:9" ht="18">
      <c r="A58" s="164" t="s">
        <v>353</v>
      </c>
      <c r="B58" s="121">
        <v>1</v>
      </c>
      <c r="C58" s="122" t="e">
        <f t="shared" si="4"/>
        <v>#DIV/0!</v>
      </c>
      <c r="D58" s="121">
        <v>0</v>
      </c>
      <c r="E58" s="122" t="e">
        <f t="shared" si="5"/>
        <v>#DIV/0!</v>
      </c>
      <c r="F58" s="121">
        <v>0</v>
      </c>
      <c r="G58" s="122" t="e">
        <f t="shared" si="6"/>
        <v>#DIV/0!</v>
      </c>
      <c r="H58" s="121">
        <v>0</v>
      </c>
      <c r="I58" s="116"/>
    </row>
    <row r="59" spans="1:9" ht="18">
      <c r="A59" s="164" t="s">
        <v>354</v>
      </c>
      <c r="B59" s="121">
        <v>1</v>
      </c>
      <c r="C59" s="122" t="e">
        <f t="shared" si="4"/>
        <v>#DIV/0!</v>
      </c>
      <c r="D59" s="121">
        <v>0</v>
      </c>
      <c r="E59" s="122" t="e">
        <f t="shared" si="5"/>
        <v>#DIV/0!</v>
      </c>
      <c r="F59" s="123">
        <v>0</v>
      </c>
      <c r="G59" s="122" t="e">
        <f t="shared" si="6"/>
        <v>#DIV/0!</v>
      </c>
      <c r="H59" s="123">
        <v>0</v>
      </c>
      <c r="I59" s="116"/>
    </row>
    <row r="60" spans="1:9" ht="18">
      <c r="A60" s="164" t="s">
        <v>355</v>
      </c>
      <c r="B60" s="121">
        <v>0</v>
      </c>
      <c r="C60" s="122" t="e">
        <f t="shared" si="4"/>
        <v>#DIV/0!</v>
      </c>
      <c r="D60" s="121">
        <v>0</v>
      </c>
      <c r="E60" s="122" t="e">
        <f t="shared" si="5"/>
        <v>#DIV/0!</v>
      </c>
      <c r="F60" s="123">
        <v>0</v>
      </c>
      <c r="G60" s="122" t="e">
        <f t="shared" si="6"/>
        <v>#DIV/0!</v>
      </c>
      <c r="H60" s="123">
        <v>0</v>
      </c>
      <c r="I60" s="169"/>
    </row>
    <row r="61" spans="1:9" ht="18">
      <c r="A61" s="175" t="s">
        <v>356</v>
      </c>
      <c r="B61" s="176">
        <f>B62+B63</f>
        <v>0</v>
      </c>
      <c r="C61" s="122" t="e">
        <f t="shared" si="4"/>
        <v>#DIV/0!</v>
      </c>
      <c r="D61" s="176">
        <f>D62+D63</f>
        <v>0</v>
      </c>
      <c r="E61" s="122" t="e">
        <f t="shared" si="5"/>
        <v>#DIV/0!</v>
      </c>
      <c r="F61" s="176">
        <f>F62+F63</f>
        <v>0</v>
      </c>
      <c r="G61" s="122" t="e">
        <f t="shared" si="6"/>
        <v>#DIV/0!</v>
      </c>
      <c r="H61" s="176">
        <f>H62+H63</f>
        <v>0</v>
      </c>
      <c r="I61" s="116"/>
    </row>
    <row r="62" spans="1:9" ht="26.25">
      <c r="A62" s="158" t="s">
        <v>357</v>
      </c>
      <c r="B62" s="121">
        <v>0</v>
      </c>
      <c r="C62" s="122" t="e">
        <f t="shared" si="4"/>
        <v>#DIV/0!</v>
      </c>
      <c r="D62" s="121">
        <v>0</v>
      </c>
      <c r="E62" s="122" t="e">
        <f t="shared" si="5"/>
        <v>#DIV/0!</v>
      </c>
      <c r="F62" s="121">
        <v>0</v>
      </c>
      <c r="G62" s="122" t="e">
        <f t="shared" si="6"/>
        <v>#DIV/0!</v>
      </c>
      <c r="H62" s="121">
        <v>0</v>
      </c>
      <c r="I62" s="116"/>
    </row>
    <row r="63" spans="1:9" ht="18">
      <c r="A63" s="158" t="s">
        <v>358</v>
      </c>
      <c r="B63" s="121">
        <v>0</v>
      </c>
      <c r="C63" s="122" t="e">
        <f t="shared" si="4"/>
        <v>#DIV/0!</v>
      </c>
      <c r="D63" s="121">
        <v>0</v>
      </c>
      <c r="E63" s="122" t="e">
        <f t="shared" si="5"/>
        <v>#DIV/0!</v>
      </c>
      <c r="F63" s="123">
        <v>0</v>
      </c>
      <c r="G63" s="122" t="e">
        <f t="shared" si="6"/>
        <v>#DIV/0!</v>
      </c>
      <c r="H63" s="123">
        <v>0</v>
      </c>
      <c r="I63" s="116"/>
    </row>
    <row r="64" spans="1:9" ht="26.25">
      <c r="A64" s="158" t="s">
        <v>359</v>
      </c>
      <c r="B64" s="121">
        <v>0</v>
      </c>
      <c r="C64" s="122" t="e">
        <f t="shared" si="4"/>
        <v>#DIV/0!</v>
      </c>
      <c r="D64" s="121">
        <v>0</v>
      </c>
      <c r="E64" s="122" t="e">
        <f t="shared" si="5"/>
        <v>#DIV/0!</v>
      </c>
      <c r="F64" s="121">
        <v>0</v>
      </c>
      <c r="G64" s="122" t="e">
        <f t="shared" si="6"/>
        <v>#DIV/0!</v>
      </c>
      <c r="H64" s="121">
        <v>0</v>
      </c>
      <c r="I64" s="116"/>
    </row>
    <row r="65" spans="1:10" ht="18">
      <c r="A65" s="202" t="s">
        <v>343</v>
      </c>
      <c r="B65" s="205">
        <f>B49+B50+B54+B64</f>
        <v>2</v>
      </c>
      <c r="C65" s="204" t="e">
        <f t="shared" si="4"/>
        <v>#DIV/0!</v>
      </c>
      <c r="D65" s="205">
        <f>D49+D50+D54+D64</f>
        <v>0</v>
      </c>
      <c r="E65" s="204" t="e">
        <f t="shared" si="5"/>
        <v>#DIV/0!</v>
      </c>
      <c r="F65" s="205">
        <f>F49+F50+F54+F64</f>
        <v>0</v>
      </c>
      <c r="G65" s="204" t="e">
        <f t="shared" si="6"/>
        <v>#DIV/0!</v>
      </c>
      <c r="H65" s="205">
        <f>H49+H50+H54+H64</f>
        <v>0</v>
      </c>
      <c r="I65" s="157"/>
    </row>
    <row r="66" spans="1:10" ht="18">
      <c r="A66" s="177"/>
      <c r="B66" s="177"/>
      <c r="C66" s="177"/>
      <c r="D66" s="177"/>
      <c r="E66" s="177"/>
      <c r="F66" s="177"/>
      <c r="G66" s="177"/>
      <c r="H66" s="177"/>
      <c r="I66" s="116"/>
      <c r="J66" s="133"/>
    </row>
    <row r="67" spans="1:10" ht="18">
      <c r="A67" s="737" t="s">
        <v>360</v>
      </c>
      <c r="B67" s="737"/>
      <c r="C67" s="737"/>
      <c r="D67" s="737"/>
      <c r="E67" s="737"/>
      <c r="F67" s="737"/>
      <c r="G67" s="737"/>
      <c r="H67" s="737"/>
      <c r="I67" s="116"/>
    </row>
    <row r="68" spans="1:10" ht="18">
      <c r="A68" s="737"/>
      <c r="B68" s="737"/>
      <c r="C68" s="737"/>
      <c r="D68" s="737"/>
      <c r="E68" s="737"/>
      <c r="F68" s="737"/>
      <c r="G68" s="737"/>
      <c r="H68" s="737"/>
      <c r="I68" s="116"/>
    </row>
    <row r="69" spans="1:10" ht="18.75" thickBot="1">
      <c r="A69" s="178" t="s">
        <v>361</v>
      </c>
      <c r="B69" s="179">
        <f>B57/B5*365</f>
        <v>1.2166686944478241E-3</v>
      </c>
      <c r="C69" s="178"/>
      <c r="D69" s="179">
        <f>D57/D5*365</f>
        <v>0</v>
      </c>
      <c r="E69" s="178"/>
      <c r="F69" s="179" t="e">
        <f>F57/F5*365</f>
        <v>#DIV/0!</v>
      </c>
      <c r="G69" s="178"/>
      <c r="H69" s="179" t="e">
        <f>H57/H5*365</f>
        <v>#DIV/0!</v>
      </c>
      <c r="I69" s="180"/>
    </row>
    <row r="70" spans="1:10" ht="18">
      <c r="A70" s="178" t="s">
        <v>362</v>
      </c>
      <c r="B70" s="179">
        <f>B56/(B10+B11+B12)*365</f>
        <v>0</v>
      </c>
      <c r="C70" s="178"/>
      <c r="D70" s="179">
        <f>D56/(D10+D11+D12)*365</f>
        <v>0</v>
      </c>
      <c r="E70" s="178"/>
      <c r="F70" s="179" t="e">
        <f>F56/(F10+F11+F12)*365</f>
        <v>#DIV/0!</v>
      </c>
      <c r="G70" s="178"/>
      <c r="H70" s="179" t="e">
        <f>H56/(H10+H11+H12)*365</f>
        <v>#DIV/0!</v>
      </c>
      <c r="I70" s="116"/>
    </row>
    <row r="71" spans="1:10" ht="18">
      <c r="A71" s="178" t="s">
        <v>363</v>
      </c>
      <c r="B71" s="179">
        <f>B56/(B11+B10+B12)</f>
        <v>0</v>
      </c>
      <c r="C71" s="178"/>
      <c r="D71" s="179">
        <f>D56/(D11+D10+D12)</f>
        <v>0</v>
      </c>
      <c r="E71" s="178"/>
      <c r="F71" s="179" t="e">
        <f>F56/(F11+F10+F12)</f>
        <v>#DIV/0!</v>
      </c>
      <c r="G71" s="178"/>
      <c r="H71" s="179" t="e">
        <f>H56/(H11+H10+H12)</f>
        <v>#DIV/0!</v>
      </c>
      <c r="I71" s="116"/>
    </row>
    <row r="72" spans="1:10" ht="18.75" thickBot="1">
      <c r="A72" s="178" t="s">
        <v>364</v>
      </c>
      <c r="B72" s="179">
        <f>B54/(B44+B40)</f>
        <v>1</v>
      </c>
      <c r="C72" s="178"/>
      <c r="D72" s="179" t="e">
        <f>D54/(D44+D40)</f>
        <v>#DIV/0!</v>
      </c>
      <c r="E72" s="178"/>
      <c r="F72" s="179" t="e">
        <f>F54/(F44+F40)</f>
        <v>#DIV/0!</v>
      </c>
      <c r="G72" s="178"/>
      <c r="H72" s="179" t="e">
        <f>H54/(H44+H40)</f>
        <v>#DIV/0!</v>
      </c>
      <c r="I72" s="116"/>
    </row>
    <row r="73" spans="1:10" ht="18.75" thickBot="1">
      <c r="A73" s="178" t="s">
        <v>365</v>
      </c>
      <c r="B73" s="179">
        <f>(B54-B56)/(B44+B40)</f>
        <v>1</v>
      </c>
      <c r="C73" s="178"/>
      <c r="D73" s="179" t="e">
        <f>(D54-D56)/(D44+D40)</f>
        <v>#DIV/0!</v>
      </c>
      <c r="E73" s="178"/>
      <c r="F73" s="179" t="e">
        <f>(F54-F56)/(F44+F40)</f>
        <v>#DIV/0!</v>
      </c>
      <c r="G73" s="178"/>
      <c r="H73" s="179" t="e">
        <f>(H54-H56)/(H44+H40)</f>
        <v>#DIV/0!</v>
      </c>
      <c r="I73" s="181"/>
    </row>
    <row r="74" spans="1:10" ht="18.75" thickBot="1">
      <c r="A74" s="178" t="s">
        <v>366</v>
      </c>
      <c r="B74" s="179">
        <f>(B39+B40+B42)/B36</f>
        <v>0.54545454545454541</v>
      </c>
      <c r="C74" s="178"/>
      <c r="D74" s="179" t="e">
        <f>(D39+D40+D42)/D36</f>
        <v>#DIV/0!</v>
      </c>
      <c r="E74" s="178"/>
      <c r="F74" s="179" t="e">
        <f>(F39+F40+F42)/F36</f>
        <v>#DIV/0!</v>
      </c>
      <c r="G74" s="178"/>
      <c r="H74" s="179" t="e">
        <f>(H39+H40+H42)/H36</f>
        <v>#DIV/0!</v>
      </c>
      <c r="I74" s="181"/>
    </row>
    <row r="75" spans="1:10" ht="18">
      <c r="A75" s="178" t="s">
        <v>367</v>
      </c>
      <c r="B75" s="179">
        <f>B16/(B18+B19+B20+B21)</f>
        <v>14613.658536585366</v>
      </c>
      <c r="C75" s="178"/>
      <c r="D75" s="179">
        <f>D16/(D18+D19+D20+D21)</f>
        <v>1.4878048780487805</v>
      </c>
      <c r="E75" s="178"/>
      <c r="F75" s="179">
        <f>F16/(F18+F19+F20+F21)</f>
        <v>0</v>
      </c>
      <c r="G75" s="178"/>
      <c r="H75" s="179">
        <f>H16/(H18+H19+H20+H21)</f>
        <v>0</v>
      </c>
      <c r="I75" s="116"/>
    </row>
    <row r="76" spans="1:10" ht="18">
      <c r="A76" s="178" t="s">
        <v>368</v>
      </c>
      <c r="B76" s="179">
        <f>$B$16/($B$18+$B$19+$B$20+$B$21+($B$39+$B$42)/5)</f>
        <v>13869.444444444443</v>
      </c>
      <c r="C76" s="178"/>
      <c r="D76" s="179">
        <f>$D$16/($D$18+$D$19+$D$20+$D$21+($D$39+$D$42)/5)</f>
        <v>1.4878048780487805</v>
      </c>
      <c r="E76" s="178"/>
      <c r="F76" s="179">
        <f>$F$16/($F$18+$F$19+$F$20+$F$21+($F$39+$F$42)/5)</f>
        <v>0</v>
      </c>
      <c r="G76" s="178"/>
      <c r="H76" s="179">
        <f>$H$16/($H$18+$H$19+$H$20+$H$21+($H$39+$H$42)/5)</f>
        <v>0</v>
      </c>
      <c r="I76" s="116"/>
    </row>
    <row r="77" spans="1:10" ht="18">
      <c r="A77" s="178" t="s">
        <v>369</v>
      </c>
      <c r="B77" s="179">
        <f>$B$16/($B$18+$B$19+$B$20+$B$21+($B$39+$B$42)/5+('Normal &amp; CGTMSE Eligibility'!F43))</f>
        <v>6.1364069307518827</v>
      </c>
      <c r="C77" s="178"/>
      <c r="D77" s="179">
        <f>$D$16/($D$18+$D$19+$D$20+$D$21+($D$39+$D$42)/5+('Normal &amp; CGTMSE Eligibility'!F43))</f>
        <v>6.2475675454228886E-4</v>
      </c>
      <c r="E77" s="178"/>
      <c r="F77" s="179">
        <f>$F$16/($F$18+$F$19+$F$20+$F$21+($F$39+$F$42)/5+('Normal &amp; CGTMSE Eligibility'!F43))</f>
        <v>0</v>
      </c>
      <c r="G77" s="178"/>
      <c r="H77" s="179">
        <f>$H$16/($H$18+$H$19+$H$20+$H$21+($H$39+$H$42)/5+('Normal &amp; CGTMSE Eligibility'!F43))</f>
        <v>0</v>
      </c>
      <c r="I77" s="116"/>
    </row>
    <row r="78" spans="1:10" ht="18">
      <c r="A78" s="178" t="s">
        <v>370</v>
      </c>
      <c r="B78" s="179">
        <f>(B13-B7)/B5*100</f>
        <v>99.860166433610715</v>
      </c>
      <c r="C78" s="178"/>
      <c r="D78" s="179">
        <f>(D13-D7)/D5*100</f>
        <v>8.7142857142857153</v>
      </c>
      <c r="E78" s="178"/>
      <c r="F78" s="179" t="e">
        <f>(F13-F7)/F5*100</f>
        <v>#DIV/0!</v>
      </c>
      <c r="G78" s="178"/>
      <c r="H78" s="179" t="e">
        <f>(H13-H7)/H5*100</f>
        <v>#DIV/0!</v>
      </c>
      <c r="I78" s="116"/>
    </row>
    <row r="79" spans="1:10" ht="18">
      <c r="A79" s="178" t="s">
        <v>371</v>
      </c>
      <c r="B79" s="179">
        <f>(B25-B7)/B5*100</f>
        <v>99.851166418610688</v>
      </c>
      <c r="C79" s="178"/>
      <c r="D79" s="179">
        <f>(D25-D7)/D5*100</f>
        <v>1.107142857142857</v>
      </c>
      <c r="E79" s="178"/>
      <c r="F79" s="179" t="e">
        <f>(F25-F7)/F5*100</f>
        <v>#DIV/0!</v>
      </c>
      <c r="G79" s="178"/>
      <c r="H79" s="179" t="e">
        <f>(H25-H7)/H5*100</f>
        <v>#DIV/0!</v>
      </c>
      <c r="I79" s="116"/>
    </row>
    <row r="80" spans="1:10" ht="18">
      <c r="A80" s="178" t="s">
        <v>372</v>
      </c>
      <c r="B80" s="179">
        <f>(B26-B7)/B5*100</f>
        <v>99.852333087221808</v>
      </c>
      <c r="C80" s="178"/>
      <c r="D80" s="179">
        <f>(D26-D7)/D5*100</f>
        <v>2</v>
      </c>
      <c r="E80" s="178"/>
      <c r="F80" s="179" t="e">
        <f>(F26-F7)/F5*100</f>
        <v>#DIV/0!</v>
      </c>
      <c r="G80" s="178"/>
      <c r="H80" s="179" t="e">
        <f>(H26-H7)/H5*100</f>
        <v>#DIV/0!</v>
      </c>
      <c r="I80" s="116"/>
    </row>
    <row r="81" spans="1:10" ht="18">
      <c r="A81" s="178" t="s">
        <v>373</v>
      </c>
      <c r="B81" s="182">
        <f>(B5-D5)/D5*100</f>
        <v>85614.142857142855</v>
      </c>
      <c r="C81" s="183"/>
      <c r="D81" s="182" t="e">
        <f>(D5-F5)/F5*100</f>
        <v>#DIV/0!</v>
      </c>
      <c r="E81" s="183"/>
      <c r="F81" s="182" t="e">
        <f>#N/A</f>
        <v>#N/A</v>
      </c>
      <c r="G81" s="183"/>
      <c r="H81" s="182" t="e">
        <f>#N/A</f>
        <v>#N/A</v>
      </c>
      <c r="I81" s="116"/>
      <c r="J81" s="133"/>
    </row>
    <row r="82" spans="1:10" ht="18">
      <c r="A82" s="178" t="s">
        <v>374</v>
      </c>
      <c r="B82" s="182">
        <f>(B25-D25)/D25*100</f>
        <v>4698809.8039215682</v>
      </c>
      <c r="C82" s="183"/>
      <c r="D82" s="182">
        <f>(D25-F25)/F25*100</f>
        <v>-737.5</v>
      </c>
      <c r="E82" s="183"/>
      <c r="F82" s="182" t="e">
        <f>#N/A</f>
        <v>#N/A</v>
      </c>
      <c r="G82" s="183"/>
      <c r="H82" s="182" t="e">
        <f>#N/A</f>
        <v>#N/A</v>
      </c>
      <c r="I82" s="116"/>
    </row>
    <row r="83" spans="1:10" ht="18">
      <c r="A83" s="178"/>
      <c r="B83" s="179"/>
      <c r="C83" s="178"/>
      <c r="D83" s="179"/>
      <c r="E83" s="178"/>
      <c r="F83" s="179"/>
      <c r="G83" s="178"/>
      <c r="H83" s="179"/>
      <c r="I83" s="116"/>
    </row>
    <row r="84" spans="1:10" ht="18">
      <c r="A84" s="184" t="s">
        <v>375</v>
      </c>
      <c r="B84" s="179"/>
      <c r="C84" s="178"/>
      <c r="D84" s="179"/>
      <c r="E84" s="178"/>
      <c r="F84" s="179"/>
      <c r="G84" s="178"/>
      <c r="H84" s="179"/>
      <c r="I84" s="116"/>
    </row>
    <row r="85" spans="1:10" ht="18">
      <c r="A85" s="184"/>
      <c r="B85" s="179"/>
      <c r="C85" s="178"/>
      <c r="D85" s="179"/>
      <c r="E85" s="178"/>
      <c r="F85" s="179"/>
      <c r="G85" s="178"/>
      <c r="H85" s="179"/>
      <c r="I85" s="116"/>
    </row>
    <row r="86" spans="1:10" ht="18">
      <c r="A86" s="178" t="s">
        <v>376</v>
      </c>
      <c r="B86" s="179">
        <f>B25</f>
        <v>599111</v>
      </c>
      <c r="C86" s="178"/>
      <c r="D86" s="179">
        <f>D25</f>
        <v>12.75</v>
      </c>
      <c r="E86" s="178"/>
      <c r="F86" s="179">
        <f>F25</f>
        <v>-2</v>
      </c>
      <c r="G86" s="178"/>
      <c r="H86" s="179">
        <f>H25</f>
        <v>-2</v>
      </c>
      <c r="I86" s="116"/>
    </row>
    <row r="87" spans="1:10" ht="18">
      <c r="A87" s="178" t="s">
        <v>377</v>
      </c>
      <c r="B87" s="179"/>
      <c r="C87" s="178"/>
      <c r="D87" s="179"/>
      <c r="E87" s="178"/>
      <c r="F87" s="179"/>
      <c r="G87" s="178"/>
      <c r="H87" s="179"/>
      <c r="I87" s="116"/>
    </row>
    <row r="88" spans="1:10" ht="18">
      <c r="A88" s="178" t="s">
        <v>378</v>
      </c>
      <c r="B88" s="179">
        <f>B17</f>
        <v>1</v>
      </c>
      <c r="C88" s="178"/>
      <c r="D88" s="179">
        <f>D17</f>
        <v>0.25</v>
      </c>
      <c r="E88" s="178"/>
      <c r="F88" s="179">
        <f>F17</f>
        <v>0</v>
      </c>
      <c r="G88" s="178"/>
      <c r="H88" s="179">
        <f>H17</f>
        <v>0</v>
      </c>
      <c r="I88" s="116"/>
    </row>
    <row r="89" spans="1:10" ht="18">
      <c r="A89" s="178" t="s">
        <v>379</v>
      </c>
      <c r="B89" s="179">
        <f>B22</f>
        <v>6</v>
      </c>
      <c r="C89" s="178"/>
      <c r="D89" s="179">
        <f>D22</f>
        <v>6</v>
      </c>
      <c r="E89" s="178"/>
      <c r="F89" s="179">
        <f>F22</f>
        <v>0</v>
      </c>
      <c r="G89" s="178"/>
      <c r="H89" s="179">
        <f>H22</f>
        <v>0</v>
      </c>
      <c r="I89" s="116"/>
    </row>
    <row r="90" spans="1:10" ht="18">
      <c r="A90" s="178" t="s">
        <v>380</v>
      </c>
      <c r="B90" s="179">
        <f>B27</f>
        <v>1</v>
      </c>
      <c r="C90" s="178"/>
      <c r="D90" s="179">
        <f>D27</f>
        <v>1</v>
      </c>
      <c r="E90" s="178"/>
      <c r="F90" s="179">
        <f>F27</f>
        <v>0</v>
      </c>
      <c r="G90" s="178"/>
      <c r="H90" s="179">
        <f>H27</f>
        <v>0</v>
      </c>
      <c r="I90" s="116"/>
    </row>
    <row r="91" spans="1:10" ht="18">
      <c r="A91" s="178" t="s">
        <v>381</v>
      </c>
      <c r="B91" s="179">
        <f>B28</f>
        <v>1</v>
      </c>
      <c r="C91" s="178"/>
      <c r="D91" s="179">
        <f>D28</f>
        <v>1</v>
      </c>
      <c r="E91" s="178"/>
      <c r="F91" s="179">
        <f>F28</f>
        <v>0</v>
      </c>
      <c r="G91" s="178"/>
      <c r="H91" s="179">
        <f>H28</f>
        <v>0</v>
      </c>
      <c r="I91" s="116"/>
    </row>
    <row r="92" spans="1:10" ht="18">
      <c r="A92" s="178" t="s">
        <v>382</v>
      </c>
      <c r="B92" s="179">
        <f>B24</f>
        <v>1</v>
      </c>
      <c r="C92" s="178"/>
      <c r="D92" s="179">
        <f>D24</f>
        <v>1</v>
      </c>
      <c r="E92" s="178"/>
      <c r="F92" s="179">
        <f>F24</f>
        <v>0</v>
      </c>
      <c r="G92" s="178"/>
      <c r="H92" s="179">
        <f>H24</f>
        <v>0</v>
      </c>
      <c r="I92" s="116"/>
    </row>
    <row r="93" spans="1:10" ht="18">
      <c r="A93" s="178" t="s">
        <v>383</v>
      </c>
      <c r="B93" s="179">
        <f>B18+B19+B20+B21</f>
        <v>41</v>
      </c>
      <c r="C93" s="178"/>
      <c r="D93" s="179">
        <f>D18+D19+D20+D21</f>
        <v>41</v>
      </c>
      <c r="E93" s="178"/>
      <c r="F93" s="179">
        <f>F18+F19+F20+F21</f>
        <v>2</v>
      </c>
      <c r="G93" s="178"/>
      <c r="H93" s="179">
        <f>H18+H19+H20+H21</f>
        <v>2</v>
      </c>
      <c r="I93" s="116"/>
    </row>
    <row r="94" spans="1:10" ht="26.25">
      <c r="A94" s="185" t="s">
        <v>384</v>
      </c>
      <c r="B94" s="186">
        <f>-B7</f>
        <v>-5</v>
      </c>
      <c r="C94" s="184"/>
      <c r="D94" s="186">
        <f>-D7</f>
        <v>-5</v>
      </c>
      <c r="E94" s="184"/>
      <c r="F94" s="186">
        <f>-F7</f>
        <v>0</v>
      </c>
      <c r="G94" s="184"/>
      <c r="H94" s="186">
        <f>-H7</f>
        <v>0</v>
      </c>
      <c r="I94" s="157"/>
    </row>
    <row r="95" spans="1:10" ht="18">
      <c r="A95" s="185"/>
      <c r="B95" s="186"/>
      <c r="C95" s="184"/>
      <c r="D95" s="186"/>
      <c r="E95" s="184"/>
      <c r="F95" s="186"/>
      <c r="G95" s="184"/>
      <c r="H95" s="186"/>
      <c r="I95" s="157"/>
    </row>
    <row r="96" spans="1:10" ht="18">
      <c r="A96" s="178" t="s">
        <v>385</v>
      </c>
      <c r="B96" s="179">
        <f>SUM(B86:B94)</f>
        <v>599157</v>
      </c>
      <c r="C96" s="178"/>
      <c r="D96" s="179">
        <f>SUM(D86:D94)</f>
        <v>58</v>
      </c>
      <c r="E96" s="178"/>
      <c r="F96" s="179">
        <f>SUM(F86:F94)</f>
        <v>0</v>
      </c>
      <c r="G96" s="178"/>
      <c r="H96" s="179">
        <f>SUM(H86:H94)</f>
        <v>0</v>
      </c>
      <c r="I96" s="116"/>
    </row>
    <row r="97" spans="1:9" ht="18">
      <c r="A97" s="178" t="s">
        <v>386</v>
      </c>
      <c r="B97" s="179">
        <f>D57-B57</f>
        <v>-2</v>
      </c>
      <c r="C97" s="178"/>
      <c r="D97" s="179">
        <f>F57-D57</f>
        <v>0</v>
      </c>
      <c r="E97" s="178"/>
      <c r="F97" s="179">
        <f>J57-F57</f>
        <v>0</v>
      </c>
      <c r="G97" s="178"/>
      <c r="H97" s="179">
        <f>L57-H57</f>
        <v>0</v>
      </c>
      <c r="I97" s="116"/>
    </row>
    <row r="98" spans="1:9" ht="18">
      <c r="A98" s="178" t="s">
        <v>387</v>
      </c>
      <c r="B98" s="179">
        <f>D56-B56</f>
        <v>0</v>
      </c>
      <c r="C98" s="178"/>
      <c r="D98" s="179">
        <f>F56-D56</f>
        <v>0</v>
      </c>
      <c r="E98" s="178"/>
      <c r="F98" s="179">
        <f>J56-F56</f>
        <v>0</v>
      </c>
      <c r="G98" s="178"/>
      <c r="H98" s="179">
        <f>L56-H56</f>
        <v>0</v>
      </c>
      <c r="I98" s="116"/>
    </row>
    <row r="99" spans="1:9" ht="18">
      <c r="A99" s="178" t="s">
        <v>388</v>
      </c>
      <c r="B99" s="179">
        <f>D61-B61</f>
        <v>0</v>
      </c>
      <c r="C99" s="178"/>
      <c r="D99" s="179">
        <f>F61-D61</f>
        <v>0</v>
      </c>
      <c r="E99" s="178"/>
      <c r="F99" s="179">
        <f>J61-F61</f>
        <v>0</v>
      </c>
      <c r="G99" s="178"/>
      <c r="H99" s="179">
        <f>L61-H61</f>
        <v>0</v>
      </c>
      <c r="I99" s="116"/>
    </row>
    <row r="100" spans="1:9" ht="18">
      <c r="A100" s="178" t="s">
        <v>389</v>
      </c>
      <c r="B100" s="179">
        <f>B44-D44</f>
        <v>1</v>
      </c>
      <c r="C100" s="178"/>
      <c r="D100" s="179">
        <f>D44-F44</f>
        <v>0</v>
      </c>
      <c r="E100" s="178"/>
      <c r="F100" s="179">
        <f>F44-J44</f>
        <v>0</v>
      </c>
      <c r="G100" s="178"/>
      <c r="H100" s="179">
        <f>H44-L44</f>
        <v>0</v>
      </c>
      <c r="I100" s="116"/>
    </row>
    <row r="101" spans="1:9" ht="18">
      <c r="A101" s="178" t="s">
        <v>390</v>
      </c>
      <c r="B101" s="179">
        <f>SUM(B97:B100)</f>
        <v>-1</v>
      </c>
      <c r="C101" s="178"/>
      <c r="D101" s="179">
        <f>SUM(D97:D100)</f>
        <v>0</v>
      </c>
      <c r="E101" s="178"/>
      <c r="F101" s="179">
        <f>SUM(F97:F100)</f>
        <v>0</v>
      </c>
      <c r="G101" s="178"/>
      <c r="H101" s="179">
        <f>SUM(H97:H100)</f>
        <v>0</v>
      </c>
      <c r="I101" s="116"/>
    </row>
    <row r="102" spans="1:9" ht="18">
      <c r="A102" s="184" t="s">
        <v>391</v>
      </c>
      <c r="B102" s="186">
        <f>B96+B101</f>
        <v>599156</v>
      </c>
      <c r="C102" s="184"/>
      <c r="D102" s="186">
        <f>D96+D101</f>
        <v>58</v>
      </c>
      <c r="E102" s="184"/>
      <c r="F102" s="186">
        <f>F96+F101</f>
        <v>0</v>
      </c>
      <c r="G102" s="184"/>
      <c r="H102" s="186">
        <f>H96+H101</f>
        <v>0</v>
      </c>
      <c r="I102" s="157"/>
    </row>
    <row r="103" spans="1:9" ht="18">
      <c r="A103" s="184"/>
      <c r="B103" s="186"/>
      <c r="C103" s="184"/>
      <c r="D103" s="186"/>
      <c r="E103" s="184"/>
      <c r="F103" s="186"/>
      <c r="G103" s="184"/>
      <c r="H103" s="186"/>
      <c r="I103" s="157"/>
    </row>
    <row r="104" spans="1:9" ht="18">
      <c r="A104" s="178" t="s">
        <v>392</v>
      </c>
      <c r="B104" s="179">
        <f>B24</f>
        <v>1</v>
      </c>
      <c r="C104" s="178"/>
      <c r="D104" s="179">
        <f>D24</f>
        <v>1</v>
      </c>
      <c r="E104" s="178"/>
      <c r="F104" s="179">
        <f>F24</f>
        <v>0</v>
      </c>
      <c r="G104" s="178"/>
      <c r="H104" s="179">
        <f>H24</f>
        <v>0</v>
      </c>
      <c r="I104" s="116"/>
    </row>
    <row r="105" spans="1:9" ht="18">
      <c r="A105" s="178"/>
      <c r="B105" s="179"/>
      <c r="C105" s="178"/>
      <c r="D105" s="179"/>
      <c r="E105" s="178"/>
      <c r="F105" s="179"/>
      <c r="G105" s="178"/>
      <c r="H105" s="179"/>
      <c r="I105" s="116"/>
    </row>
    <row r="106" spans="1:9" ht="18">
      <c r="A106" s="184" t="s">
        <v>393</v>
      </c>
      <c r="B106" s="179">
        <f>B102-B104</f>
        <v>599155</v>
      </c>
      <c r="C106" s="178"/>
      <c r="D106" s="179">
        <f>D102-D104</f>
        <v>57</v>
      </c>
      <c r="E106" s="178"/>
      <c r="F106" s="179">
        <f>F102-F104</f>
        <v>0</v>
      </c>
      <c r="G106" s="178"/>
      <c r="H106" s="179">
        <f>H102-H104</f>
        <v>0</v>
      </c>
      <c r="I106" s="116"/>
    </row>
    <row r="107" spans="1:9" ht="18"/>
  </sheetData>
  <mergeCells count="9">
    <mergeCell ref="A67:H68"/>
    <mergeCell ref="A1:H2"/>
    <mergeCell ref="I1:I2"/>
    <mergeCell ref="A3:A4"/>
    <mergeCell ref="A32:A33"/>
    <mergeCell ref="B32:B33"/>
    <mergeCell ref="D32:D33"/>
    <mergeCell ref="F32:F33"/>
    <mergeCell ref="H32:H33"/>
  </mergeCells>
  <conditionalFormatting sqref="B65 B48">
    <cfRule type="expression" dxfId="201" priority="4">
      <formula>$B$48&lt;&gt;$B$65</formula>
    </cfRule>
  </conditionalFormatting>
  <conditionalFormatting sqref="D65 D48">
    <cfRule type="expression" dxfId="200" priority="3">
      <formula>$D$48&lt;&gt;$D$65</formula>
    </cfRule>
  </conditionalFormatting>
  <conditionalFormatting sqref="F48 F65">
    <cfRule type="expression" dxfId="199" priority="2">
      <formula>$F$65&lt;&gt;$F$48</formula>
    </cfRule>
  </conditionalFormatting>
  <conditionalFormatting sqref="H48 H65">
    <cfRule type="expression" dxfId="198" priority="1">
      <formula>$H$48&lt;&gt;$H$65</formula>
    </cfRule>
  </conditionalFormatting>
  <pageMargins left="0.78749999999999998" right="0.78749999999999998" top="1.0249999999999999" bottom="1.0249999999999999" header="0.78749999999999998" footer="0.78749999999999998"/>
  <pageSetup scale="58" firstPageNumber="0" orientation="portrait" horizontalDpi="300" verticalDpi="300" r:id="rId1"/>
  <headerFooter alignWithMargins="0">
    <oddHeader>&amp;C&amp;"Arial,Regular"&amp;10&amp;A</oddHeader>
    <oddFooter>&amp;C&amp;"Arial,Regular"&amp;10Page &amp;P</oddFooter>
  </headerFooter>
  <rowBreaks count="2" manualBreakCount="2">
    <brk id="30" max="16383" man="1"/>
    <brk id="6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L107"/>
  <sheetViews>
    <sheetView view="pageBreakPreview" topLeftCell="A47" zoomScale="90" zoomScaleSheetLayoutView="90" workbookViewId="0">
      <selection activeCell="B59" sqref="B59"/>
    </sheetView>
  </sheetViews>
  <sheetFormatPr defaultColWidth="13.5703125" defaultRowHeight="32.1" customHeight="1"/>
  <cols>
    <col min="1" max="1" width="37.28515625" style="116" customWidth="1"/>
    <col min="2" max="2" width="10.42578125" style="116" customWidth="1"/>
    <col min="3" max="3" width="12.7109375" style="116" customWidth="1"/>
    <col min="4" max="4" width="10.140625" style="133" customWidth="1"/>
    <col min="5" max="5" width="12.28515625" style="116" customWidth="1"/>
    <col min="6" max="6" width="15.7109375" style="133" customWidth="1"/>
    <col min="7" max="7" width="12.28515625" style="116" customWidth="1"/>
    <col min="8" max="8" width="15.7109375" style="133" customWidth="1"/>
    <col min="9" max="9" width="17.42578125" style="133" bestFit="1" customWidth="1"/>
    <col min="10" max="10" width="22" style="116" customWidth="1"/>
    <col min="11" max="11" width="12" style="116" customWidth="1"/>
    <col min="12" max="16384" width="13.5703125" style="116"/>
  </cols>
  <sheetData>
    <row r="1" spans="1:10" ht="18">
      <c r="A1" s="738"/>
      <c r="B1" s="738"/>
      <c r="C1" s="738"/>
      <c r="D1" s="738"/>
      <c r="E1" s="738"/>
      <c r="F1" s="738"/>
      <c r="G1" s="738"/>
      <c r="H1" s="738"/>
      <c r="I1" s="739"/>
    </row>
    <row r="2" spans="1:10" ht="7.5" customHeight="1">
      <c r="A2" s="738"/>
      <c r="B2" s="738"/>
      <c r="C2" s="738"/>
      <c r="D2" s="738"/>
      <c r="E2" s="738"/>
      <c r="F2" s="738"/>
      <c r="G2" s="738"/>
      <c r="H2" s="738"/>
      <c r="I2" s="739"/>
    </row>
    <row r="3" spans="1:10" ht="18">
      <c r="A3" s="740" t="s">
        <v>301</v>
      </c>
      <c r="B3" s="117" t="s">
        <v>558</v>
      </c>
      <c r="C3" s="118" t="s">
        <v>303</v>
      </c>
      <c r="D3" s="117" t="s">
        <v>559</v>
      </c>
      <c r="E3" s="118" t="s">
        <v>303</v>
      </c>
      <c r="F3" s="117" t="s">
        <v>560</v>
      </c>
      <c r="G3" s="118" t="s">
        <v>303</v>
      </c>
      <c r="H3" s="117" t="s">
        <v>561</v>
      </c>
      <c r="I3" s="119"/>
    </row>
    <row r="4" spans="1:10" ht="18">
      <c r="A4" s="740"/>
      <c r="B4" s="118" t="s">
        <v>307</v>
      </c>
      <c r="C4" s="117" t="s">
        <v>562</v>
      </c>
      <c r="D4" s="118" t="s">
        <v>307</v>
      </c>
      <c r="E4" s="117" t="s">
        <v>563</v>
      </c>
      <c r="F4" s="118" t="s">
        <v>307</v>
      </c>
      <c r="G4" s="117" t="s">
        <v>564</v>
      </c>
      <c r="H4" s="118" t="s">
        <v>307</v>
      </c>
      <c r="I4" s="119"/>
    </row>
    <row r="5" spans="1:10" ht="18">
      <c r="A5" s="120" t="s">
        <v>185</v>
      </c>
      <c r="B5" s="121"/>
      <c r="C5" s="122" t="e">
        <f>(B5-D5)/D5*100</f>
        <v>#DIV/0!</v>
      </c>
      <c r="D5" s="121"/>
      <c r="E5" s="122" t="e">
        <f>(D5-F5)/F5*100</f>
        <v>#DIV/0!</v>
      </c>
      <c r="F5" s="123"/>
      <c r="G5" s="122" t="e">
        <f>(F5-H5)/H5*100</f>
        <v>#DIV/0!</v>
      </c>
      <c r="H5" s="123"/>
      <c r="I5" s="124"/>
    </row>
    <row r="6" spans="1:10" ht="25.35" customHeight="1">
      <c r="A6" s="125" t="s">
        <v>311</v>
      </c>
      <c r="B6" s="121"/>
      <c r="C6" s="122" t="e">
        <f>(B6-D6)/D6*100</f>
        <v>#DIV/0!</v>
      </c>
      <c r="D6" s="121"/>
      <c r="E6" s="122" t="e">
        <f>(D6-F6)/F6*100</f>
        <v>#DIV/0!</v>
      </c>
      <c r="F6" s="121"/>
      <c r="G6" s="122" t="e">
        <f>(F6-H6)/H6*100</f>
        <v>#DIV/0!</v>
      </c>
      <c r="H6" s="121"/>
      <c r="I6" s="124"/>
    </row>
    <row r="7" spans="1:10" ht="18">
      <c r="A7" s="125" t="s">
        <v>312</v>
      </c>
      <c r="B7" s="121"/>
      <c r="C7" s="122" t="e">
        <f>(B7-D7)/D7*100</f>
        <v>#DIV/0!</v>
      </c>
      <c r="D7" s="121"/>
      <c r="E7" s="122" t="e">
        <f>(D7-F7)/F7*100</f>
        <v>#DIV/0!</v>
      </c>
      <c r="F7" s="121"/>
      <c r="G7" s="122" t="e">
        <f>(F7-H7)/H7*100</f>
        <v>#DIV/0!</v>
      </c>
      <c r="H7" s="121"/>
      <c r="I7" s="124"/>
    </row>
    <row r="8" spans="1:10" ht="18.75" thickBot="1">
      <c r="A8" s="126" t="s">
        <v>313</v>
      </c>
      <c r="B8" s="127">
        <f>B5+B6+B7</f>
        <v>0</v>
      </c>
      <c r="C8" s="122" t="e">
        <f>(B8-D8)/D8*100</f>
        <v>#DIV/0!</v>
      </c>
      <c r="D8" s="127">
        <f>D5+D6+D7</f>
        <v>0</v>
      </c>
      <c r="E8" s="122" t="e">
        <f>(D8-F8)/F8*100</f>
        <v>#DIV/0!</v>
      </c>
      <c r="F8" s="127">
        <f>F5+F6+F7</f>
        <v>0</v>
      </c>
      <c r="G8" s="122" t="e">
        <f>(F8-H8)/H8*100</f>
        <v>#DIV/0!</v>
      </c>
      <c r="H8" s="127">
        <f>H5+H6+H7</f>
        <v>0</v>
      </c>
      <c r="I8" s="124"/>
    </row>
    <row r="9" spans="1:10" ht="39" thickBot="1">
      <c r="A9" s="126"/>
      <c r="B9" s="127"/>
      <c r="C9" s="128" t="s">
        <v>565</v>
      </c>
      <c r="D9" s="127"/>
      <c r="E9" s="128" t="s">
        <v>566</v>
      </c>
      <c r="F9" s="129"/>
      <c r="G9" s="128" t="s">
        <v>567</v>
      </c>
      <c r="H9" s="129"/>
      <c r="I9" s="130" t="s">
        <v>568</v>
      </c>
    </row>
    <row r="10" spans="1:10" ht="18.75" thickBot="1">
      <c r="A10" s="131" t="s">
        <v>314</v>
      </c>
      <c r="B10" s="121"/>
      <c r="C10" s="122" t="e">
        <f t="shared" ref="C10:C29" si="0">B10/$B$5*100</f>
        <v>#DIV/0!</v>
      </c>
      <c r="D10" s="121"/>
      <c r="E10" s="122" t="e">
        <f t="shared" ref="E10:E29" si="1">D10/$D$5*100</f>
        <v>#DIV/0!</v>
      </c>
      <c r="F10" s="121"/>
      <c r="G10" s="122" t="e">
        <f t="shared" ref="G10:G29" si="2">F10/$F$5*100</f>
        <v>#DIV/0!</v>
      </c>
      <c r="H10" s="121"/>
      <c r="I10" s="132" t="e">
        <f t="shared" ref="I10:I29" si="3">H10/$H$5*100</f>
        <v>#DIV/0!</v>
      </c>
    </row>
    <row r="11" spans="1:10" ht="18.75" thickBot="1">
      <c r="A11" s="131" t="s">
        <v>315</v>
      </c>
      <c r="B11" s="121"/>
      <c r="C11" s="122" t="e">
        <f t="shared" si="0"/>
        <v>#DIV/0!</v>
      </c>
      <c r="D11" s="121"/>
      <c r="E11" s="122" t="e">
        <f t="shared" si="1"/>
        <v>#DIV/0!</v>
      </c>
      <c r="F11" s="123"/>
      <c r="G11" s="122" t="e">
        <f t="shared" si="2"/>
        <v>#DIV/0!</v>
      </c>
      <c r="H11" s="123"/>
      <c r="I11" s="132" t="e">
        <f t="shared" si="3"/>
        <v>#DIV/0!</v>
      </c>
      <c r="J11" s="133"/>
    </row>
    <row r="12" spans="1:10" ht="18.75" thickBot="1">
      <c r="A12" s="131" t="s">
        <v>316</v>
      </c>
      <c r="B12" s="121"/>
      <c r="C12" s="122" t="e">
        <f t="shared" si="0"/>
        <v>#DIV/0!</v>
      </c>
      <c r="D12" s="121"/>
      <c r="E12" s="122" t="e">
        <f t="shared" si="1"/>
        <v>#DIV/0!</v>
      </c>
      <c r="F12" s="123"/>
      <c r="G12" s="122" t="e">
        <f t="shared" si="2"/>
        <v>#DIV/0!</v>
      </c>
      <c r="H12" s="123"/>
      <c r="I12" s="132" t="e">
        <f t="shared" si="3"/>
        <v>#DIV/0!</v>
      </c>
    </row>
    <row r="13" spans="1:10" ht="18.75" thickBot="1">
      <c r="A13" s="134" t="s">
        <v>317</v>
      </c>
      <c r="B13" s="135">
        <f>B8-B10-B11-B12</f>
        <v>0</v>
      </c>
      <c r="C13" s="122" t="e">
        <f t="shared" si="0"/>
        <v>#DIV/0!</v>
      </c>
      <c r="D13" s="135">
        <f>D8-D10-D11-D12</f>
        <v>0</v>
      </c>
      <c r="E13" s="122" t="e">
        <f t="shared" si="1"/>
        <v>#DIV/0!</v>
      </c>
      <c r="F13" s="135">
        <f>F8-F10-F11-F12</f>
        <v>0</v>
      </c>
      <c r="G13" s="122" t="e">
        <f t="shared" si="2"/>
        <v>#DIV/0!</v>
      </c>
      <c r="H13" s="135">
        <f>H8-H10-H11-H12</f>
        <v>0</v>
      </c>
      <c r="I13" s="132" t="e">
        <f t="shared" si="3"/>
        <v>#DIV/0!</v>
      </c>
    </row>
    <row r="14" spans="1:10" ht="18.75" thickBot="1">
      <c r="A14" s="136" t="s">
        <v>318</v>
      </c>
      <c r="B14" s="121"/>
      <c r="C14" s="122" t="e">
        <f t="shared" si="0"/>
        <v>#DIV/0!</v>
      </c>
      <c r="D14" s="121"/>
      <c r="E14" s="122" t="e">
        <f t="shared" si="1"/>
        <v>#DIV/0!</v>
      </c>
      <c r="F14" s="123"/>
      <c r="G14" s="122" t="e">
        <f t="shared" si="2"/>
        <v>#DIV/0!</v>
      </c>
      <c r="H14" s="123"/>
      <c r="I14" s="132" t="e">
        <f t="shared" si="3"/>
        <v>#DIV/0!</v>
      </c>
      <c r="J14" s="133"/>
    </row>
    <row r="15" spans="1:10" ht="18.75" thickBot="1">
      <c r="A15" s="136" t="s">
        <v>319</v>
      </c>
      <c r="B15" s="121"/>
      <c r="C15" s="122" t="e">
        <f t="shared" si="0"/>
        <v>#DIV/0!</v>
      </c>
      <c r="D15" s="121"/>
      <c r="E15" s="122" t="e">
        <f t="shared" si="1"/>
        <v>#DIV/0!</v>
      </c>
      <c r="F15" s="123"/>
      <c r="G15" s="122" t="e">
        <f t="shared" si="2"/>
        <v>#DIV/0!</v>
      </c>
      <c r="H15" s="123"/>
      <c r="I15" s="132" t="e">
        <f t="shared" si="3"/>
        <v>#DIV/0!</v>
      </c>
      <c r="J15" s="133"/>
    </row>
    <row r="16" spans="1:10" ht="18.75" thickBot="1">
      <c r="A16" s="134" t="s">
        <v>320</v>
      </c>
      <c r="B16" s="135">
        <f>B13-B14-B15</f>
        <v>0</v>
      </c>
      <c r="C16" s="122" t="e">
        <f t="shared" si="0"/>
        <v>#DIV/0!</v>
      </c>
      <c r="D16" s="135">
        <f>D13-D14-D15</f>
        <v>0</v>
      </c>
      <c r="E16" s="122" t="e">
        <f t="shared" si="1"/>
        <v>#DIV/0!</v>
      </c>
      <c r="F16" s="135">
        <f>F13-F14-F15</f>
        <v>0</v>
      </c>
      <c r="G16" s="122" t="e">
        <f t="shared" si="2"/>
        <v>#DIV/0!</v>
      </c>
      <c r="H16" s="135">
        <f>H13-H14-H15</f>
        <v>0</v>
      </c>
      <c r="I16" s="132" t="e">
        <f t="shared" si="3"/>
        <v>#DIV/0!</v>
      </c>
    </row>
    <row r="17" spans="1:12" ht="18.75" thickBot="1">
      <c r="A17" s="137" t="s">
        <v>218</v>
      </c>
      <c r="B17" s="121"/>
      <c r="C17" s="122" t="e">
        <f t="shared" si="0"/>
        <v>#DIV/0!</v>
      </c>
      <c r="D17" s="121"/>
      <c r="E17" s="122" t="e">
        <f t="shared" si="1"/>
        <v>#DIV/0!</v>
      </c>
      <c r="F17" s="123"/>
      <c r="G17" s="122" t="e">
        <f t="shared" si="2"/>
        <v>#DIV/0!</v>
      </c>
      <c r="H17" s="123"/>
      <c r="I17" s="132" t="e">
        <f t="shared" si="3"/>
        <v>#DIV/0!</v>
      </c>
      <c r="L17" s="138"/>
    </row>
    <row r="18" spans="1:12" s="138" customFormat="1" ht="18.75" thickBot="1">
      <c r="A18" s="131" t="s">
        <v>321</v>
      </c>
      <c r="B18" s="121"/>
      <c r="C18" s="122" t="e">
        <f t="shared" si="0"/>
        <v>#DIV/0!</v>
      </c>
      <c r="D18" s="121"/>
      <c r="E18" s="122" t="e">
        <f t="shared" si="1"/>
        <v>#DIV/0!</v>
      </c>
      <c r="F18" s="123"/>
      <c r="G18" s="122" t="e">
        <f t="shared" si="2"/>
        <v>#DIV/0!</v>
      </c>
      <c r="H18" s="123"/>
      <c r="I18" s="132" t="e">
        <f t="shared" si="3"/>
        <v>#DIV/0!</v>
      </c>
      <c r="L18" s="116"/>
    </row>
    <row r="19" spans="1:12" s="138" customFormat="1" ht="18.75" thickBot="1">
      <c r="A19" s="131" t="s">
        <v>322</v>
      </c>
      <c r="B19" s="121"/>
      <c r="C19" s="122" t="e">
        <f t="shared" si="0"/>
        <v>#DIV/0!</v>
      </c>
      <c r="D19" s="121"/>
      <c r="E19" s="122" t="e">
        <f t="shared" si="1"/>
        <v>#DIV/0!</v>
      </c>
      <c r="F19" s="123"/>
      <c r="G19" s="122" t="e">
        <f t="shared" si="2"/>
        <v>#DIV/0!</v>
      </c>
      <c r="H19" s="123"/>
      <c r="I19" s="132" t="e">
        <f t="shared" si="3"/>
        <v>#DIV/0!</v>
      </c>
      <c r="L19" s="116"/>
    </row>
    <row r="20" spans="1:12" s="138" customFormat="1" ht="18.75" thickBot="1">
      <c r="A20" s="131" t="s">
        <v>323</v>
      </c>
      <c r="B20" s="121"/>
      <c r="C20" s="122" t="e">
        <f t="shared" si="0"/>
        <v>#DIV/0!</v>
      </c>
      <c r="D20" s="121"/>
      <c r="E20" s="122" t="e">
        <f t="shared" si="1"/>
        <v>#DIV/0!</v>
      </c>
      <c r="F20" s="123"/>
      <c r="G20" s="122" t="e">
        <f t="shared" si="2"/>
        <v>#DIV/0!</v>
      </c>
      <c r="H20" s="123"/>
      <c r="I20" s="132" t="e">
        <f t="shared" si="3"/>
        <v>#DIV/0!</v>
      </c>
      <c r="L20" s="116"/>
    </row>
    <row r="21" spans="1:12" s="138" customFormat="1" ht="18.75" thickBot="1">
      <c r="A21" s="131" t="s">
        <v>324</v>
      </c>
      <c r="B21" s="121"/>
      <c r="C21" s="122" t="e">
        <f t="shared" si="0"/>
        <v>#DIV/0!</v>
      </c>
      <c r="D21" s="121"/>
      <c r="E21" s="122" t="e">
        <f t="shared" si="1"/>
        <v>#DIV/0!</v>
      </c>
      <c r="F21" s="123"/>
      <c r="G21" s="122" t="e">
        <f t="shared" si="2"/>
        <v>#DIV/0!</v>
      </c>
      <c r="H21" s="123"/>
      <c r="I21" s="132" t="e">
        <f t="shared" si="3"/>
        <v>#DIV/0!</v>
      </c>
      <c r="L21" s="116"/>
    </row>
    <row r="22" spans="1:12" ht="18.75" thickBot="1">
      <c r="A22" s="137" t="s">
        <v>325</v>
      </c>
      <c r="B22" s="121"/>
      <c r="C22" s="122" t="e">
        <f t="shared" si="0"/>
        <v>#DIV/0!</v>
      </c>
      <c r="D22" s="121"/>
      <c r="E22" s="122" t="e">
        <f t="shared" si="1"/>
        <v>#DIV/0!</v>
      </c>
      <c r="F22" s="123"/>
      <c r="G22" s="122" t="e">
        <f t="shared" si="2"/>
        <v>#DIV/0!</v>
      </c>
      <c r="H22" s="123"/>
      <c r="I22" s="132" t="e">
        <f t="shared" si="3"/>
        <v>#DIV/0!</v>
      </c>
    </row>
    <row r="23" spans="1:12" ht="18.75" thickBot="1">
      <c r="A23" s="139" t="s">
        <v>326</v>
      </c>
      <c r="B23" s="140">
        <f>B16-B17-B18-B22-B21-B19-B20</f>
        <v>0</v>
      </c>
      <c r="C23" s="122" t="e">
        <f t="shared" si="0"/>
        <v>#DIV/0!</v>
      </c>
      <c r="D23" s="140">
        <f>D16-D17-D18-D22-D21-D19-D20</f>
        <v>0</v>
      </c>
      <c r="E23" s="122" t="e">
        <f t="shared" si="1"/>
        <v>#DIV/0!</v>
      </c>
      <c r="F23" s="140">
        <f>F16-F17-F18-F22-F21-F19-F20</f>
        <v>0</v>
      </c>
      <c r="G23" s="122" t="e">
        <f t="shared" si="2"/>
        <v>#DIV/0!</v>
      </c>
      <c r="H23" s="140">
        <f>H16-H17-H18-H22-H21-H19-H20</f>
        <v>0</v>
      </c>
      <c r="I23" s="132" t="e">
        <f t="shared" si="3"/>
        <v>#DIV/0!</v>
      </c>
    </row>
    <row r="24" spans="1:12" ht="18.75" thickBot="1">
      <c r="A24" s="125" t="s">
        <v>327</v>
      </c>
      <c r="B24" s="121"/>
      <c r="C24" s="122" t="e">
        <f t="shared" si="0"/>
        <v>#DIV/0!</v>
      </c>
      <c r="D24" s="121"/>
      <c r="E24" s="122" t="e">
        <f t="shared" si="1"/>
        <v>#DIV/0!</v>
      </c>
      <c r="F24" s="121"/>
      <c r="G24" s="122" t="e">
        <f t="shared" si="2"/>
        <v>#DIV/0!</v>
      </c>
      <c r="H24" s="121"/>
      <c r="I24" s="132" t="e">
        <f t="shared" si="3"/>
        <v>#DIV/0!</v>
      </c>
      <c r="K24" s="141"/>
    </row>
    <row r="25" spans="1:12" ht="18.75" thickBot="1">
      <c r="A25" s="142" t="s">
        <v>186</v>
      </c>
      <c r="B25" s="127">
        <f>B23-B24</f>
        <v>0</v>
      </c>
      <c r="C25" s="143" t="e">
        <f t="shared" si="0"/>
        <v>#DIV/0!</v>
      </c>
      <c r="D25" s="127">
        <f>D23-D24</f>
        <v>0</v>
      </c>
      <c r="E25" s="143" t="e">
        <f t="shared" si="1"/>
        <v>#DIV/0!</v>
      </c>
      <c r="F25" s="127">
        <f>F23-F24</f>
        <v>0</v>
      </c>
      <c r="G25" s="122" t="e">
        <f t="shared" si="2"/>
        <v>#DIV/0!</v>
      </c>
      <c r="H25" s="127">
        <f>H23-H24</f>
        <v>0</v>
      </c>
      <c r="I25" s="132" t="e">
        <f t="shared" si="3"/>
        <v>#DIV/0!</v>
      </c>
      <c r="J25" s="144"/>
    </row>
    <row r="26" spans="1:12" ht="18.75" thickBot="1">
      <c r="A26" s="139" t="s">
        <v>328</v>
      </c>
      <c r="B26" s="140">
        <f>B25+B17+B22</f>
        <v>0</v>
      </c>
      <c r="C26" s="122" t="e">
        <f t="shared" si="0"/>
        <v>#DIV/0!</v>
      </c>
      <c r="D26" s="140">
        <f>D25+D17+D22</f>
        <v>0</v>
      </c>
      <c r="E26" s="122" t="e">
        <f t="shared" si="1"/>
        <v>#DIV/0!</v>
      </c>
      <c r="F26" s="140">
        <f>F25+F17+F22</f>
        <v>0</v>
      </c>
      <c r="G26" s="122" t="e">
        <f t="shared" si="2"/>
        <v>#DIV/0!</v>
      </c>
      <c r="H26" s="140">
        <f>H25+H17+H22</f>
        <v>0</v>
      </c>
      <c r="I26" s="132" t="e">
        <f t="shared" si="3"/>
        <v>#DIV/0!</v>
      </c>
    </row>
    <row r="27" spans="1:12" ht="18.75" thickBot="1">
      <c r="A27" s="145" t="s">
        <v>329</v>
      </c>
      <c r="B27" s="121"/>
      <c r="C27" s="122" t="e">
        <f t="shared" si="0"/>
        <v>#DIV/0!</v>
      </c>
      <c r="D27" s="121"/>
      <c r="E27" s="122" t="e">
        <f t="shared" si="1"/>
        <v>#DIV/0!</v>
      </c>
      <c r="F27" s="121"/>
      <c r="G27" s="122" t="e">
        <f t="shared" si="2"/>
        <v>#DIV/0!</v>
      </c>
      <c r="H27" s="121"/>
      <c r="I27" s="132" t="e">
        <f t="shared" si="3"/>
        <v>#DIV/0!</v>
      </c>
    </row>
    <row r="28" spans="1:12" ht="18.75" thickBot="1">
      <c r="A28" s="145" t="s">
        <v>220</v>
      </c>
      <c r="B28" s="121"/>
      <c r="C28" s="122" t="e">
        <f t="shared" si="0"/>
        <v>#DIV/0!</v>
      </c>
      <c r="D28" s="121"/>
      <c r="E28" s="122" t="e">
        <f t="shared" si="1"/>
        <v>#DIV/0!</v>
      </c>
      <c r="F28" s="121"/>
      <c r="G28" s="122" t="e">
        <f t="shared" si="2"/>
        <v>#DIV/0!</v>
      </c>
      <c r="H28" s="121"/>
      <c r="I28" s="132" t="e">
        <f t="shared" si="3"/>
        <v>#DIV/0!</v>
      </c>
    </row>
    <row r="29" spans="1:12" ht="18.75" thickBot="1">
      <c r="A29" s="146" t="s">
        <v>187</v>
      </c>
      <c r="B29" s="147">
        <f>B26+B27+B28</f>
        <v>0</v>
      </c>
      <c r="C29" s="143" t="e">
        <f t="shared" si="0"/>
        <v>#DIV/0!</v>
      </c>
      <c r="D29" s="147">
        <f>D26+D27+D28</f>
        <v>0</v>
      </c>
      <c r="E29" s="143" t="e">
        <f t="shared" si="1"/>
        <v>#DIV/0!</v>
      </c>
      <c r="F29" s="147">
        <f>F26+F27+F28</f>
        <v>0</v>
      </c>
      <c r="G29" s="122" t="e">
        <f t="shared" si="2"/>
        <v>#DIV/0!</v>
      </c>
      <c r="H29" s="147">
        <f>H26+H27+H28</f>
        <v>0</v>
      </c>
      <c r="I29" s="132" t="e">
        <f t="shared" si="3"/>
        <v>#DIV/0!</v>
      </c>
    </row>
    <row r="30" spans="1:12" ht="18.75" thickBot="1">
      <c r="A30" s="146"/>
      <c r="B30" s="147"/>
      <c r="C30" s="143"/>
      <c r="D30" s="147"/>
      <c r="E30" s="143"/>
      <c r="F30" s="147"/>
      <c r="G30" s="143"/>
      <c r="H30" s="147"/>
      <c r="I30" s="148"/>
      <c r="J30" s="149"/>
    </row>
    <row r="31" spans="1:12" ht="18">
      <c r="A31" s="150"/>
      <c r="B31" s="151"/>
      <c r="C31" s="152"/>
      <c r="D31" s="151"/>
      <c r="E31" s="152"/>
      <c r="F31" s="151"/>
      <c r="G31" s="152"/>
      <c r="H31" s="151"/>
      <c r="I31" s="153" t="s">
        <v>330</v>
      </c>
    </row>
    <row r="32" spans="1:12" ht="18">
      <c r="A32" s="740" t="s">
        <v>331</v>
      </c>
      <c r="B32" s="741" t="str">
        <f>B3</f>
        <v>31.03.2021</v>
      </c>
      <c r="C32" s="154" t="s">
        <v>303</v>
      </c>
      <c r="D32" s="741" t="str">
        <f>D3</f>
        <v>31.03.2020</v>
      </c>
      <c r="E32" s="154" t="s">
        <v>303</v>
      </c>
      <c r="F32" s="741" t="str">
        <f>F3</f>
        <v>31.03.2019</v>
      </c>
      <c r="G32" s="154" t="s">
        <v>303</v>
      </c>
      <c r="H32" s="742" t="s">
        <v>306</v>
      </c>
      <c r="I32" s="155"/>
    </row>
    <row r="33" spans="1:10" ht="18">
      <c r="A33" s="740"/>
      <c r="B33" s="741"/>
      <c r="C33" s="156" t="str">
        <f>C4</f>
        <v>In 2021</v>
      </c>
      <c r="D33" s="741"/>
      <c r="E33" s="156" t="str">
        <f>E4</f>
        <v>In 2020</v>
      </c>
      <c r="F33" s="741"/>
      <c r="G33" s="156" t="str">
        <f>G4</f>
        <v>In 2019</v>
      </c>
      <c r="H33" s="742"/>
      <c r="I33" s="157"/>
    </row>
    <row r="34" spans="1:10" ht="18">
      <c r="A34" s="158" t="s">
        <v>332</v>
      </c>
      <c r="B34" s="121"/>
      <c r="C34" s="122" t="e">
        <f t="shared" ref="C34:C65" si="4">(B34-D34)/D34*100</f>
        <v>#DIV/0!</v>
      </c>
      <c r="D34" s="121"/>
      <c r="E34" s="122" t="e">
        <f t="shared" ref="E34:E65" si="5">(D34-F34)/F34*100</f>
        <v>#DIV/0!</v>
      </c>
      <c r="F34" s="121"/>
      <c r="G34" s="122" t="e">
        <f t="shared" ref="G34:G65" si="6">(F34-H34)/H34*100</f>
        <v>#DIV/0!</v>
      </c>
      <c r="H34" s="121"/>
      <c r="I34" s="116"/>
    </row>
    <row r="35" spans="1:10" ht="26.25">
      <c r="A35" s="158" t="s">
        <v>333</v>
      </c>
      <c r="B35" s="121"/>
      <c r="C35" s="122" t="e">
        <f t="shared" si="4"/>
        <v>#DIV/0!</v>
      </c>
      <c r="D35" s="121"/>
      <c r="E35" s="122" t="e">
        <f t="shared" si="5"/>
        <v>#DIV/0!</v>
      </c>
      <c r="F35" s="123"/>
      <c r="G35" s="122" t="e">
        <f t="shared" si="6"/>
        <v>#DIV/0!</v>
      </c>
      <c r="H35" s="123"/>
      <c r="I35" s="116"/>
    </row>
    <row r="36" spans="1:10" ht="18">
      <c r="A36" s="159" t="s">
        <v>188</v>
      </c>
      <c r="B36" s="127">
        <f>SUM(B34:B35)</f>
        <v>0</v>
      </c>
      <c r="C36" s="122" t="e">
        <f t="shared" si="4"/>
        <v>#DIV/0!</v>
      </c>
      <c r="D36" s="127">
        <f>SUM(D34:D35)</f>
        <v>0</v>
      </c>
      <c r="E36" s="122" t="e">
        <f t="shared" si="5"/>
        <v>#DIV/0!</v>
      </c>
      <c r="F36" s="140">
        <f>SUM(F34:F35)</f>
        <v>0</v>
      </c>
      <c r="G36" s="122" t="e">
        <f t="shared" si="6"/>
        <v>#DIV/0!</v>
      </c>
      <c r="H36" s="140">
        <f>SUM(H34:H35)</f>
        <v>0</v>
      </c>
      <c r="I36" s="116"/>
    </row>
    <row r="37" spans="1:10" ht="18">
      <c r="A37" s="158" t="s">
        <v>334</v>
      </c>
      <c r="B37" s="121"/>
      <c r="C37" s="122" t="e">
        <f t="shared" si="4"/>
        <v>#DIV/0!</v>
      </c>
      <c r="D37" s="121"/>
      <c r="E37" s="122" t="e">
        <f t="shared" si="5"/>
        <v>#DIV/0!</v>
      </c>
      <c r="F37" s="121"/>
      <c r="G37" s="122" t="e">
        <f t="shared" si="6"/>
        <v>#DIV/0!</v>
      </c>
      <c r="H37" s="121"/>
      <c r="I37" s="116"/>
    </row>
    <row r="38" spans="1:10" ht="18">
      <c r="A38" s="159" t="s">
        <v>335</v>
      </c>
      <c r="B38" s="127">
        <f>B34+B35+B43-B62-B64-B52</f>
        <v>0</v>
      </c>
      <c r="C38" s="122" t="e">
        <f t="shared" si="4"/>
        <v>#DIV/0!</v>
      </c>
      <c r="D38" s="127">
        <f>D34+D35+D43-D62-D64-D52</f>
        <v>0</v>
      </c>
      <c r="E38" s="122" t="e">
        <f t="shared" si="5"/>
        <v>#DIV/0!</v>
      </c>
      <c r="F38" s="140">
        <f>F34+F35+F43-F62-F64-F52</f>
        <v>0</v>
      </c>
      <c r="G38" s="122" t="e">
        <f t="shared" si="6"/>
        <v>#DIV/0!</v>
      </c>
      <c r="H38" s="140">
        <f>H34+H35+H43-H62-H64-H52</f>
        <v>0</v>
      </c>
      <c r="I38" s="116"/>
    </row>
    <row r="39" spans="1:10" ht="18">
      <c r="A39" s="158" t="s">
        <v>189</v>
      </c>
      <c r="B39" s="121"/>
      <c r="C39" s="122" t="e">
        <f t="shared" si="4"/>
        <v>#DIV/0!</v>
      </c>
      <c r="D39" s="121"/>
      <c r="E39" s="122" t="e">
        <f t="shared" si="5"/>
        <v>#DIV/0!</v>
      </c>
      <c r="F39" s="123"/>
      <c r="G39" s="122" t="e">
        <f t="shared" si="6"/>
        <v>#DIV/0!</v>
      </c>
      <c r="H39" s="123"/>
    </row>
    <row r="40" spans="1:10" ht="18">
      <c r="A40" s="158" t="s">
        <v>190</v>
      </c>
      <c r="B40" s="121"/>
      <c r="C40" s="122" t="e">
        <f t="shared" si="4"/>
        <v>#DIV/0!</v>
      </c>
      <c r="D40" s="121"/>
      <c r="E40" s="122" t="e">
        <f t="shared" si="5"/>
        <v>#DIV/0!</v>
      </c>
      <c r="F40" s="123"/>
      <c r="G40" s="122" t="e">
        <f t="shared" si="6"/>
        <v>#DIV/0!</v>
      </c>
      <c r="H40" s="123"/>
      <c r="I40" s="160"/>
      <c r="J40" s="161"/>
    </row>
    <row r="41" spans="1:10" ht="18">
      <c r="A41" s="162" t="s">
        <v>336</v>
      </c>
      <c r="B41" s="163">
        <f>B39+B40</f>
        <v>0</v>
      </c>
      <c r="C41" s="122" t="e">
        <f t="shared" si="4"/>
        <v>#DIV/0!</v>
      </c>
      <c r="D41" s="163">
        <f>D39+D40</f>
        <v>0</v>
      </c>
      <c r="E41" s="122" t="e">
        <f t="shared" si="5"/>
        <v>#DIV/0!</v>
      </c>
      <c r="F41" s="163">
        <f>F39+F40</f>
        <v>0</v>
      </c>
      <c r="G41" s="122" t="e">
        <f t="shared" si="6"/>
        <v>#DIV/0!</v>
      </c>
      <c r="H41" s="163">
        <f>H39+H40</f>
        <v>0</v>
      </c>
      <c r="I41" s="116"/>
      <c r="J41" s="161"/>
    </row>
    <row r="42" spans="1:10" ht="18">
      <c r="A42" s="158" t="s">
        <v>337</v>
      </c>
      <c r="B42" s="121"/>
      <c r="C42" s="122" t="e">
        <f t="shared" si="4"/>
        <v>#DIV/0!</v>
      </c>
      <c r="D42" s="121"/>
      <c r="E42" s="122" t="e">
        <f t="shared" si="5"/>
        <v>#DIV/0!</v>
      </c>
      <c r="F42" s="123"/>
      <c r="G42" s="122" t="e">
        <f t="shared" si="6"/>
        <v>#DIV/0!</v>
      </c>
      <c r="H42" s="123"/>
      <c r="I42" s="116"/>
    </row>
    <row r="43" spans="1:10" ht="26.25">
      <c r="A43" s="164" t="s">
        <v>338</v>
      </c>
      <c r="B43" s="121"/>
      <c r="C43" s="122" t="e">
        <f t="shared" si="4"/>
        <v>#DIV/0!</v>
      </c>
      <c r="D43" s="121"/>
      <c r="E43" s="122" t="e">
        <f t="shared" si="5"/>
        <v>#DIV/0!</v>
      </c>
      <c r="F43" s="123"/>
      <c r="G43" s="122" t="e">
        <f t="shared" si="6"/>
        <v>#DIV/0!</v>
      </c>
      <c r="H43" s="123"/>
      <c r="I43" s="116"/>
    </row>
    <row r="44" spans="1:10" ht="18">
      <c r="A44" s="165" t="s">
        <v>339</v>
      </c>
      <c r="B44" s="166">
        <f>B45+B46</f>
        <v>0</v>
      </c>
      <c r="C44" s="122" t="e">
        <f t="shared" si="4"/>
        <v>#DIV/0!</v>
      </c>
      <c r="D44" s="166">
        <f>D45+D46</f>
        <v>0</v>
      </c>
      <c r="E44" s="122" t="e">
        <f t="shared" si="5"/>
        <v>#DIV/0!</v>
      </c>
      <c r="F44" s="166">
        <f>F45+F46</f>
        <v>0</v>
      </c>
      <c r="G44" s="122" t="e">
        <f t="shared" si="6"/>
        <v>#DIV/0!</v>
      </c>
      <c r="H44" s="166">
        <f>H45+H46</f>
        <v>0</v>
      </c>
      <c r="I44" s="116"/>
    </row>
    <row r="45" spans="1:10" ht="18">
      <c r="A45" s="167" t="s">
        <v>340</v>
      </c>
      <c r="B45" s="121"/>
      <c r="C45" s="122" t="e">
        <f t="shared" si="4"/>
        <v>#DIV/0!</v>
      </c>
      <c r="D45" s="121"/>
      <c r="E45" s="122" t="e">
        <f t="shared" si="5"/>
        <v>#DIV/0!</v>
      </c>
      <c r="F45" s="123"/>
      <c r="G45" s="122" t="e">
        <f t="shared" si="6"/>
        <v>#DIV/0!</v>
      </c>
      <c r="H45" s="123"/>
      <c r="I45" s="116"/>
    </row>
    <row r="46" spans="1:10" ht="18">
      <c r="A46" s="158" t="s">
        <v>341</v>
      </c>
      <c r="B46" s="121"/>
      <c r="C46" s="122" t="e">
        <f t="shared" si="4"/>
        <v>#DIV/0!</v>
      </c>
      <c r="D46" s="121"/>
      <c r="E46" s="122" t="e">
        <f t="shared" si="5"/>
        <v>#DIV/0!</v>
      </c>
      <c r="F46" s="123"/>
      <c r="G46" s="122" t="e">
        <f t="shared" si="6"/>
        <v>#DIV/0!</v>
      </c>
      <c r="H46" s="123"/>
      <c r="I46" s="116"/>
    </row>
    <row r="47" spans="1:10" ht="18">
      <c r="A47" s="168" t="s">
        <v>342</v>
      </c>
      <c r="B47" s="140">
        <f>B41+B42+B44</f>
        <v>0</v>
      </c>
      <c r="C47" s="122" t="e">
        <f t="shared" si="4"/>
        <v>#DIV/0!</v>
      </c>
      <c r="D47" s="140">
        <f>D41+D42+D44</f>
        <v>0</v>
      </c>
      <c r="E47" s="122" t="e">
        <f t="shared" si="5"/>
        <v>#DIV/0!</v>
      </c>
      <c r="F47" s="140">
        <f>F41+F42+F44</f>
        <v>0</v>
      </c>
      <c r="G47" s="122" t="e">
        <f t="shared" si="6"/>
        <v>#DIV/0!</v>
      </c>
      <c r="H47" s="140">
        <f>H41+H42+H44</f>
        <v>0</v>
      </c>
      <c r="I47" s="116"/>
    </row>
    <row r="48" spans="1:10" ht="18">
      <c r="A48" s="202" t="s">
        <v>343</v>
      </c>
      <c r="B48" s="203">
        <f>B36+B37+B41+B42+B43+B44</f>
        <v>0</v>
      </c>
      <c r="C48" s="204" t="e">
        <f t="shared" si="4"/>
        <v>#DIV/0!</v>
      </c>
      <c r="D48" s="203">
        <f>D36+D37+D41+D42+D43+D44</f>
        <v>0</v>
      </c>
      <c r="E48" s="204" t="e">
        <f t="shared" si="5"/>
        <v>#DIV/0!</v>
      </c>
      <c r="F48" s="203">
        <f>F36+F37+F41+F42+F43+F44</f>
        <v>0</v>
      </c>
      <c r="G48" s="204" t="e">
        <f t="shared" si="6"/>
        <v>#DIV/0!</v>
      </c>
      <c r="H48" s="203">
        <f>H36+H37+H41+H42+H43+H44</f>
        <v>0</v>
      </c>
      <c r="I48" s="116"/>
    </row>
    <row r="49" spans="1:9" ht="18">
      <c r="A49" s="164" t="s">
        <v>344</v>
      </c>
      <c r="B49" s="121"/>
      <c r="C49" s="122" t="e">
        <f t="shared" si="4"/>
        <v>#DIV/0!</v>
      </c>
      <c r="D49" s="121"/>
      <c r="E49" s="122" t="e">
        <f t="shared" si="5"/>
        <v>#DIV/0!</v>
      </c>
      <c r="F49" s="123"/>
      <c r="G49" s="122" t="e">
        <f t="shared" si="6"/>
        <v>#DIV/0!</v>
      </c>
      <c r="H49" s="123"/>
      <c r="I49" s="169"/>
    </row>
    <row r="50" spans="1:9" ht="18">
      <c r="A50" s="170" t="s">
        <v>345</v>
      </c>
      <c r="B50" s="140">
        <f>B51+B53+B52</f>
        <v>0</v>
      </c>
      <c r="C50" s="122" t="e">
        <f t="shared" si="4"/>
        <v>#DIV/0!</v>
      </c>
      <c r="D50" s="140">
        <f>D51+D53+D52</f>
        <v>0</v>
      </c>
      <c r="E50" s="122" t="e">
        <f t="shared" si="5"/>
        <v>#DIV/0!</v>
      </c>
      <c r="F50" s="140">
        <f>F51+F53+F52</f>
        <v>0</v>
      </c>
      <c r="G50" s="122" t="e">
        <f t="shared" si="6"/>
        <v>#DIV/0!</v>
      </c>
      <c r="H50" s="140">
        <f>H51+H53+H52</f>
        <v>0</v>
      </c>
      <c r="I50" s="116"/>
    </row>
    <row r="51" spans="1:9" ht="18">
      <c r="A51" s="171" t="s">
        <v>346</v>
      </c>
      <c r="B51" s="121"/>
      <c r="C51" s="122" t="e">
        <f t="shared" si="4"/>
        <v>#DIV/0!</v>
      </c>
      <c r="D51" s="121"/>
      <c r="E51" s="122" t="e">
        <f t="shared" si="5"/>
        <v>#DIV/0!</v>
      </c>
      <c r="F51" s="123"/>
      <c r="G51" s="122" t="e">
        <f t="shared" si="6"/>
        <v>#DIV/0!</v>
      </c>
      <c r="H51" s="123"/>
      <c r="I51" s="116"/>
    </row>
    <row r="52" spans="1:9" ht="18">
      <c r="A52" s="171" t="s">
        <v>347</v>
      </c>
      <c r="B52" s="121"/>
      <c r="C52" s="122" t="e">
        <f t="shared" si="4"/>
        <v>#DIV/0!</v>
      </c>
      <c r="D52" s="121"/>
      <c r="E52" s="122" t="e">
        <f t="shared" si="5"/>
        <v>#DIV/0!</v>
      </c>
      <c r="F52" s="121"/>
      <c r="G52" s="122" t="e">
        <f t="shared" si="6"/>
        <v>#DIV/0!</v>
      </c>
      <c r="H52" s="121"/>
      <c r="I52" s="116"/>
    </row>
    <row r="53" spans="1:9" ht="18">
      <c r="A53" s="171" t="s">
        <v>348</v>
      </c>
      <c r="B53" s="121"/>
      <c r="C53" s="122" t="e">
        <f t="shared" si="4"/>
        <v>#DIV/0!</v>
      </c>
      <c r="D53" s="121"/>
      <c r="E53" s="122" t="e">
        <f t="shared" si="5"/>
        <v>#DIV/0!</v>
      </c>
      <c r="F53" s="121"/>
      <c r="G53" s="122" t="e">
        <f t="shared" si="6"/>
        <v>#DIV/0!</v>
      </c>
      <c r="H53" s="121"/>
      <c r="I53" s="116"/>
    </row>
    <row r="54" spans="1:9" ht="18">
      <c r="A54" s="172" t="s">
        <v>349</v>
      </c>
      <c r="B54" s="166">
        <f>B56+B57+B60+B61+B55</f>
        <v>0</v>
      </c>
      <c r="C54" s="122" t="e">
        <f t="shared" si="4"/>
        <v>#DIV/0!</v>
      </c>
      <c r="D54" s="166">
        <f>D56+D57+D60+D61+D55</f>
        <v>0</v>
      </c>
      <c r="E54" s="122" t="e">
        <f t="shared" si="5"/>
        <v>#DIV/0!</v>
      </c>
      <c r="F54" s="166">
        <f>F56+F57+F60+F61+F55</f>
        <v>0</v>
      </c>
      <c r="G54" s="122" t="e">
        <f t="shared" si="6"/>
        <v>#DIV/0!</v>
      </c>
      <c r="H54" s="166">
        <f>H56+H57+H60+H61+H55</f>
        <v>0</v>
      </c>
      <c r="I54" s="116"/>
    </row>
    <row r="55" spans="1:9" ht="18">
      <c r="A55" s="173" t="s">
        <v>350</v>
      </c>
      <c r="B55" s="121"/>
      <c r="C55" s="122" t="e">
        <f t="shared" si="4"/>
        <v>#DIV/0!</v>
      </c>
      <c r="D55" s="121"/>
      <c r="E55" s="122" t="e">
        <f t="shared" si="5"/>
        <v>#DIV/0!</v>
      </c>
      <c r="F55" s="121"/>
      <c r="G55" s="122" t="e">
        <f t="shared" si="6"/>
        <v>#DIV/0!</v>
      </c>
      <c r="H55" s="121"/>
      <c r="I55" s="116"/>
    </row>
    <row r="56" spans="1:9" ht="18">
      <c r="A56" s="164" t="s">
        <v>351</v>
      </c>
      <c r="B56" s="121"/>
      <c r="C56" s="122" t="e">
        <f t="shared" si="4"/>
        <v>#DIV/0!</v>
      </c>
      <c r="D56" s="121"/>
      <c r="E56" s="122" t="e">
        <f t="shared" si="5"/>
        <v>#DIV/0!</v>
      </c>
      <c r="F56" s="123"/>
      <c r="G56" s="122" t="e">
        <f t="shared" si="6"/>
        <v>#DIV/0!</v>
      </c>
      <c r="H56" s="123"/>
      <c r="I56" s="116"/>
    </row>
    <row r="57" spans="1:9" ht="18">
      <c r="A57" s="174" t="s">
        <v>352</v>
      </c>
      <c r="B57" s="166">
        <f>B58+B59</f>
        <v>0</v>
      </c>
      <c r="C57" s="122" t="e">
        <f t="shared" si="4"/>
        <v>#DIV/0!</v>
      </c>
      <c r="D57" s="166">
        <f>D58+D59</f>
        <v>0</v>
      </c>
      <c r="E57" s="122" t="e">
        <f t="shared" si="5"/>
        <v>#DIV/0!</v>
      </c>
      <c r="F57" s="166">
        <f>F58+F59</f>
        <v>0</v>
      </c>
      <c r="G57" s="122" t="e">
        <f t="shared" si="6"/>
        <v>#DIV/0!</v>
      </c>
      <c r="H57" s="166">
        <f>H58+H59</f>
        <v>0</v>
      </c>
      <c r="I57" s="116"/>
    </row>
    <row r="58" spans="1:9" ht="18">
      <c r="A58" s="164" t="s">
        <v>353</v>
      </c>
      <c r="B58" s="121"/>
      <c r="C58" s="122" t="e">
        <f t="shared" si="4"/>
        <v>#DIV/0!</v>
      </c>
      <c r="D58" s="121"/>
      <c r="E58" s="122" t="e">
        <f t="shared" si="5"/>
        <v>#DIV/0!</v>
      </c>
      <c r="F58" s="121"/>
      <c r="G58" s="122" t="e">
        <f t="shared" si="6"/>
        <v>#DIV/0!</v>
      </c>
      <c r="H58" s="121"/>
      <c r="I58" s="116"/>
    </row>
    <row r="59" spans="1:9" ht="18">
      <c r="A59" s="164" t="s">
        <v>354</v>
      </c>
      <c r="B59" s="121"/>
      <c r="C59" s="122" t="e">
        <f t="shared" si="4"/>
        <v>#DIV/0!</v>
      </c>
      <c r="D59" s="121"/>
      <c r="E59" s="122" t="e">
        <f t="shared" si="5"/>
        <v>#DIV/0!</v>
      </c>
      <c r="F59" s="123"/>
      <c r="G59" s="122" t="e">
        <f t="shared" si="6"/>
        <v>#DIV/0!</v>
      </c>
      <c r="H59" s="123"/>
      <c r="I59" s="116"/>
    </row>
    <row r="60" spans="1:9" ht="18">
      <c r="A60" s="164" t="s">
        <v>355</v>
      </c>
      <c r="B60" s="121"/>
      <c r="C60" s="122" t="e">
        <f t="shared" si="4"/>
        <v>#DIV/0!</v>
      </c>
      <c r="D60" s="121"/>
      <c r="E60" s="122" t="e">
        <f t="shared" si="5"/>
        <v>#DIV/0!</v>
      </c>
      <c r="F60" s="123"/>
      <c r="G60" s="122" t="e">
        <f t="shared" si="6"/>
        <v>#DIV/0!</v>
      </c>
      <c r="H60" s="123"/>
      <c r="I60" s="169"/>
    </row>
    <row r="61" spans="1:9" ht="18">
      <c r="A61" s="175" t="s">
        <v>356</v>
      </c>
      <c r="B61" s="176">
        <f>B62+B63</f>
        <v>0</v>
      </c>
      <c r="C61" s="122" t="e">
        <f t="shared" si="4"/>
        <v>#DIV/0!</v>
      </c>
      <c r="D61" s="176">
        <f>D62+D63</f>
        <v>0</v>
      </c>
      <c r="E61" s="122" t="e">
        <f t="shared" si="5"/>
        <v>#DIV/0!</v>
      </c>
      <c r="F61" s="176">
        <f>F62+F63</f>
        <v>0</v>
      </c>
      <c r="G61" s="122" t="e">
        <f t="shared" si="6"/>
        <v>#DIV/0!</v>
      </c>
      <c r="H61" s="176">
        <f>H62+H63</f>
        <v>0</v>
      </c>
      <c r="I61" s="116"/>
    </row>
    <row r="62" spans="1:9" ht="26.25">
      <c r="A62" s="158" t="s">
        <v>357</v>
      </c>
      <c r="B62" s="121"/>
      <c r="C62" s="122" t="e">
        <f t="shared" si="4"/>
        <v>#DIV/0!</v>
      </c>
      <c r="D62" s="121"/>
      <c r="E62" s="122" t="e">
        <f t="shared" si="5"/>
        <v>#DIV/0!</v>
      </c>
      <c r="F62" s="121"/>
      <c r="G62" s="122" t="e">
        <f t="shared" si="6"/>
        <v>#DIV/0!</v>
      </c>
      <c r="H62" s="121"/>
      <c r="I62" s="116"/>
    </row>
    <row r="63" spans="1:9" ht="18">
      <c r="A63" s="158" t="s">
        <v>358</v>
      </c>
      <c r="B63" s="121"/>
      <c r="C63" s="122" t="e">
        <f t="shared" si="4"/>
        <v>#DIV/0!</v>
      </c>
      <c r="D63" s="121"/>
      <c r="E63" s="122" t="e">
        <f t="shared" si="5"/>
        <v>#DIV/0!</v>
      </c>
      <c r="F63" s="123"/>
      <c r="G63" s="122" t="e">
        <f t="shared" si="6"/>
        <v>#DIV/0!</v>
      </c>
      <c r="H63" s="123"/>
      <c r="I63" s="116"/>
    </row>
    <row r="64" spans="1:9" ht="26.25">
      <c r="A64" s="158" t="s">
        <v>359</v>
      </c>
      <c r="B64" s="121"/>
      <c r="C64" s="122" t="e">
        <f t="shared" si="4"/>
        <v>#DIV/0!</v>
      </c>
      <c r="D64" s="121"/>
      <c r="E64" s="122" t="e">
        <f t="shared" si="5"/>
        <v>#DIV/0!</v>
      </c>
      <c r="F64" s="121"/>
      <c r="G64" s="122" t="e">
        <f t="shared" si="6"/>
        <v>#DIV/0!</v>
      </c>
      <c r="H64" s="121"/>
      <c r="I64" s="116"/>
    </row>
    <row r="65" spans="1:10" ht="18">
      <c r="A65" s="202" t="s">
        <v>343</v>
      </c>
      <c r="B65" s="205">
        <f>B49+B50+B54+B64</f>
        <v>0</v>
      </c>
      <c r="C65" s="204" t="e">
        <f t="shared" si="4"/>
        <v>#DIV/0!</v>
      </c>
      <c r="D65" s="205">
        <f>D49+D50+D54+D64</f>
        <v>0</v>
      </c>
      <c r="E65" s="204" t="e">
        <f t="shared" si="5"/>
        <v>#DIV/0!</v>
      </c>
      <c r="F65" s="205">
        <f>F49+F50+F54+F64</f>
        <v>0</v>
      </c>
      <c r="G65" s="204" t="e">
        <f t="shared" si="6"/>
        <v>#DIV/0!</v>
      </c>
      <c r="H65" s="205">
        <f>H49+H50+H54+H64</f>
        <v>0</v>
      </c>
      <c r="I65" s="157"/>
    </row>
    <row r="66" spans="1:10" ht="18">
      <c r="A66" s="177"/>
      <c r="B66" s="177"/>
      <c r="C66" s="177"/>
      <c r="D66" s="177"/>
      <c r="E66" s="177"/>
      <c r="F66" s="177"/>
      <c r="G66" s="177"/>
      <c r="H66" s="177"/>
      <c r="I66" s="116"/>
      <c r="J66" s="133"/>
    </row>
    <row r="67" spans="1:10" ht="18">
      <c r="A67" s="737" t="s">
        <v>360</v>
      </c>
      <c r="B67" s="737"/>
      <c r="C67" s="737"/>
      <c r="D67" s="737"/>
      <c r="E67" s="737"/>
      <c r="F67" s="737"/>
      <c r="G67" s="737"/>
      <c r="H67" s="737"/>
      <c r="I67" s="116"/>
    </row>
    <row r="68" spans="1:10" ht="18">
      <c r="A68" s="737"/>
      <c r="B68" s="737"/>
      <c r="C68" s="737"/>
      <c r="D68" s="737"/>
      <c r="E68" s="737"/>
      <c r="F68" s="737"/>
      <c r="G68" s="737"/>
      <c r="H68" s="737"/>
      <c r="I68" s="116"/>
    </row>
    <row r="69" spans="1:10" ht="18.75" thickBot="1">
      <c r="A69" s="178" t="s">
        <v>361</v>
      </c>
      <c r="B69" s="179" t="e">
        <f>B57/B5*365</f>
        <v>#DIV/0!</v>
      </c>
      <c r="C69" s="178"/>
      <c r="D69" s="179" t="e">
        <f>D57/D5*365</f>
        <v>#DIV/0!</v>
      </c>
      <c r="E69" s="178"/>
      <c r="F69" s="179" t="e">
        <f>F57/F5*365</f>
        <v>#DIV/0!</v>
      </c>
      <c r="G69" s="178"/>
      <c r="H69" s="179" t="e">
        <f>H57/H5*365</f>
        <v>#DIV/0!</v>
      </c>
      <c r="I69" s="180"/>
    </row>
    <row r="70" spans="1:10" ht="18">
      <c r="A70" s="178" t="s">
        <v>362</v>
      </c>
      <c r="B70" s="179" t="e">
        <f>B56/(B10+B11+B12)*365</f>
        <v>#DIV/0!</v>
      </c>
      <c r="C70" s="178"/>
      <c r="D70" s="179" t="e">
        <f>D56/(D10+D11+D12)*365</f>
        <v>#DIV/0!</v>
      </c>
      <c r="E70" s="178"/>
      <c r="F70" s="179" t="e">
        <f>F56/(F10+F11+F12)*365</f>
        <v>#DIV/0!</v>
      </c>
      <c r="G70" s="178"/>
      <c r="H70" s="179" t="e">
        <f>H56/(H10+H11+H12)*365</f>
        <v>#DIV/0!</v>
      </c>
      <c r="I70" s="116"/>
    </row>
    <row r="71" spans="1:10" ht="18">
      <c r="A71" s="178" t="s">
        <v>363</v>
      </c>
      <c r="B71" s="179" t="e">
        <f>B56/(B11+B10+B12)</f>
        <v>#DIV/0!</v>
      </c>
      <c r="C71" s="178"/>
      <c r="D71" s="179" t="e">
        <f>D56/(D11+D10+D12)</f>
        <v>#DIV/0!</v>
      </c>
      <c r="E71" s="178"/>
      <c r="F71" s="179" t="e">
        <f>F56/(F11+F10+F12)</f>
        <v>#DIV/0!</v>
      </c>
      <c r="G71" s="178"/>
      <c r="H71" s="179" t="e">
        <f>H56/(H11+H10+H12)</f>
        <v>#DIV/0!</v>
      </c>
      <c r="I71" s="116"/>
    </row>
    <row r="72" spans="1:10" ht="18.75" thickBot="1">
      <c r="A72" s="178" t="s">
        <v>364</v>
      </c>
      <c r="B72" s="179" t="e">
        <f>B54/(B44+B40)</f>
        <v>#DIV/0!</v>
      </c>
      <c r="C72" s="178"/>
      <c r="D72" s="179" t="e">
        <f>D54/(D44+D40)</f>
        <v>#DIV/0!</v>
      </c>
      <c r="E72" s="178"/>
      <c r="F72" s="179" t="e">
        <f>F54/(F44+F40)</f>
        <v>#DIV/0!</v>
      </c>
      <c r="G72" s="178"/>
      <c r="H72" s="179" t="e">
        <f>H54/(H44+H40)</f>
        <v>#DIV/0!</v>
      </c>
      <c r="I72" s="116"/>
    </row>
    <row r="73" spans="1:10" ht="18.75" thickBot="1">
      <c r="A73" s="178" t="s">
        <v>365</v>
      </c>
      <c r="B73" s="179" t="e">
        <f>(B54-B56)/(B44+B40)</f>
        <v>#DIV/0!</v>
      </c>
      <c r="C73" s="178"/>
      <c r="D73" s="179" t="e">
        <f>(D54-D56)/(D44+D40)</f>
        <v>#DIV/0!</v>
      </c>
      <c r="E73" s="178"/>
      <c r="F73" s="179" t="e">
        <f>(F54-F56)/(F44+F40)</f>
        <v>#DIV/0!</v>
      </c>
      <c r="G73" s="178"/>
      <c r="H73" s="179" t="e">
        <f>(H54-H56)/(H44+H40)</f>
        <v>#DIV/0!</v>
      </c>
      <c r="I73" s="181"/>
    </row>
    <row r="74" spans="1:10" ht="18.75" thickBot="1">
      <c r="A74" s="178" t="s">
        <v>366</v>
      </c>
      <c r="B74" s="179" t="e">
        <f>(B39+B40+B42)/B36</f>
        <v>#DIV/0!</v>
      </c>
      <c r="C74" s="178"/>
      <c r="D74" s="179" t="e">
        <f>(D39+D40+D42)/D36</f>
        <v>#DIV/0!</v>
      </c>
      <c r="E74" s="178"/>
      <c r="F74" s="179" t="e">
        <f>(F39+F40+F42)/F36</f>
        <v>#DIV/0!</v>
      </c>
      <c r="G74" s="178"/>
      <c r="H74" s="179" t="e">
        <f>(H39+H40+H42)/H36</f>
        <v>#DIV/0!</v>
      </c>
      <c r="I74" s="181"/>
    </row>
    <row r="75" spans="1:10" ht="18">
      <c r="A75" s="178" t="s">
        <v>367</v>
      </c>
      <c r="B75" s="179" t="e">
        <f>B16/(B18+B19+B20+B21)</f>
        <v>#DIV/0!</v>
      </c>
      <c r="C75" s="178"/>
      <c r="D75" s="179" t="e">
        <f>D16/(D18+D19+D20+D21)</f>
        <v>#DIV/0!</v>
      </c>
      <c r="E75" s="178"/>
      <c r="F75" s="179" t="e">
        <f>F16/(F18+F19+F20+F21)</f>
        <v>#DIV/0!</v>
      </c>
      <c r="G75" s="178"/>
      <c r="H75" s="179" t="e">
        <f>H16/(H18+H19+H20+H21)</f>
        <v>#DIV/0!</v>
      </c>
      <c r="I75" s="116"/>
    </row>
    <row r="76" spans="1:10" ht="18">
      <c r="A76" s="178" t="s">
        <v>368</v>
      </c>
      <c r="B76" s="179" t="e">
        <f>$B$16/($B$18+$B$19+$B$20+$B$21+($B$39+$B$42)/5)</f>
        <v>#DIV/0!</v>
      </c>
      <c r="C76" s="178"/>
      <c r="D76" s="179" t="e">
        <f>$D$16/($D$18+$D$19+$D$20+$D$21+($D$39+$D$42)/5)</f>
        <v>#DIV/0!</v>
      </c>
      <c r="E76" s="178"/>
      <c r="F76" s="179" t="e">
        <f>$F$16/($F$18+$F$19+$F$20+$F$21+($F$39+$F$42)/5)</f>
        <v>#DIV/0!</v>
      </c>
      <c r="G76" s="178"/>
      <c r="H76" s="179" t="e">
        <f>$H$16/($H$18+$H$19+$H$20+$H$21+($H$39+$H$42)/5)</f>
        <v>#DIV/0!</v>
      </c>
      <c r="I76" s="116"/>
    </row>
    <row r="77" spans="1:10" ht="18">
      <c r="A77" s="178" t="s">
        <v>369</v>
      </c>
      <c r="B77" s="179">
        <f>$B$16/($B$18+$B$19+$B$20+$B$21+($B$39+$B$42)/5+('Normal &amp; CGTMSE Eligibility'!F43))</f>
        <v>0</v>
      </c>
      <c r="C77" s="178"/>
      <c r="D77" s="179">
        <f>$D$16/($D$18+$D$19+$D$20+$D$21+($D$39+$D$42)/5+('Normal &amp; CGTMSE Eligibility'!F43))</f>
        <v>0</v>
      </c>
      <c r="E77" s="178"/>
      <c r="F77" s="179">
        <f>$F$16/($F$18+$F$19+$F$20+$F$21+($F$39+$F$42)/5+('Normal &amp; CGTMSE Eligibility'!F43))</f>
        <v>0</v>
      </c>
      <c r="G77" s="178"/>
      <c r="H77" s="179">
        <f>$H$16/($H$18+$H$19+$H$20+$H$21+($H$39+$H$42)/5+('Normal &amp; CGTMSE Eligibility'!F43))</f>
        <v>0</v>
      </c>
      <c r="I77" s="116"/>
    </row>
    <row r="78" spans="1:10" ht="18">
      <c r="A78" s="178" t="s">
        <v>370</v>
      </c>
      <c r="B78" s="179" t="e">
        <f>(B13-B7)/B5*100</f>
        <v>#DIV/0!</v>
      </c>
      <c r="C78" s="178"/>
      <c r="D78" s="179" t="e">
        <f>(D13-D7)/D5*100</f>
        <v>#DIV/0!</v>
      </c>
      <c r="E78" s="178"/>
      <c r="F78" s="179" t="e">
        <f>(F13-F7)/F5*100</f>
        <v>#DIV/0!</v>
      </c>
      <c r="G78" s="178"/>
      <c r="H78" s="179" t="e">
        <f>(H13-H7)/H5*100</f>
        <v>#DIV/0!</v>
      </c>
      <c r="I78" s="116"/>
    </row>
    <row r="79" spans="1:10" ht="18">
      <c r="A79" s="178" t="s">
        <v>371</v>
      </c>
      <c r="B79" s="179" t="e">
        <f>(B25-B7)/B5*100</f>
        <v>#DIV/0!</v>
      </c>
      <c r="C79" s="178"/>
      <c r="D79" s="179" t="e">
        <f>(D25-D7)/D5*100</f>
        <v>#DIV/0!</v>
      </c>
      <c r="E79" s="178"/>
      <c r="F79" s="179" t="e">
        <f>(F25-F7)/F5*100</f>
        <v>#DIV/0!</v>
      </c>
      <c r="G79" s="178"/>
      <c r="H79" s="179" t="e">
        <f>(H25-H7)/H5*100</f>
        <v>#DIV/0!</v>
      </c>
      <c r="I79" s="116"/>
    </row>
    <row r="80" spans="1:10" ht="18">
      <c r="A80" s="178" t="s">
        <v>372</v>
      </c>
      <c r="B80" s="179" t="e">
        <f>(B26-B7)/B5*100</f>
        <v>#DIV/0!</v>
      </c>
      <c r="C80" s="178"/>
      <c r="D80" s="179" t="e">
        <f>(D26-D7)/D5*100</f>
        <v>#DIV/0!</v>
      </c>
      <c r="E80" s="178"/>
      <c r="F80" s="179" t="e">
        <f>(F26-F7)/F5*100</f>
        <v>#DIV/0!</v>
      </c>
      <c r="G80" s="178"/>
      <c r="H80" s="179" t="e">
        <f>(H26-H7)/H5*100</f>
        <v>#DIV/0!</v>
      </c>
      <c r="I80" s="116"/>
    </row>
    <row r="81" spans="1:10" ht="18">
      <c r="A81" s="178" t="s">
        <v>373</v>
      </c>
      <c r="B81" s="182" t="e">
        <f>(B5-D5)/D5*100</f>
        <v>#DIV/0!</v>
      </c>
      <c r="C81" s="183"/>
      <c r="D81" s="182" t="e">
        <f>(D5-F5)/F5*100</f>
        <v>#DIV/0!</v>
      </c>
      <c r="E81" s="183"/>
      <c r="F81" s="182" t="e">
        <f>#N/A</f>
        <v>#N/A</v>
      </c>
      <c r="G81" s="183"/>
      <c r="H81" s="182" t="e">
        <f>#N/A</f>
        <v>#N/A</v>
      </c>
      <c r="I81" s="116"/>
      <c r="J81" s="133"/>
    </row>
    <row r="82" spans="1:10" ht="18">
      <c r="A82" s="178" t="s">
        <v>374</v>
      </c>
      <c r="B82" s="182" t="e">
        <f>(B25-D25)/D25*100</f>
        <v>#DIV/0!</v>
      </c>
      <c r="C82" s="183"/>
      <c r="D82" s="182" t="e">
        <f>(D25-F25)/F25*100</f>
        <v>#DIV/0!</v>
      </c>
      <c r="E82" s="183"/>
      <c r="F82" s="182" t="e">
        <f>#N/A</f>
        <v>#N/A</v>
      </c>
      <c r="G82" s="183"/>
      <c r="H82" s="182" t="e">
        <f>#N/A</f>
        <v>#N/A</v>
      </c>
      <c r="I82" s="116"/>
    </row>
    <row r="83" spans="1:10" ht="18">
      <c r="A83" s="178"/>
      <c r="B83" s="179"/>
      <c r="C83" s="178"/>
      <c r="D83" s="179"/>
      <c r="E83" s="178"/>
      <c r="F83" s="179"/>
      <c r="G83" s="178"/>
      <c r="H83" s="179"/>
      <c r="I83" s="116"/>
    </row>
    <row r="84" spans="1:10" ht="18">
      <c r="A84" s="184" t="s">
        <v>375</v>
      </c>
      <c r="B84" s="179"/>
      <c r="C84" s="178"/>
      <c r="D84" s="179"/>
      <c r="E84" s="178"/>
      <c r="F84" s="179"/>
      <c r="G84" s="178"/>
      <c r="H84" s="179"/>
      <c r="I84" s="116"/>
    </row>
    <row r="85" spans="1:10" ht="18">
      <c r="A85" s="184"/>
      <c r="B85" s="179"/>
      <c r="C85" s="178"/>
      <c r="D85" s="179"/>
      <c r="E85" s="178"/>
      <c r="F85" s="179"/>
      <c r="G85" s="178"/>
      <c r="H85" s="179"/>
      <c r="I85" s="116"/>
    </row>
    <row r="86" spans="1:10" ht="18">
      <c r="A86" s="178" t="s">
        <v>376</v>
      </c>
      <c r="B86" s="179">
        <f>B25</f>
        <v>0</v>
      </c>
      <c r="C86" s="178"/>
      <c r="D86" s="179">
        <f>D25</f>
        <v>0</v>
      </c>
      <c r="E86" s="178"/>
      <c r="F86" s="179">
        <f>F25</f>
        <v>0</v>
      </c>
      <c r="G86" s="178"/>
      <c r="H86" s="179">
        <f>H25</f>
        <v>0</v>
      </c>
      <c r="I86" s="116"/>
    </row>
    <row r="87" spans="1:10" ht="18">
      <c r="A87" s="178" t="s">
        <v>377</v>
      </c>
      <c r="B87" s="179"/>
      <c r="C87" s="178"/>
      <c r="D87" s="179"/>
      <c r="E87" s="178"/>
      <c r="F87" s="179"/>
      <c r="G87" s="178"/>
      <c r="H87" s="179"/>
      <c r="I87" s="116"/>
    </row>
    <row r="88" spans="1:10" ht="18">
      <c r="A88" s="178" t="s">
        <v>378</v>
      </c>
      <c r="B88" s="179">
        <f>B17</f>
        <v>0</v>
      </c>
      <c r="C88" s="178"/>
      <c r="D88" s="179">
        <f>D17</f>
        <v>0</v>
      </c>
      <c r="E88" s="178"/>
      <c r="F88" s="179">
        <f>F17</f>
        <v>0</v>
      </c>
      <c r="G88" s="178"/>
      <c r="H88" s="179">
        <f>H17</f>
        <v>0</v>
      </c>
      <c r="I88" s="116"/>
    </row>
    <row r="89" spans="1:10" ht="18">
      <c r="A89" s="178" t="s">
        <v>379</v>
      </c>
      <c r="B89" s="179">
        <f>B22</f>
        <v>0</v>
      </c>
      <c r="C89" s="178"/>
      <c r="D89" s="179">
        <f>D22</f>
        <v>0</v>
      </c>
      <c r="E89" s="178"/>
      <c r="F89" s="179">
        <f>F22</f>
        <v>0</v>
      </c>
      <c r="G89" s="178"/>
      <c r="H89" s="179">
        <f>H22</f>
        <v>0</v>
      </c>
      <c r="I89" s="116"/>
    </row>
    <row r="90" spans="1:10" ht="18">
      <c r="A90" s="178" t="s">
        <v>380</v>
      </c>
      <c r="B90" s="179">
        <f>B27</f>
        <v>0</v>
      </c>
      <c r="C90" s="178"/>
      <c r="D90" s="179">
        <f>D27</f>
        <v>0</v>
      </c>
      <c r="E90" s="178"/>
      <c r="F90" s="179">
        <f>F27</f>
        <v>0</v>
      </c>
      <c r="G90" s="178"/>
      <c r="H90" s="179">
        <f>H27</f>
        <v>0</v>
      </c>
      <c r="I90" s="116"/>
    </row>
    <row r="91" spans="1:10" ht="18">
      <c r="A91" s="178" t="s">
        <v>381</v>
      </c>
      <c r="B91" s="179">
        <f>B28</f>
        <v>0</v>
      </c>
      <c r="C91" s="178"/>
      <c r="D91" s="179">
        <f>D28</f>
        <v>0</v>
      </c>
      <c r="E91" s="178"/>
      <c r="F91" s="179">
        <f>F28</f>
        <v>0</v>
      </c>
      <c r="G91" s="178"/>
      <c r="H91" s="179">
        <f>H28</f>
        <v>0</v>
      </c>
      <c r="I91" s="116"/>
    </row>
    <row r="92" spans="1:10" ht="18">
      <c r="A92" s="178" t="s">
        <v>382</v>
      </c>
      <c r="B92" s="179">
        <f>B24</f>
        <v>0</v>
      </c>
      <c r="C92" s="178"/>
      <c r="D92" s="179">
        <f>D24</f>
        <v>0</v>
      </c>
      <c r="E92" s="178"/>
      <c r="F92" s="179">
        <f>F24</f>
        <v>0</v>
      </c>
      <c r="G92" s="178"/>
      <c r="H92" s="179">
        <f>H24</f>
        <v>0</v>
      </c>
      <c r="I92" s="116"/>
    </row>
    <row r="93" spans="1:10" ht="18">
      <c r="A93" s="178" t="s">
        <v>383</v>
      </c>
      <c r="B93" s="179">
        <f>B18+B19+B20+B21</f>
        <v>0</v>
      </c>
      <c r="C93" s="178"/>
      <c r="D93" s="179">
        <f>D18+D19+D20+D21</f>
        <v>0</v>
      </c>
      <c r="E93" s="178"/>
      <c r="F93" s="179">
        <f>F18+F19+F20+F21</f>
        <v>0</v>
      </c>
      <c r="G93" s="178"/>
      <c r="H93" s="179">
        <f>H18+H19+H20+H21</f>
        <v>0</v>
      </c>
      <c r="I93" s="116"/>
    </row>
    <row r="94" spans="1:10" ht="26.25">
      <c r="A94" s="185" t="s">
        <v>384</v>
      </c>
      <c r="B94" s="186">
        <f>-B7</f>
        <v>0</v>
      </c>
      <c r="C94" s="184"/>
      <c r="D94" s="186">
        <f>-D7</f>
        <v>0</v>
      </c>
      <c r="E94" s="184"/>
      <c r="F94" s="186">
        <f>-F7</f>
        <v>0</v>
      </c>
      <c r="G94" s="184"/>
      <c r="H94" s="186">
        <f>-H7</f>
        <v>0</v>
      </c>
      <c r="I94" s="157"/>
    </row>
    <row r="95" spans="1:10" ht="18">
      <c r="A95" s="185"/>
      <c r="B95" s="186"/>
      <c r="C95" s="184"/>
      <c r="D95" s="186"/>
      <c r="E95" s="184"/>
      <c r="F95" s="186"/>
      <c r="G95" s="184"/>
      <c r="H95" s="186"/>
      <c r="I95" s="157"/>
    </row>
    <row r="96" spans="1:10" ht="18">
      <c r="A96" s="178" t="s">
        <v>385</v>
      </c>
      <c r="B96" s="179">
        <f>SUM(B86:B94)</f>
        <v>0</v>
      </c>
      <c r="C96" s="178"/>
      <c r="D96" s="179">
        <f>SUM(D86:D94)</f>
        <v>0</v>
      </c>
      <c r="E96" s="178"/>
      <c r="F96" s="179">
        <f>SUM(F86:F94)</f>
        <v>0</v>
      </c>
      <c r="G96" s="178"/>
      <c r="H96" s="179">
        <f>SUM(H86:H94)</f>
        <v>0</v>
      </c>
      <c r="I96" s="116"/>
    </row>
    <row r="97" spans="1:9" ht="18">
      <c r="A97" s="178" t="s">
        <v>386</v>
      </c>
      <c r="B97" s="179">
        <f>D57-B57</f>
        <v>0</v>
      </c>
      <c r="C97" s="178"/>
      <c r="D97" s="179">
        <f>F57-D57</f>
        <v>0</v>
      </c>
      <c r="E97" s="178"/>
      <c r="F97" s="179">
        <f>J57-F57</f>
        <v>0</v>
      </c>
      <c r="G97" s="178"/>
      <c r="H97" s="179">
        <f>L57-H57</f>
        <v>0</v>
      </c>
      <c r="I97" s="116"/>
    </row>
    <row r="98" spans="1:9" ht="18">
      <c r="A98" s="178" t="s">
        <v>387</v>
      </c>
      <c r="B98" s="179">
        <f>D56-B56</f>
        <v>0</v>
      </c>
      <c r="C98" s="178"/>
      <c r="D98" s="179">
        <f>F56-D56</f>
        <v>0</v>
      </c>
      <c r="E98" s="178"/>
      <c r="F98" s="179">
        <f>J56-F56</f>
        <v>0</v>
      </c>
      <c r="G98" s="178"/>
      <c r="H98" s="179">
        <f>L56-H56</f>
        <v>0</v>
      </c>
      <c r="I98" s="116"/>
    </row>
    <row r="99" spans="1:9" ht="18">
      <c r="A99" s="178" t="s">
        <v>388</v>
      </c>
      <c r="B99" s="179">
        <f>D61-B61</f>
        <v>0</v>
      </c>
      <c r="C99" s="178"/>
      <c r="D99" s="179">
        <f>F61-D61</f>
        <v>0</v>
      </c>
      <c r="E99" s="178"/>
      <c r="F99" s="179">
        <f>J61-F61</f>
        <v>0</v>
      </c>
      <c r="G99" s="178"/>
      <c r="H99" s="179">
        <f>L61-H61</f>
        <v>0</v>
      </c>
      <c r="I99" s="116"/>
    </row>
    <row r="100" spans="1:9" ht="18">
      <c r="A100" s="178" t="s">
        <v>389</v>
      </c>
      <c r="B100" s="179">
        <f>B44-D44</f>
        <v>0</v>
      </c>
      <c r="C100" s="178"/>
      <c r="D100" s="179">
        <f>D44-F44</f>
        <v>0</v>
      </c>
      <c r="E100" s="178"/>
      <c r="F100" s="179">
        <f>F44-J44</f>
        <v>0</v>
      </c>
      <c r="G100" s="178"/>
      <c r="H100" s="179">
        <f>H44-L44</f>
        <v>0</v>
      </c>
      <c r="I100" s="116"/>
    </row>
    <row r="101" spans="1:9" ht="18">
      <c r="A101" s="178" t="s">
        <v>390</v>
      </c>
      <c r="B101" s="179">
        <f>SUM(B97:B100)</f>
        <v>0</v>
      </c>
      <c r="C101" s="178"/>
      <c r="D101" s="179">
        <f>SUM(D97:D100)</f>
        <v>0</v>
      </c>
      <c r="E101" s="178"/>
      <c r="F101" s="179">
        <f>SUM(F97:F100)</f>
        <v>0</v>
      </c>
      <c r="G101" s="178"/>
      <c r="H101" s="179">
        <f>SUM(H97:H100)</f>
        <v>0</v>
      </c>
      <c r="I101" s="116"/>
    </row>
    <row r="102" spans="1:9" ht="18">
      <c r="A102" s="184" t="s">
        <v>391</v>
      </c>
      <c r="B102" s="186">
        <f>B96+B101</f>
        <v>0</v>
      </c>
      <c r="C102" s="184"/>
      <c r="D102" s="186">
        <f>D96+D101</f>
        <v>0</v>
      </c>
      <c r="E102" s="184"/>
      <c r="F102" s="186">
        <f>F96+F101</f>
        <v>0</v>
      </c>
      <c r="G102" s="184"/>
      <c r="H102" s="186">
        <f>H96+H101</f>
        <v>0</v>
      </c>
      <c r="I102" s="157"/>
    </row>
    <row r="103" spans="1:9" ht="18">
      <c r="A103" s="184"/>
      <c r="B103" s="186"/>
      <c r="C103" s="184"/>
      <c r="D103" s="186"/>
      <c r="E103" s="184"/>
      <c r="F103" s="186"/>
      <c r="G103" s="184"/>
      <c r="H103" s="186"/>
      <c r="I103" s="157"/>
    </row>
    <row r="104" spans="1:9" ht="18">
      <c r="A104" s="178" t="s">
        <v>392</v>
      </c>
      <c r="B104" s="179">
        <f>B24</f>
        <v>0</v>
      </c>
      <c r="C104" s="178"/>
      <c r="D104" s="179">
        <f>D24</f>
        <v>0</v>
      </c>
      <c r="E104" s="178"/>
      <c r="F104" s="179">
        <f>F24</f>
        <v>0</v>
      </c>
      <c r="G104" s="178"/>
      <c r="H104" s="179">
        <f>H24</f>
        <v>0</v>
      </c>
      <c r="I104" s="116"/>
    </row>
    <row r="105" spans="1:9" ht="18">
      <c r="A105" s="178"/>
      <c r="B105" s="179"/>
      <c r="C105" s="178"/>
      <c r="D105" s="179"/>
      <c r="E105" s="178"/>
      <c r="F105" s="179"/>
      <c r="G105" s="178"/>
      <c r="H105" s="179"/>
      <c r="I105" s="116"/>
    </row>
    <row r="106" spans="1:9" ht="18">
      <c r="A106" s="184" t="s">
        <v>393</v>
      </c>
      <c r="B106" s="179">
        <f>B102-B104</f>
        <v>0</v>
      </c>
      <c r="C106" s="178"/>
      <c r="D106" s="179">
        <f>D102-D104</f>
        <v>0</v>
      </c>
      <c r="E106" s="178"/>
      <c r="F106" s="179">
        <f>F102-F104</f>
        <v>0</v>
      </c>
      <c r="G106" s="178"/>
      <c r="H106" s="179">
        <f>H102-H104</f>
        <v>0</v>
      </c>
      <c r="I106" s="116"/>
    </row>
    <row r="107" spans="1:9" ht="18"/>
  </sheetData>
  <mergeCells count="9">
    <mergeCell ref="A67:H68"/>
    <mergeCell ref="A1:H2"/>
    <mergeCell ref="I1:I2"/>
    <mergeCell ref="A3:A4"/>
    <mergeCell ref="A32:A33"/>
    <mergeCell ref="B32:B33"/>
    <mergeCell ref="D32:D33"/>
    <mergeCell ref="F32:F33"/>
    <mergeCell ref="H32:H33"/>
  </mergeCells>
  <conditionalFormatting sqref="B65 B48">
    <cfRule type="expression" dxfId="197" priority="4">
      <formula>$B$48&lt;&gt;$B$65</formula>
    </cfRule>
  </conditionalFormatting>
  <conditionalFormatting sqref="D65 D48">
    <cfRule type="expression" dxfId="196" priority="3">
      <formula>$D$48&lt;&gt;$D$65</formula>
    </cfRule>
  </conditionalFormatting>
  <conditionalFormatting sqref="F48 F65">
    <cfRule type="expression" dxfId="195" priority="2">
      <formula>$F$65&lt;&gt;$F$48</formula>
    </cfRule>
  </conditionalFormatting>
  <conditionalFormatting sqref="H48 H65">
    <cfRule type="expression" dxfId="194" priority="1">
      <formula>$H$48&lt;&gt;$H$65</formula>
    </cfRule>
  </conditionalFormatting>
  <pageMargins left="0.78749999999999998" right="0.78749999999999998" top="1.0249999999999999" bottom="1.0249999999999999" header="0.78749999999999998" footer="0.78749999999999998"/>
  <pageSetup scale="58" firstPageNumber="0" orientation="portrait" horizontalDpi="300" verticalDpi="300" r:id="rId1"/>
  <headerFooter alignWithMargins="0">
    <oddHeader>&amp;C&amp;"Arial,Regular"&amp;10&amp;A</oddHeader>
    <oddFooter>&amp;C&amp;"Arial,Regular"&amp;10Page &amp;P</oddFooter>
  </headerFooter>
  <rowBreaks count="2" manualBreakCount="2">
    <brk id="30" max="16383" man="1"/>
    <brk id="6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9"/>
  <dimension ref="A1:L107"/>
  <sheetViews>
    <sheetView view="pageBreakPreview" topLeftCell="A67" zoomScale="85" zoomScaleSheetLayoutView="85" workbookViewId="0">
      <selection activeCell="B78" sqref="B78:H80"/>
    </sheetView>
  </sheetViews>
  <sheetFormatPr defaultColWidth="13.5703125" defaultRowHeight="32.1" customHeight="1"/>
  <cols>
    <col min="1" max="1" width="37.28515625" style="116" customWidth="1"/>
    <col min="2" max="2" width="10.42578125" style="116" customWidth="1"/>
    <col min="3" max="3" width="12.7109375" style="116" customWidth="1"/>
    <col min="4" max="4" width="10.140625" style="133" customWidth="1"/>
    <col min="5" max="5" width="12.28515625" style="116" customWidth="1"/>
    <col min="6" max="6" width="15.7109375" style="133" customWidth="1"/>
    <col min="7" max="7" width="12.28515625" style="116" customWidth="1"/>
    <col min="8" max="8" width="15.7109375" style="133" customWidth="1"/>
    <col min="9" max="9" width="17.42578125" style="133" bestFit="1" customWidth="1"/>
    <col min="10" max="10" width="22" style="116" customWidth="1"/>
    <col min="11" max="11" width="12" style="116" customWidth="1"/>
    <col min="12" max="16384" width="13.5703125" style="116"/>
  </cols>
  <sheetData>
    <row r="1" spans="1:10" ht="18">
      <c r="A1" s="738"/>
      <c r="B1" s="738"/>
      <c r="C1" s="738"/>
      <c r="D1" s="738"/>
      <c r="E1" s="738"/>
      <c r="F1" s="738"/>
      <c r="G1" s="738"/>
      <c r="H1" s="738"/>
      <c r="I1" s="739"/>
    </row>
    <row r="2" spans="1:10" ht="7.5" customHeight="1">
      <c r="A2" s="738"/>
      <c r="B2" s="738"/>
      <c r="C2" s="738"/>
      <c r="D2" s="738"/>
      <c r="E2" s="738"/>
      <c r="F2" s="738"/>
      <c r="G2" s="738"/>
      <c r="H2" s="738"/>
      <c r="I2" s="739"/>
    </row>
    <row r="3" spans="1:10" ht="18">
      <c r="A3" s="740" t="s">
        <v>301</v>
      </c>
      <c r="B3" s="117" t="s">
        <v>558</v>
      </c>
      <c r="C3" s="118" t="s">
        <v>303</v>
      </c>
      <c r="D3" s="117" t="s">
        <v>559</v>
      </c>
      <c r="E3" s="118" t="s">
        <v>303</v>
      </c>
      <c r="F3" s="117" t="s">
        <v>560</v>
      </c>
      <c r="G3" s="118" t="s">
        <v>303</v>
      </c>
      <c r="H3" s="117" t="s">
        <v>561</v>
      </c>
      <c r="I3" s="119"/>
    </row>
    <row r="4" spans="1:10" ht="18">
      <c r="A4" s="740"/>
      <c r="B4" s="118" t="s">
        <v>307</v>
      </c>
      <c r="C4" s="117" t="s">
        <v>562</v>
      </c>
      <c r="D4" s="118" t="s">
        <v>307</v>
      </c>
      <c r="E4" s="117" t="s">
        <v>563</v>
      </c>
      <c r="F4" s="118" t="s">
        <v>307</v>
      </c>
      <c r="G4" s="117" t="s">
        <v>564</v>
      </c>
      <c r="H4" s="118" t="s">
        <v>307</v>
      </c>
      <c r="I4" s="119"/>
    </row>
    <row r="5" spans="1:10" ht="18">
      <c r="A5" s="120" t="s">
        <v>185</v>
      </c>
      <c r="B5" s="121"/>
      <c r="C5" s="122" t="e">
        <f>(B5-D5)/D5*100</f>
        <v>#DIV/0!</v>
      </c>
      <c r="D5" s="121"/>
      <c r="E5" s="122" t="e">
        <f>(D5-F5)/F5*100</f>
        <v>#DIV/0!</v>
      </c>
      <c r="F5" s="123"/>
      <c r="G5" s="122" t="e">
        <f>(F5-H5)/H5*100</f>
        <v>#DIV/0!</v>
      </c>
      <c r="H5" s="123"/>
      <c r="I5" s="124"/>
    </row>
    <row r="6" spans="1:10" ht="25.35" customHeight="1">
      <c r="A6" s="125" t="s">
        <v>311</v>
      </c>
      <c r="B6" s="121"/>
      <c r="C6" s="122" t="e">
        <f>(B6-D6)/D6*100</f>
        <v>#DIV/0!</v>
      </c>
      <c r="D6" s="121"/>
      <c r="E6" s="122" t="e">
        <f>(D6-F6)/F6*100</f>
        <v>#DIV/0!</v>
      </c>
      <c r="F6" s="121"/>
      <c r="G6" s="122" t="e">
        <f>(F6-H6)/H6*100</f>
        <v>#DIV/0!</v>
      </c>
      <c r="H6" s="121"/>
      <c r="I6" s="124"/>
    </row>
    <row r="7" spans="1:10" ht="18">
      <c r="A7" s="125" t="s">
        <v>312</v>
      </c>
      <c r="B7" s="121"/>
      <c r="C7" s="122" t="e">
        <f>(B7-D7)/D7*100</f>
        <v>#DIV/0!</v>
      </c>
      <c r="D7" s="121"/>
      <c r="E7" s="122" t="e">
        <f>(D7-F7)/F7*100</f>
        <v>#DIV/0!</v>
      </c>
      <c r="F7" s="121"/>
      <c r="G7" s="122" t="e">
        <f>(F7-H7)/H7*100</f>
        <v>#DIV/0!</v>
      </c>
      <c r="H7" s="121"/>
      <c r="I7" s="124"/>
    </row>
    <row r="8" spans="1:10" ht="18.75" thickBot="1">
      <c r="A8" s="126" t="s">
        <v>313</v>
      </c>
      <c r="B8" s="127">
        <f>B5+B6+B7</f>
        <v>0</v>
      </c>
      <c r="C8" s="122" t="e">
        <f>(B8-D8)/D8*100</f>
        <v>#DIV/0!</v>
      </c>
      <c r="D8" s="127">
        <f>D5+D6+D7</f>
        <v>0</v>
      </c>
      <c r="E8" s="122" t="e">
        <f>(D8-F8)/F8*100</f>
        <v>#DIV/0!</v>
      </c>
      <c r="F8" s="127">
        <f>F5+F6+F7</f>
        <v>0</v>
      </c>
      <c r="G8" s="122" t="e">
        <f>(F8-H8)/H8*100</f>
        <v>#DIV/0!</v>
      </c>
      <c r="H8" s="127">
        <f>H5+H6+H7</f>
        <v>0</v>
      </c>
      <c r="I8" s="124"/>
    </row>
    <row r="9" spans="1:10" ht="39" thickBot="1">
      <c r="A9" s="126"/>
      <c r="B9" s="127"/>
      <c r="C9" s="128" t="s">
        <v>565</v>
      </c>
      <c r="D9" s="127"/>
      <c r="E9" s="128" t="s">
        <v>566</v>
      </c>
      <c r="F9" s="129"/>
      <c r="G9" s="128" t="s">
        <v>567</v>
      </c>
      <c r="H9" s="129"/>
      <c r="I9" s="130" t="s">
        <v>568</v>
      </c>
    </row>
    <row r="10" spans="1:10" ht="18.75" thickBot="1">
      <c r="A10" s="131" t="s">
        <v>314</v>
      </c>
      <c r="B10" s="121"/>
      <c r="C10" s="122" t="e">
        <f t="shared" ref="C10:C29" si="0">B10/$B$5*100</f>
        <v>#DIV/0!</v>
      </c>
      <c r="D10" s="121"/>
      <c r="E10" s="122" t="e">
        <f t="shared" ref="E10:E29" si="1">D10/$D$5*100</f>
        <v>#DIV/0!</v>
      </c>
      <c r="F10" s="121"/>
      <c r="G10" s="122" t="e">
        <f t="shared" ref="G10:G29" si="2">F10/$F$5*100</f>
        <v>#DIV/0!</v>
      </c>
      <c r="H10" s="121"/>
      <c r="I10" s="132" t="e">
        <f t="shared" ref="I10:I29" si="3">H10/$H$5*100</f>
        <v>#DIV/0!</v>
      </c>
    </row>
    <row r="11" spans="1:10" ht="18.75" thickBot="1">
      <c r="A11" s="131" t="s">
        <v>315</v>
      </c>
      <c r="B11" s="121"/>
      <c r="C11" s="122" t="e">
        <f t="shared" si="0"/>
        <v>#DIV/0!</v>
      </c>
      <c r="D11" s="121"/>
      <c r="E11" s="122" t="e">
        <f t="shared" si="1"/>
        <v>#DIV/0!</v>
      </c>
      <c r="F11" s="123"/>
      <c r="G11" s="122" t="e">
        <f t="shared" si="2"/>
        <v>#DIV/0!</v>
      </c>
      <c r="H11" s="123"/>
      <c r="I11" s="132" t="e">
        <f t="shared" si="3"/>
        <v>#DIV/0!</v>
      </c>
      <c r="J11" s="133"/>
    </row>
    <row r="12" spans="1:10" ht="18.75" thickBot="1">
      <c r="A12" s="131" t="s">
        <v>316</v>
      </c>
      <c r="B12" s="121"/>
      <c r="C12" s="122" t="e">
        <f t="shared" si="0"/>
        <v>#DIV/0!</v>
      </c>
      <c r="D12" s="121"/>
      <c r="E12" s="122" t="e">
        <f t="shared" si="1"/>
        <v>#DIV/0!</v>
      </c>
      <c r="F12" s="123"/>
      <c r="G12" s="122" t="e">
        <f t="shared" si="2"/>
        <v>#DIV/0!</v>
      </c>
      <c r="H12" s="123"/>
      <c r="I12" s="132" t="e">
        <f t="shared" si="3"/>
        <v>#DIV/0!</v>
      </c>
    </row>
    <row r="13" spans="1:10" ht="18.75" thickBot="1">
      <c r="A13" s="134" t="s">
        <v>317</v>
      </c>
      <c r="B13" s="135">
        <f>B8-B10-B11-B12</f>
        <v>0</v>
      </c>
      <c r="C13" s="122" t="e">
        <f t="shared" si="0"/>
        <v>#DIV/0!</v>
      </c>
      <c r="D13" s="135">
        <f>D8-D10-D11-D12</f>
        <v>0</v>
      </c>
      <c r="E13" s="122" t="e">
        <f t="shared" si="1"/>
        <v>#DIV/0!</v>
      </c>
      <c r="F13" s="135">
        <f>F8-F10-F11-F12</f>
        <v>0</v>
      </c>
      <c r="G13" s="122" t="e">
        <f t="shared" si="2"/>
        <v>#DIV/0!</v>
      </c>
      <c r="H13" s="135">
        <f>H8-H10-H11-H12</f>
        <v>0</v>
      </c>
      <c r="I13" s="132" t="e">
        <f t="shared" si="3"/>
        <v>#DIV/0!</v>
      </c>
    </row>
    <row r="14" spans="1:10" ht="18.75" thickBot="1">
      <c r="A14" s="136" t="s">
        <v>318</v>
      </c>
      <c r="B14" s="121"/>
      <c r="C14" s="122" t="e">
        <f t="shared" si="0"/>
        <v>#DIV/0!</v>
      </c>
      <c r="D14" s="121"/>
      <c r="E14" s="122" t="e">
        <f t="shared" si="1"/>
        <v>#DIV/0!</v>
      </c>
      <c r="F14" s="123"/>
      <c r="G14" s="122" t="e">
        <f t="shared" si="2"/>
        <v>#DIV/0!</v>
      </c>
      <c r="H14" s="123"/>
      <c r="I14" s="132" t="e">
        <f t="shared" si="3"/>
        <v>#DIV/0!</v>
      </c>
      <c r="J14" s="133"/>
    </row>
    <row r="15" spans="1:10" ht="18.75" thickBot="1">
      <c r="A15" s="136" t="s">
        <v>319</v>
      </c>
      <c r="B15" s="121"/>
      <c r="C15" s="122" t="e">
        <f t="shared" si="0"/>
        <v>#DIV/0!</v>
      </c>
      <c r="D15" s="121"/>
      <c r="E15" s="122" t="e">
        <f t="shared" si="1"/>
        <v>#DIV/0!</v>
      </c>
      <c r="F15" s="123"/>
      <c r="G15" s="122" t="e">
        <f t="shared" si="2"/>
        <v>#DIV/0!</v>
      </c>
      <c r="H15" s="123"/>
      <c r="I15" s="132" t="e">
        <f t="shared" si="3"/>
        <v>#DIV/0!</v>
      </c>
      <c r="J15" s="133"/>
    </row>
    <row r="16" spans="1:10" ht="18.75" thickBot="1">
      <c r="A16" s="134" t="s">
        <v>320</v>
      </c>
      <c r="B16" s="135">
        <f>B13-B14-B15</f>
        <v>0</v>
      </c>
      <c r="C16" s="122" t="e">
        <f t="shared" si="0"/>
        <v>#DIV/0!</v>
      </c>
      <c r="D16" s="135">
        <f>D13-D14-D15</f>
        <v>0</v>
      </c>
      <c r="E16" s="122" t="e">
        <f t="shared" si="1"/>
        <v>#DIV/0!</v>
      </c>
      <c r="F16" s="135">
        <f>F13-F14-F15</f>
        <v>0</v>
      </c>
      <c r="G16" s="122" t="e">
        <f t="shared" si="2"/>
        <v>#DIV/0!</v>
      </c>
      <c r="H16" s="135">
        <f>H13-H14-H15</f>
        <v>0</v>
      </c>
      <c r="I16" s="132" t="e">
        <f t="shared" si="3"/>
        <v>#DIV/0!</v>
      </c>
    </row>
    <row r="17" spans="1:12" ht="18.75" thickBot="1">
      <c r="A17" s="137" t="s">
        <v>218</v>
      </c>
      <c r="B17" s="121"/>
      <c r="C17" s="122" t="e">
        <f t="shared" si="0"/>
        <v>#DIV/0!</v>
      </c>
      <c r="D17" s="121"/>
      <c r="E17" s="122" t="e">
        <f t="shared" si="1"/>
        <v>#DIV/0!</v>
      </c>
      <c r="F17" s="123"/>
      <c r="G17" s="122" t="e">
        <f t="shared" si="2"/>
        <v>#DIV/0!</v>
      </c>
      <c r="H17" s="123"/>
      <c r="I17" s="132" t="e">
        <f t="shared" si="3"/>
        <v>#DIV/0!</v>
      </c>
      <c r="L17" s="138"/>
    </row>
    <row r="18" spans="1:12" s="138" customFormat="1" ht="18.75" thickBot="1">
      <c r="A18" s="131" t="s">
        <v>321</v>
      </c>
      <c r="B18" s="121"/>
      <c r="C18" s="122" t="e">
        <f t="shared" si="0"/>
        <v>#DIV/0!</v>
      </c>
      <c r="D18" s="121"/>
      <c r="E18" s="122" t="e">
        <f t="shared" si="1"/>
        <v>#DIV/0!</v>
      </c>
      <c r="F18" s="123"/>
      <c r="G18" s="122" t="e">
        <f t="shared" si="2"/>
        <v>#DIV/0!</v>
      </c>
      <c r="H18" s="123"/>
      <c r="I18" s="132" t="e">
        <f t="shared" si="3"/>
        <v>#DIV/0!</v>
      </c>
      <c r="L18" s="116"/>
    </row>
    <row r="19" spans="1:12" s="138" customFormat="1" ht="18.75" thickBot="1">
      <c r="A19" s="131" t="s">
        <v>322</v>
      </c>
      <c r="B19" s="121"/>
      <c r="C19" s="122" t="e">
        <f t="shared" si="0"/>
        <v>#DIV/0!</v>
      </c>
      <c r="D19" s="121"/>
      <c r="E19" s="122" t="e">
        <f t="shared" si="1"/>
        <v>#DIV/0!</v>
      </c>
      <c r="F19" s="123"/>
      <c r="G19" s="122" t="e">
        <f t="shared" si="2"/>
        <v>#DIV/0!</v>
      </c>
      <c r="H19" s="123"/>
      <c r="I19" s="132" t="e">
        <f t="shared" si="3"/>
        <v>#DIV/0!</v>
      </c>
      <c r="L19" s="116"/>
    </row>
    <row r="20" spans="1:12" s="138" customFormat="1" ht="18.75" thickBot="1">
      <c r="A20" s="131" t="s">
        <v>323</v>
      </c>
      <c r="B20" s="121"/>
      <c r="C20" s="122" t="e">
        <f t="shared" si="0"/>
        <v>#DIV/0!</v>
      </c>
      <c r="D20" s="121"/>
      <c r="E20" s="122" t="e">
        <f t="shared" si="1"/>
        <v>#DIV/0!</v>
      </c>
      <c r="F20" s="123"/>
      <c r="G20" s="122" t="e">
        <f t="shared" si="2"/>
        <v>#DIV/0!</v>
      </c>
      <c r="H20" s="123"/>
      <c r="I20" s="132" t="e">
        <f t="shared" si="3"/>
        <v>#DIV/0!</v>
      </c>
      <c r="L20" s="116"/>
    </row>
    <row r="21" spans="1:12" s="138" customFormat="1" ht="18.75" thickBot="1">
      <c r="A21" s="131" t="s">
        <v>324</v>
      </c>
      <c r="B21" s="121"/>
      <c r="C21" s="122" t="e">
        <f t="shared" si="0"/>
        <v>#DIV/0!</v>
      </c>
      <c r="D21" s="121"/>
      <c r="E21" s="122" t="e">
        <f t="shared" si="1"/>
        <v>#DIV/0!</v>
      </c>
      <c r="F21" s="123"/>
      <c r="G21" s="122" t="e">
        <f t="shared" si="2"/>
        <v>#DIV/0!</v>
      </c>
      <c r="H21" s="123"/>
      <c r="I21" s="132" t="e">
        <f t="shared" si="3"/>
        <v>#DIV/0!</v>
      </c>
      <c r="L21" s="116"/>
    </row>
    <row r="22" spans="1:12" ht="18.75" thickBot="1">
      <c r="A22" s="137" t="s">
        <v>325</v>
      </c>
      <c r="B22" s="121"/>
      <c r="C22" s="122" t="e">
        <f t="shared" si="0"/>
        <v>#DIV/0!</v>
      </c>
      <c r="D22" s="121"/>
      <c r="E22" s="122" t="e">
        <f t="shared" si="1"/>
        <v>#DIV/0!</v>
      </c>
      <c r="F22" s="123"/>
      <c r="G22" s="122" t="e">
        <f t="shared" si="2"/>
        <v>#DIV/0!</v>
      </c>
      <c r="H22" s="123"/>
      <c r="I22" s="132" t="e">
        <f t="shared" si="3"/>
        <v>#DIV/0!</v>
      </c>
    </row>
    <row r="23" spans="1:12" ht="18.75" thickBot="1">
      <c r="A23" s="139" t="s">
        <v>326</v>
      </c>
      <c r="B23" s="140">
        <f>B16-B17-B18-B22-B21-B19-B20</f>
        <v>0</v>
      </c>
      <c r="C23" s="122" t="e">
        <f t="shared" si="0"/>
        <v>#DIV/0!</v>
      </c>
      <c r="D23" s="140">
        <f>D16-D17-D18-D22-D21-D19-D20</f>
        <v>0</v>
      </c>
      <c r="E23" s="122" t="e">
        <f t="shared" si="1"/>
        <v>#DIV/0!</v>
      </c>
      <c r="F23" s="140">
        <f>F16-F17-F18-F22-F21-F19-F20</f>
        <v>0</v>
      </c>
      <c r="G23" s="122" t="e">
        <f t="shared" si="2"/>
        <v>#DIV/0!</v>
      </c>
      <c r="H23" s="140">
        <f>H16-H17-H18-H22-H21-H19-H20</f>
        <v>0</v>
      </c>
      <c r="I23" s="132" t="e">
        <f t="shared" si="3"/>
        <v>#DIV/0!</v>
      </c>
    </row>
    <row r="24" spans="1:12" ht="18.75" thickBot="1">
      <c r="A24" s="125" t="s">
        <v>327</v>
      </c>
      <c r="B24" s="121"/>
      <c r="C24" s="122" t="e">
        <f t="shared" si="0"/>
        <v>#DIV/0!</v>
      </c>
      <c r="D24" s="121"/>
      <c r="E24" s="122" t="e">
        <f t="shared" si="1"/>
        <v>#DIV/0!</v>
      </c>
      <c r="F24" s="121"/>
      <c r="G24" s="122" t="e">
        <f t="shared" si="2"/>
        <v>#DIV/0!</v>
      </c>
      <c r="H24" s="121"/>
      <c r="I24" s="132" t="e">
        <f t="shared" si="3"/>
        <v>#DIV/0!</v>
      </c>
      <c r="K24" s="141"/>
    </row>
    <row r="25" spans="1:12" ht="18.75" thickBot="1">
      <c r="A25" s="142" t="s">
        <v>186</v>
      </c>
      <c r="B25" s="127">
        <f>B23-B24</f>
        <v>0</v>
      </c>
      <c r="C25" s="143" t="e">
        <f t="shared" si="0"/>
        <v>#DIV/0!</v>
      </c>
      <c r="D25" s="127">
        <f>D23-D24</f>
        <v>0</v>
      </c>
      <c r="E25" s="143" t="e">
        <f t="shared" si="1"/>
        <v>#DIV/0!</v>
      </c>
      <c r="F25" s="127">
        <f>F23-F24</f>
        <v>0</v>
      </c>
      <c r="G25" s="122" t="e">
        <f t="shared" si="2"/>
        <v>#DIV/0!</v>
      </c>
      <c r="H25" s="127">
        <f>H23-H24</f>
        <v>0</v>
      </c>
      <c r="I25" s="132" t="e">
        <f t="shared" si="3"/>
        <v>#DIV/0!</v>
      </c>
      <c r="J25" s="144"/>
    </row>
    <row r="26" spans="1:12" ht="18.75" thickBot="1">
      <c r="A26" s="139" t="s">
        <v>328</v>
      </c>
      <c r="B26" s="140">
        <f>B25+B17+B22</f>
        <v>0</v>
      </c>
      <c r="C26" s="122" t="e">
        <f t="shared" si="0"/>
        <v>#DIV/0!</v>
      </c>
      <c r="D26" s="140">
        <f>D25+D17+D22</f>
        <v>0</v>
      </c>
      <c r="E26" s="122" t="e">
        <f t="shared" si="1"/>
        <v>#DIV/0!</v>
      </c>
      <c r="F26" s="140">
        <f>F25+F17+F22</f>
        <v>0</v>
      </c>
      <c r="G26" s="122" t="e">
        <f t="shared" si="2"/>
        <v>#DIV/0!</v>
      </c>
      <c r="H26" s="140">
        <f>H25+H17+H22</f>
        <v>0</v>
      </c>
      <c r="I26" s="132" t="e">
        <f t="shared" si="3"/>
        <v>#DIV/0!</v>
      </c>
    </row>
    <row r="27" spans="1:12" ht="18.75" thickBot="1">
      <c r="A27" s="145" t="s">
        <v>329</v>
      </c>
      <c r="B27" s="121"/>
      <c r="C27" s="122" t="e">
        <f t="shared" si="0"/>
        <v>#DIV/0!</v>
      </c>
      <c r="D27" s="121"/>
      <c r="E27" s="122" t="e">
        <f t="shared" si="1"/>
        <v>#DIV/0!</v>
      </c>
      <c r="F27" s="121"/>
      <c r="G27" s="122" t="e">
        <f t="shared" si="2"/>
        <v>#DIV/0!</v>
      </c>
      <c r="H27" s="121"/>
      <c r="I27" s="132" t="e">
        <f t="shared" si="3"/>
        <v>#DIV/0!</v>
      </c>
    </row>
    <row r="28" spans="1:12" ht="18.75" thickBot="1">
      <c r="A28" s="145" t="s">
        <v>220</v>
      </c>
      <c r="B28" s="121"/>
      <c r="C28" s="122" t="e">
        <f t="shared" si="0"/>
        <v>#DIV/0!</v>
      </c>
      <c r="D28" s="121"/>
      <c r="E28" s="122" t="e">
        <f t="shared" si="1"/>
        <v>#DIV/0!</v>
      </c>
      <c r="F28" s="121"/>
      <c r="G28" s="122" t="e">
        <f t="shared" si="2"/>
        <v>#DIV/0!</v>
      </c>
      <c r="H28" s="121"/>
      <c r="I28" s="132" t="e">
        <f t="shared" si="3"/>
        <v>#DIV/0!</v>
      </c>
    </row>
    <row r="29" spans="1:12" ht="18.75" thickBot="1">
      <c r="A29" s="146" t="s">
        <v>187</v>
      </c>
      <c r="B29" s="147">
        <f>B26+B27+B28</f>
        <v>0</v>
      </c>
      <c r="C29" s="143" t="e">
        <f t="shared" si="0"/>
        <v>#DIV/0!</v>
      </c>
      <c r="D29" s="147">
        <f>D26+D27+D28</f>
        <v>0</v>
      </c>
      <c r="E29" s="143" t="e">
        <f t="shared" si="1"/>
        <v>#DIV/0!</v>
      </c>
      <c r="F29" s="147">
        <f>F26+F27+F28</f>
        <v>0</v>
      </c>
      <c r="G29" s="122" t="e">
        <f t="shared" si="2"/>
        <v>#DIV/0!</v>
      </c>
      <c r="H29" s="147">
        <f>H26+H27+H28</f>
        <v>0</v>
      </c>
      <c r="I29" s="132" t="e">
        <f t="shared" si="3"/>
        <v>#DIV/0!</v>
      </c>
    </row>
    <row r="30" spans="1:12" ht="18.75" thickBot="1">
      <c r="A30" s="146"/>
      <c r="B30" s="147"/>
      <c r="C30" s="143"/>
      <c r="D30" s="147"/>
      <c r="E30" s="143"/>
      <c r="F30" s="147"/>
      <c r="G30" s="143"/>
      <c r="H30" s="147"/>
      <c r="I30" s="148"/>
      <c r="J30" s="149"/>
    </row>
    <row r="31" spans="1:12" ht="18">
      <c r="A31" s="150"/>
      <c r="B31" s="151"/>
      <c r="C31" s="152"/>
      <c r="D31" s="151"/>
      <c r="E31" s="152"/>
      <c r="F31" s="151"/>
      <c r="G31" s="152"/>
      <c r="H31" s="151"/>
      <c r="I31" s="153" t="s">
        <v>330</v>
      </c>
    </row>
    <row r="32" spans="1:12" ht="18">
      <c r="A32" s="740" t="s">
        <v>331</v>
      </c>
      <c r="B32" s="741" t="str">
        <f>B3</f>
        <v>31.03.2021</v>
      </c>
      <c r="C32" s="154" t="s">
        <v>303</v>
      </c>
      <c r="D32" s="741" t="str">
        <f>D3</f>
        <v>31.03.2020</v>
      </c>
      <c r="E32" s="154" t="s">
        <v>303</v>
      </c>
      <c r="F32" s="741" t="str">
        <f>F3</f>
        <v>31.03.2019</v>
      </c>
      <c r="G32" s="154" t="s">
        <v>303</v>
      </c>
      <c r="H32" s="742" t="s">
        <v>306</v>
      </c>
      <c r="I32" s="155"/>
    </row>
    <row r="33" spans="1:10" ht="18">
      <c r="A33" s="740"/>
      <c r="B33" s="741"/>
      <c r="C33" s="156" t="str">
        <f>C4</f>
        <v>In 2021</v>
      </c>
      <c r="D33" s="741"/>
      <c r="E33" s="156" t="str">
        <f>E4</f>
        <v>In 2020</v>
      </c>
      <c r="F33" s="741"/>
      <c r="G33" s="156" t="str">
        <f>G4</f>
        <v>In 2019</v>
      </c>
      <c r="H33" s="742"/>
      <c r="I33" s="157"/>
    </row>
    <row r="34" spans="1:10" ht="18">
      <c r="A34" s="158" t="s">
        <v>332</v>
      </c>
      <c r="B34" s="121"/>
      <c r="C34" s="122" t="e">
        <f t="shared" ref="C34:C65" si="4">(B34-D34)/D34*100</f>
        <v>#DIV/0!</v>
      </c>
      <c r="D34" s="121"/>
      <c r="E34" s="122" t="e">
        <f t="shared" ref="E34:E65" si="5">(D34-F34)/F34*100</f>
        <v>#DIV/0!</v>
      </c>
      <c r="F34" s="121"/>
      <c r="G34" s="122" t="e">
        <f t="shared" ref="G34:G65" si="6">(F34-H34)/H34*100</f>
        <v>#DIV/0!</v>
      </c>
      <c r="H34" s="121"/>
      <c r="I34" s="116"/>
    </row>
    <row r="35" spans="1:10" ht="26.25">
      <c r="A35" s="158" t="s">
        <v>333</v>
      </c>
      <c r="B35" s="121"/>
      <c r="C35" s="122" t="e">
        <f t="shared" si="4"/>
        <v>#DIV/0!</v>
      </c>
      <c r="D35" s="121"/>
      <c r="E35" s="122" t="e">
        <f t="shared" si="5"/>
        <v>#DIV/0!</v>
      </c>
      <c r="F35" s="123"/>
      <c r="G35" s="122" t="e">
        <f t="shared" si="6"/>
        <v>#DIV/0!</v>
      </c>
      <c r="H35" s="123"/>
      <c r="I35" s="116"/>
    </row>
    <row r="36" spans="1:10" ht="18">
      <c r="A36" s="159" t="s">
        <v>188</v>
      </c>
      <c r="B36" s="127">
        <f>SUM(B34:B35)</f>
        <v>0</v>
      </c>
      <c r="C36" s="122" t="e">
        <f t="shared" si="4"/>
        <v>#DIV/0!</v>
      </c>
      <c r="D36" s="127">
        <f>SUM(D34:D35)</f>
        <v>0</v>
      </c>
      <c r="E36" s="122" t="e">
        <f t="shared" si="5"/>
        <v>#DIV/0!</v>
      </c>
      <c r="F36" s="140">
        <f>SUM(F34:F35)</f>
        <v>0</v>
      </c>
      <c r="G36" s="122" t="e">
        <f t="shared" si="6"/>
        <v>#DIV/0!</v>
      </c>
      <c r="H36" s="140">
        <f>SUM(H34:H35)</f>
        <v>0</v>
      </c>
      <c r="I36" s="116"/>
    </row>
    <row r="37" spans="1:10" ht="18">
      <c r="A37" s="158" t="s">
        <v>334</v>
      </c>
      <c r="B37" s="121"/>
      <c r="C37" s="122" t="e">
        <f t="shared" si="4"/>
        <v>#DIV/0!</v>
      </c>
      <c r="D37" s="121"/>
      <c r="E37" s="122" t="e">
        <f t="shared" si="5"/>
        <v>#DIV/0!</v>
      </c>
      <c r="F37" s="121"/>
      <c r="G37" s="122" t="e">
        <f t="shared" si="6"/>
        <v>#DIV/0!</v>
      </c>
      <c r="H37" s="121"/>
      <c r="I37" s="116"/>
    </row>
    <row r="38" spans="1:10" ht="18">
      <c r="A38" s="159" t="s">
        <v>335</v>
      </c>
      <c r="B38" s="127">
        <f>B34+B35+B43-B62-B64-B52</f>
        <v>0</v>
      </c>
      <c r="C38" s="122" t="e">
        <f t="shared" si="4"/>
        <v>#DIV/0!</v>
      </c>
      <c r="D38" s="127">
        <f>D34+D35+D43-D62-D64-D52</f>
        <v>0</v>
      </c>
      <c r="E38" s="122" t="e">
        <f t="shared" si="5"/>
        <v>#DIV/0!</v>
      </c>
      <c r="F38" s="140">
        <f>F34+F35+F43-F62-F64-F52</f>
        <v>0</v>
      </c>
      <c r="G38" s="122" t="e">
        <f t="shared" si="6"/>
        <v>#DIV/0!</v>
      </c>
      <c r="H38" s="140">
        <f>H34+H35+H43-H62-H64-H52</f>
        <v>0</v>
      </c>
      <c r="I38" s="116"/>
    </row>
    <row r="39" spans="1:10" ht="18">
      <c r="A39" s="158" t="s">
        <v>189</v>
      </c>
      <c r="B39" s="121"/>
      <c r="C39" s="122" t="e">
        <f t="shared" si="4"/>
        <v>#DIV/0!</v>
      </c>
      <c r="D39" s="121"/>
      <c r="E39" s="122" t="e">
        <f t="shared" si="5"/>
        <v>#DIV/0!</v>
      </c>
      <c r="F39" s="123"/>
      <c r="G39" s="122" t="e">
        <f t="shared" si="6"/>
        <v>#DIV/0!</v>
      </c>
      <c r="H39" s="123"/>
    </row>
    <row r="40" spans="1:10" ht="18">
      <c r="A40" s="158" t="s">
        <v>190</v>
      </c>
      <c r="B40" s="121"/>
      <c r="C40" s="122" t="e">
        <f t="shared" si="4"/>
        <v>#DIV/0!</v>
      </c>
      <c r="D40" s="121"/>
      <c r="E40" s="122" t="e">
        <f t="shared" si="5"/>
        <v>#DIV/0!</v>
      </c>
      <c r="F40" s="123"/>
      <c r="G40" s="122" t="e">
        <f t="shared" si="6"/>
        <v>#DIV/0!</v>
      </c>
      <c r="H40" s="123"/>
      <c r="I40" s="160"/>
      <c r="J40" s="161"/>
    </row>
    <row r="41" spans="1:10" ht="18">
      <c r="A41" s="162" t="s">
        <v>336</v>
      </c>
      <c r="B41" s="163">
        <f>B39+B40</f>
        <v>0</v>
      </c>
      <c r="C41" s="122" t="e">
        <f t="shared" si="4"/>
        <v>#DIV/0!</v>
      </c>
      <c r="D41" s="163">
        <f>D39+D40</f>
        <v>0</v>
      </c>
      <c r="E41" s="122" t="e">
        <f t="shared" si="5"/>
        <v>#DIV/0!</v>
      </c>
      <c r="F41" s="163">
        <f>F39+F40</f>
        <v>0</v>
      </c>
      <c r="G41" s="122" t="e">
        <f t="shared" si="6"/>
        <v>#DIV/0!</v>
      </c>
      <c r="H41" s="163">
        <f>H39+H40</f>
        <v>0</v>
      </c>
      <c r="I41" s="116"/>
      <c r="J41" s="161"/>
    </row>
    <row r="42" spans="1:10" ht="18">
      <c r="A42" s="158" t="s">
        <v>337</v>
      </c>
      <c r="B42" s="121"/>
      <c r="C42" s="122" t="e">
        <f t="shared" si="4"/>
        <v>#DIV/0!</v>
      </c>
      <c r="D42" s="121"/>
      <c r="E42" s="122" t="e">
        <f t="shared" si="5"/>
        <v>#DIV/0!</v>
      </c>
      <c r="F42" s="123"/>
      <c r="G42" s="122" t="e">
        <f t="shared" si="6"/>
        <v>#DIV/0!</v>
      </c>
      <c r="H42" s="123"/>
      <c r="I42" s="116"/>
    </row>
    <row r="43" spans="1:10" ht="26.25">
      <c r="A43" s="164" t="s">
        <v>338</v>
      </c>
      <c r="B43" s="121"/>
      <c r="C43" s="122" t="e">
        <f t="shared" si="4"/>
        <v>#DIV/0!</v>
      </c>
      <c r="D43" s="121"/>
      <c r="E43" s="122" t="e">
        <f t="shared" si="5"/>
        <v>#DIV/0!</v>
      </c>
      <c r="F43" s="123"/>
      <c r="G43" s="122" t="e">
        <f t="shared" si="6"/>
        <v>#DIV/0!</v>
      </c>
      <c r="H43" s="123"/>
      <c r="I43" s="116"/>
    </row>
    <row r="44" spans="1:10" ht="18">
      <c r="A44" s="165" t="s">
        <v>339</v>
      </c>
      <c r="B44" s="166">
        <f>B45+B46</f>
        <v>0</v>
      </c>
      <c r="C44" s="122" t="e">
        <f t="shared" si="4"/>
        <v>#DIV/0!</v>
      </c>
      <c r="D44" s="166">
        <f>D45+D46</f>
        <v>0</v>
      </c>
      <c r="E44" s="122" t="e">
        <f t="shared" si="5"/>
        <v>#DIV/0!</v>
      </c>
      <c r="F44" s="166">
        <f>F45+F46</f>
        <v>0</v>
      </c>
      <c r="G44" s="122" t="e">
        <f t="shared" si="6"/>
        <v>#DIV/0!</v>
      </c>
      <c r="H44" s="166">
        <f>H45+H46</f>
        <v>0</v>
      </c>
      <c r="I44" s="116"/>
    </row>
    <row r="45" spans="1:10" ht="18">
      <c r="A45" s="167" t="s">
        <v>340</v>
      </c>
      <c r="B45" s="121"/>
      <c r="C45" s="122" t="e">
        <f t="shared" si="4"/>
        <v>#DIV/0!</v>
      </c>
      <c r="D45" s="121"/>
      <c r="E45" s="122" t="e">
        <f t="shared" si="5"/>
        <v>#DIV/0!</v>
      </c>
      <c r="F45" s="123"/>
      <c r="G45" s="122" t="e">
        <f t="shared" si="6"/>
        <v>#DIV/0!</v>
      </c>
      <c r="H45" s="123"/>
      <c r="I45" s="116"/>
    </row>
    <row r="46" spans="1:10" ht="18">
      <c r="A46" s="158" t="s">
        <v>341</v>
      </c>
      <c r="B46" s="121"/>
      <c r="C46" s="122" t="e">
        <f t="shared" si="4"/>
        <v>#DIV/0!</v>
      </c>
      <c r="D46" s="121"/>
      <c r="E46" s="122" t="e">
        <f t="shared" si="5"/>
        <v>#DIV/0!</v>
      </c>
      <c r="F46" s="123"/>
      <c r="G46" s="122" t="e">
        <f t="shared" si="6"/>
        <v>#DIV/0!</v>
      </c>
      <c r="H46" s="123"/>
      <c r="I46" s="116"/>
    </row>
    <row r="47" spans="1:10" ht="18">
      <c r="A47" s="168" t="s">
        <v>342</v>
      </c>
      <c r="B47" s="140">
        <f>B41+B42+B44</f>
        <v>0</v>
      </c>
      <c r="C47" s="122" t="e">
        <f t="shared" si="4"/>
        <v>#DIV/0!</v>
      </c>
      <c r="D47" s="140">
        <f>D41+D42+D44</f>
        <v>0</v>
      </c>
      <c r="E47" s="122" t="e">
        <f t="shared" si="5"/>
        <v>#DIV/0!</v>
      </c>
      <c r="F47" s="140">
        <f>F41+F42+F44</f>
        <v>0</v>
      </c>
      <c r="G47" s="122" t="e">
        <f t="shared" si="6"/>
        <v>#DIV/0!</v>
      </c>
      <c r="H47" s="140">
        <f>H41+H42+H44</f>
        <v>0</v>
      </c>
      <c r="I47" s="116"/>
    </row>
    <row r="48" spans="1:10" ht="18">
      <c r="A48" s="202" t="s">
        <v>343</v>
      </c>
      <c r="B48" s="203">
        <f>B36+B37+B41+B42+B43+B44</f>
        <v>0</v>
      </c>
      <c r="C48" s="204" t="e">
        <f t="shared" si="4"/>
        <v>#DIV/0!</v>
      </c>
      <c r="D48" s="203">
        <f>D36+D37+D41+D42+D43+D44</f>
        <v>0</v>
      </c>
      <c r="E48" s="204" t="e">
        <f t="shared" si="5"/>
        <v>#DIV/0!</v>
      </c>
      <c r="F48" s="203">
        <f>F36+F37+F41+F42+F43+F44</f>
        <v>0</v>
      </c>
      <c r="G48" s="204" t="e">
        <f t="shared" si="6"/>
        <v>#DIV/0!</v>
      </c>
      <c r="H48" s="203">
        <f>H36+H37+H41+H42+H43+H44</f>
        <v>0</v>
      </c>
      <c r="I48" s="116"/>
    </row>
    <row r="49" spans="1:9" ht="18">
      <c r="A49" s="164" t="s">
        <v>344</v>
      </c>
      <c r="B49" s="121"/>
      <c r="C49" s="122" t="e">
        <f t="shared" si="4"/>
        <v>#DIV/0!</v>
      </c>
      <c r="D49" s="121"/>
      <c r="E49" s="122" t="e">
        <f t="shared" si="5"/>
        <v>#DIV/0!</v>
      </c>
      <c r="F49" s="123"/>
      <c r="G49" s="122" t="e">
        <f t="shared" si="6"/>
        <v>#DIV/0!</v>
      </c>
      <c r="H49" s="123"/>
      <c r="I49" s="169"/>
    </row>
    <row r="50" spans="1:9" ht="18">
      <c r="A50" s="170" t="s">
        <v>345</v>
      </c>
      <c r="B50" s="140">
        <f>B51+B53+B52</f>
        <v>0</v>
      </c>
      <c r="C50" s="122" t="e">
        <f t="shared" si="4"/>
        <v>#DIV/0!</v>
      </c>
      <c r="D50" s="140">
        <f>D51+D53+D52</f>
        <v>0</v>
      </c>
      <c r="E50" s="122" t="e">
        <f t="shared" si="5"/>
        <v>#DIV/0!</v>
      </c>
      <c r="F50" s="140">
        <f>F51+F53+F52</f>
        <v>0</v>
      </c>
      <c r="G50" s="122" t="e">
        <f t="shared" si="6"/>
        <v>#DIV/0!</v>
      </c>
      <c r="H50" s="140">
        <f>H51+H53+H52</f>
        <v>0</v>
      </c>
      <c r="I50" s="116"/>
    </row>
    <row r="51" spans="1:9" ht="18">
      <c r="A51" s="171" t="s">
        <v>346</v>
      </c>
      <c r="B51" s="121"/>
      <c r="C51" s="122" t="e">
        <f t="shared" si="4"/>
        <v>#DIV/0!</v>
      </c>
      <c r="D51" s="121"/>
      <c r="E51" s="122" t="e">
        <f t="shared" si="5"/>
        <v>#DIV/0!</v>
      </c>
      <c r="F51" s="123"/>
      <c r="G51" s="122" t="e">
        <f t="shared" si="6"/>
        <v>#DIV/0!</v>
      </c>
      <c r="H51" s="123"/>
      <c r="I51" s="116"/>
    </row>
    <row r="52" spans="1:9" ht="18">
      <c r="A52" s="171" t="s">
        <v>347</v>
      </c>
      <c r="B52" s="121"/>
      <c r="C52" s="122" t="e">
        <f t="shared" si="4"/>
        <v>#DIV/0!</v>
      </c>
      <c r="D52" s="121"/>
      <c r="E52" s="122" t="e">
        <f t="shared" si="5"/>
        <v>#DIV/0!</v>
      </c>
      <c r="F52" s="121"/>
      <c r="G52" s="122" t="e">
        <f t="shared" si="6"/>
        <v>#DIV/0!</v>
      </c>
      <c r="H52" s="121"/>
      <c r="I52" s="116"/>
    </row>
    <row r="53" spans="1:9" ht="18">
      <c r="A53" s="171" t="s">
        <v>348</v>
      </c>
      <c r="B53" s="121"/>
      <c r="C53" s="122" t="e">
        <f t="shared" si="4"/>
        <v>#DIV/0!</v>
      </c>
      <c r="D53" s="121"/>
      <c r="E53" s="122" t="e">
        <f t="shared" si="5"/>
        <v>#DIV/0!</v>
      </c>
      <c r="F53" s="121"/>
      <c r="G53" s="122" t="e">
        <f t="shared" si="6"/>
        <v>#DIV/0!</v>
      </c>
      <c r="H53" s="121"/>
      <c r="I53" s="116"/>
    </row>
    <row r="54" spans="1:9" ht="18">
      <c r="A54" s="172" t="s">
        <v>349</v>
      </c>
      <c r="B54" s="166">
        <f>B56+B57+B60+B61+B55</f>
        <v>0</v>
      </c>
      <c r="C54" s="122" t="e">
        <f t="shared" si="4"/>
        <v>#DIV/0!</v>
      </c>
      <c r="D54" s="166">
        <f>D56+D57+D60+D61+D55</f>
        <v>0</v>
      </c>
      <c r="E54" s="122" t="e">
        <f t="shared" si="5"/>
        <v>#DIV/0!</v>
      </c>
      <c r="F54" s="166">
        <f>F56+F57+F60+F61+F55</f>
        <v>0</v>
      </c>
      <c r="G54" s="122" t="e">
        <f t="shared" si="6"/>
        <v>#DIV/0!</v>
      </c>
      <c r="H54" s="166">
        <f>H56+H57+H60+H61+H55</f>
        <v>0</v>
      </c>
      <c r="I54" s="116"/>
    </row>
    <row r="55" spans="1:9" ht="18">
      <c r="A55" s="173" t="s">
        <v>350</v>
      </c>
      <c r="B55" s="121"/>
      <c r="C55" s="122" t="e">
        <f t="shared" si="4"/>
        <v>#DIV/0!</v>
      </c>
      <c r="D55" s="121"/>
      <c r="E55" s="122" t="e">
        <f t="shared" si="5"/>
        <v>#DIV/0!</v>
      </c>
      <c r="F55" s="121"/>
      <c r="G55" s="122" t="e">
        <f t="shared" si="6"/>
        <v>#DIV/0!</v>
      </c>
      <c r="H55" s="121"/>
      <c r="I55" s="116"/>
    </row>
    <row r="56" spans="1:9" ht="18">
      <c r="A56" s="164" t="s">
        <v>351</v>
      </c>
      <c r="B56" s="121"/>
      <c r="C56" s="122" t="e">
        <f t="shared" si="4"/>
        <v>#DIV/0!</v>
      </c>
      <c r="D56" s="121"/>
      <c r="E56" s="122" t="e">
        <f t="shared" si="5"/>
        <v>#DIV/0!</v>
      </c>
      <c r="F56" s="123"/>
      <c r="G56" s="122" t="e">
        <f t="shared" si="6"/>
        <v>#DIV/0!</v>
      </c>
      <c r="H56" s="123"/>
      <c r="I56" s="116"/>
    </row>
    <row r="57" spans="1:9" ht="18">
      <c r="A57" s="174" t="s">
        <v>352</v>
      </c>
      <c r="B57" s="166">
        <f>B58+B59</f>
        <v>0</v>
      </c>
      <c r="C57" s="122" t="e">
        <f t="shared" si="4"/>
        <v>#DIV/0!</v>
      </c>
      <c r="D57" s="166">
        <f>D58+D59</f>
        <v>0</v>
      </c>
      <c r="E57" s="122" t="e">
        <f t="shared" si="5"/>
        <v>#DIV/0!</v>
      </c>
      <c r="F57" s="166">
        <f>F58+F59</f>
        <v>0</v>
      </c>
      <c r="G57" s="122" t="e">
        <f t="shared" si="6"/>
        <v>#DIV/0!</v>
      </c>
      <c r="H57" s="166">
        <f>H58+H59</f>
        <v>0</v>
      </c>
      <c r="I57" s="116"/>
    </row>
    <row r="58" spans="1:9" ht="18">
      <c r="A58" s="164" t="s">
        <v>353</v>
      </c>
      <c r="B58" s="121"/>
      <c r="C58" s="122" t="e">
        <f t="shared" si="4"/>
        <v>#DIV/0!</v>
      </c>
      <c r="D58" s="121"/>
      <c r="E58" s="122" t="e">
        <f t="shared" si="5"/>
        <v>#DIV/0!</v>
      </c>
      <c r="F58" s="121"/>
      <c r="G58" s="122" t="e">
        <f t="shared" si="6"/>
        <v>#DIV/0!</v>
      </c>
      <c r="H58" s="121"/>
      <c r="I58" s="116"/>
    </row>
    <row r="59" spans="1:9" ht="18">
      <c r="A59" s="164" t="s">
        <v>354</v>
      </c>
      <c r="B59" s="121"/>
      <c r="C59" s="122" t="e">
        <f t="shared" si="4"/>
        <v>#DIV/0!</v>
      </c>
      <c r="D59" s="121"/>
      <c r="E59" s="122" t="e">
        <f t="shared" si="5"/>
        <v>#DIV/0!</v>
      </c>
      <c r="F59" s="123"/>
      <c r="G59" s="122" t="e">
        <f t="shared" si="6"/>
        <v>#DIV/0!</v>
      </c>
      <c r="H59" s="123"/>
      <c r="I59" s="116"/>
    </row>
    <row r="60" spans="1:9" ht="18">
      <c r="A60" s="164" t="s">
        <v>355</v>
      </c>
      <c r="B60" s="121"/>
      <c r="C60" s="122" t="e">
        <f t="shared" si="4"/>
        <v>#DIV/0!</v>
      </c>
      <c r="D60" s="121"/>
      <c r="E60" s="122" t="e">
        <f t="shared" si="5"/>
        <v>#DIV/0!</v>
      </c>
      <c r="F60" s="123"/>
      <c r="G60" s="122" t="e">
        <f t="shared" si="6"/>
        <v>#DIV/0!</v>
      </c>
      <c r="H60" s="123"/>
      <c r="I60" s="169"/>
    </row>
    <row r="61" spans="1:9" ht="18">
      <c r="A61" s="175" t="s">
        <v>356</v>
      </c>
      <c r="B61" s="176">
        <f>B62+B63</f>
        <v>0</v>
      </c>
      <c r="C61" s="122" t="e">
        <f t="shared" si="4"/>
        <v>#DIV/0!</v>
      </c>
      <c r="D61" s="176">
        <f>D62+D63</f>
        <v>0</v>
      </c>
      <c r="E61" s="122" t="e">
        <f t="shared" si="5"/>
        <v>#DIV/0!</v>
      </c>
      <c r="F61" s="176">
        <f>F62+F63</f>
        <v>0</v>
      </c>
      <c r="G61" s="122" t="e">
        <f t="shared" si="6"/>
        <v>#DIV/0!</v>
      </c>
      <c r="H61" s="176">
        <f>H62+H63</f>
        <v>0</v>
      </c>
      <c r="I61" s="116"/>
    </row>
    <row r="62" spans="1:9" ht="26.25">
      <c r="A62" s="158" t="s">
        <v>357</v>
      </c>
      <c r="B62" s="121"/>
      <c r="C62" s="122" t="e">
        <f t="shared" si="4"/>
        <v>#DIV/0!</v>
      </c>
      <c r="D62" s="121"/>
      <c r="E62" s="122" t="e">
        <f t="shared" si="5"/>
        <v>#DIV/0!</v>
      </c>
      <c r="F62" s="121"/>
      <c r="G62" s="122" t="e">
        <f t="shared" si="6"/>
        <v>#DIV/0!</v>
      </c>
      <c r="H62" s="121"/>
      <c r="I62" s="116"/>
    </row>
    <row r="63" spans="1:9" ht="18">
      <c r="A63" s="158" t="s">
        <v>358</v>
      </c>
      <c r="B63" s="121"/>
      <c r="C63" s="122" t="e">
        <f t="shared" si="4"/>
        <v>#DIV/0!</v>
      </c>
      <c r="D63" s="121"/>
      <c r="E63" s="122" t="e">
        <f t="shared" si="5"/>
        <v>#DIV/0!</v>
      </c>
      <c r="F63" s="123"/>
      <c r="G63" s="122" t="e">
        <f t="shared" si="6"/>
        <v>#DIV/0!</v>
      </c>
      <c r="H63" s="123"/>
      <c r="I63" s="116"/>
    </row>
    <row r="64" spans="1:9" ht="26.25">
      <c r="A64" s="158" t="s">
        <v>359</v>
      </c>
      <c r="B64" s="121"/>
      <c r="C64" s="122" t="e">
        <f t="shared" si="4"/>
        <v>#DIV/0!</v>
      </c>
      <c r="D64" s="121"/>
      <c r="E64" s="122" t="e">
        <f t="shared" si="5"/>
        <v>#DIV/0!</v>
      </c>
      <c r="F64" s="121"/>
      <c r="G64" s="122" t="e">
        <f t="shared" si="6"/>
        <v>#DIV/0!</v>
      </c>
      <c r="H64" s="121"/>
      <c r="I64" s="116"/>
    </row>
    <row r="65" spans="1:10" ht="18">
      <c r="A65" s="202" t="s">
        <v>343</v>
      </c>
      <c r="B65" s="205">
        <f>B49+B50+B54+B64</f>
        <v>0</v>
      </c>
      <c r="C65" s="204" t="e">
        <f t="shared" si="4"/>
        <v>#DIV/0!</v>
      </c>
      <c r="D65" s="205">
        <f>D49+D50+D54+D64</f>
        <v>0</v>
      </c>
      <c r="E65" s="204" t="e">
        <f t="shared" si="5"/>
        <v>#DIV/0!</v>
      </c>
      <c r="F65" s="205">
        <f>F49+F50+F54+F64</f>
        <v>0</v>
      </c>
      <c r="G65" s="204" t="e">
        <f t="shared" si="6"/>
        <v>#DIV/0!</v>
      </c>
      <c r="H65" s="205">
        <f>H49+H50+H54+H64</f>
        <v>0</v>
      </c>
      <c r="I65" s="157"/>
    </row>
    <row r="66" spans="1:10" ht="18">
      <c r="A66" s="177"/>
      <c r="B66" s="177"/>
      <c r="C66" s="177"/>
      <c r="D66" s="177"/>
      <c r="E66" s="177"/>
      <c r="F66" s="177"/>
      <c r="G66" s="177"/>
      <c r="H66" s="177"/>
      <c r="I66" s="116"/>
      <c r="J66" s="133"/>
    </row>
    <row r="67" spans="1:10" ht="18">
      <c r="A67" s="737" t="s">
        <v>360</v>
      </c>
      <c r="B67" s="737"/>
      <c r="C67" s="737"/>
      <c r="D67" s="737"/>
      <c r="E67" s="737"/>
      <c r="F67" s="737"/>
      <c r="G67" s="737"/>
      <c r="H67" s="737"/>
      <c r="I67" s="116"/>
    </row>
    <row r="68" spans="1:10" ht="18">
      <c r="A68" s="737"/>
      <c r="B68" s="737"/>
      <c r="C68" s="737"/>
      <c r="D68" s="737"/>
      <c r="E68" s="737"/>
      <c r="F68" s="737"/>
      <c r="G68" s="737"/>
      <c r="H68" s="737"/>
      <c r="I68" s="116"/>
    </row>
    <row r="69" spans="1:10" ht="18.75" thickBot="1">
      <c r="A69" s="178" t="s">
        <v>361</v>
      </c>
      <c r="B69" s="179" t="e">
        <f>B57/B5*365</f>
        <v>#DIV/0!</v>
      </c>
      <c r="C69" s="178"/>
      <c r="D69" s="179" t="e">
        <f>D57/D5*365</f>
        <v>#DIV/0!</v>
      </c>
      <c r="E69" s="178"/>
      <c r="F69" s="179" t="e">
        <f>F57/F5*365</f>
        <v>#DIV/0!</v>
      </c>
      <c r="G69" s="178"/>
      <c r="H69" s="179" t="e">
        <f>H57/H5*365</f>
        <v>#DIV/0!</v>
      </c>
      <c r="I69" s="180"/>
    </row>
    <row r="70" spans="1:10" ht="18">
      <c r="A70" s="178" t="s">
        <v>362</v>
      </c>
      <c r="B70" s="179" t="e">
        <f>B56/(B10+B11+B12)*365</f>
        <v>#DIV/0!</v>
      </c>
      <c r="C70" s="178"/>
      <c r="D70" s="179" t="e">
        <f>D56/(D10+D11+D12)*365</f>
        <v>#DIV/0!</v>
      </c>
      <c r="E70" s="178"/>
      <c r="F70" s="179" t="e">
        <f>F56/(F10+F11+F12)*365</f>
        <v>#DIV/0!</v>
      </c>
      <c r="G70" s="178"/>
      <c r="H70" s="179" t="e">
        <f>H56/(H10+H11+H12)*365</f>
        <v>#DIV/0!</v>
      </c>
      <c r="I70" s="116"/>
    </row>
    <row r="71" spans="1:10" ht="18">
      <c r="A71" s="178" t="s">
        <v>363</v>
      </c>
      <c r="B71" s="179" t="e">
        <f>B56/(B11+B10+B12)</f>
        <v>#DIV/0!</v>
      </c>
      <c r="C71" s="178"/>
      <c r="D71" s="179" t="e">
        <f>D56/(D11+D10+D12)</f>
        <v>#DIV/0!</v>
      </c>
      <c r="E71" s="178"/>
      <c r="F71" s="179" t="e">
        <f>F56/(F11+F10+F12)</f>
        <v>#DIV/0!</v>
      </c>
      <c r="G71" s="178"/>
      <c r="H71" s="179" t="e">
        <f>H56/(H11+H10+H12)</f>
        <v>#DIV/0!</v>
      </c>
      <c r="I71" s="116"/>
    </row>
    <row r="72" spans="1:10" ht="18.75" thickBot="1">
      <c r="A72" s="178" t="s">
        <v>364</v>
      </c>
      <c r="B72" s="179" t="e">
        <f>B54/(B44+B40)</f>
        <v>#DIV/0!</v>
      </c>
      <c r="C72" s="178"/>
      <c r="D72" s="179" t="e">
        <f>D54/(D44+D40)</f>
        <v>#DIV/0!</v>
      </c>
      <c r="E72" s="178"/>
      <c r="F72" s="179" t="e">
        <f>F54/(F44+F40)</f>
        <v>#DIV/0!</v>
      </c>
      <c r="G72" s="178"/>
      <c r="H72" s="179" t="e">
        <f>H54/(H44+H40)</f>
        <v>#DIV/0!</v>
      </c>
      <c r="I72" s="116"/>
    </row>
    <row r="73" spans="1:10" ht="18.75" thickBot="1">
      <c r="A73" s="178" t="s">
        <v>365</v>
      </c>
      <c r="B73" s="179" t="e">
        <f>(B54-B56)/(B44+B40)</f>
        <v>#DIV/0!</v>
      </c>
      <c r="C73" s="178"/>
      <c r="D73" s="179" t="e">
        <f>(D54-D56)/(D44+D40)</f>
        <v>#DIV/0!</v>
      </c>
      <c r="E73" s="178"/>
      <c r="F73" s="179" t="e">
        <f>(F54-F56)/(F44+F40)</f>
        <v>#DIV/0!</v>
      </c>
      <c r="G73" s="178"/>
      <c r="H73" s="179" t="e">
        <f>(H54-H56)/(H44+H40)</f>
        <v>#DIV/0!</v>
      </c>
      <c r="I73" s="181"/>
    </row>
    <row r="74" spans="1:10" ht="18.75" thickBot="1">
      <c r="A74" s="178" t="s">
        <v>366</v>
      </c>
      <c r="B74" s="179" t="e">
        <f>(B39+B40+B42)/B36</f>
        <v>#DIV/0!</v>
      </c>
      <c r="C74" s="178"/>
      <c r="D74" s="179" t="e">
        <f>(D39+D40+D42)/D36</f>
        <v>#DIV/0!</v>
      </c>
      <c r="E74" s="178"/>
      <c r="F74" s="179" t="e">
        <f>(F39+F40+F42)/F36</f>
        <v>#DIV/0!</v>
      </c>
      <c r="G74" s="178"/>
      <c r="H74" s="179" t="e">
        <f>(H39+H40+H42)/H36</f>
        <v>#DIV/0!</v>
      </c>
      <c r="I74" s="181"/>
    </row>
    <row r="75" spans="1:10" ht="18">
      <c r="A75" s="178" t="s">
        <v>367</v>
      </c>
      <c r="B75" s="179" t="e">
        <f>B16/(B18+B19+B20+B21)</f>
        <v>#DIV/0!</v>
      </c>
      <c r="C75" s="178"/>
      <c r="D75" s="179" t="e">
        <f>D16/(D18+D19+D20+D21)</f>
        <v>#DIV/0!</v>
      </c>
      <c r="E75" s="178"/>
      <c r="F75" s="179" t="e">
        <f>F16/(F18+F19+F20+F21)</f>
        <v>#DIV/0!</v>
      </c>
      <c r="G75" s="178"/>
      <c r="H75" s="179" t="e">
        <f>H16/(H18+H19+H20+H21)</f>
        <v>#DIV/0!</v>
      </c>
      <c r="I75" s="116"/>
    </row>
    <row r="76" spans="1:10" ht="18">
      <c r="A76" s="178" t="s">
        <v>368</v>
      </c>
      <c r="B76" s="179" t="e">
        <f>$B$16/($B$18+$B$19+$B$20+$B$21+($B$39+$B$42)/5)</f>
        <v>#DIV/0!</v>
      </c>
      <c r="C76" s="178"/>
      <c r="D76" s="179" t="e">
        <f>$D$16/($D$18+$D$19+$D$20+$D$21+($D$39+$D$42)/5)</f>
        <v>#DIV/0!</v>
      </c>
      <c r="E76" s="178"/>
      <c r="F76" s="179" t="e">
        <f>$F$16/($F$18+$F$19+$F$20+$F$21+($F$39+$F$42)/5)</f>
        <v>#DIV/0!</v>
      </c>
      <c r="G76" s="178"/>
      <c r="H76" s="179" t="e">
        <f>$H$16/($H$18+$H$19+$H$20+$H$21+($H$39+$H$42)/5)</f>
        <v>#DIV/0!</v>
      </c>
      <c r="I76" s="116"/>
    </row>
    <row r="77" spans="1:10" ht="18">
      <c r="A77" s="178" t="s">
        <v>369</v>
      </c>
      <c r="B77" s="179">
        <f>$B$16/($B$18+$B$19+$B$20+$B$21+($B$39+$B$42)/5+('Normal &amp; CGTMSE Eligibility'!F43))</f>
        <v>0</v>
      </c>
      <c r="C77" s="178"/>
      <c r="D77" s="179">
        <f>$D$16/($D$18+$D$19+$D$20+$D$21+($D$39+$D$42)/5+('Normal &amp; CGTMSE Eligibility'!F43))</f>
        <v>0</v>
      </c>
      <c r="E77" s="178"/>
      <c r="F77" s="179">
        <f>$F$16/($F$18+$F$19+$F$20+$F$21+($F$39+$F$42)/5+('Normal &amp; CGTMSE Eligibility'!F43))</f>
        <v>0</v>
      </c>
      <c r="G77" s="178"/>
      <c r="H77" s="179">
        <f>$H$16/($H$18+$H$19+$H$20+$H$21+($H$39+$H$42)/5+('Normal &amp; CGTMSE Eligibility'!F43))</f>
        <v>0</v>
      </c>
      <c r="I77" s="116"/>
    </row>
    <row r="78" spans="1:10" ht="18">
      <c r="A78" s="178" t="s">
        <v>370</v>
      </c>
      <c r="B78" s="179" t="e">
        <f>(B13-B7)/B5*100</f>
        <v>#DIV/0!</v>
      </c>
      <c r="C78" s="178"/>
      <c r="D78" s="179" t="e">
        <f>(D13-D7)/D5*100</f>
        <v>#DIV/0!</v>
      </c>
      <c r="E78" s="178"/>
      <c r="F78" s="179" t="e">
        <f>(F13-F7)/F5*100</f>
        <v>#DIV/0!</v>
      </c>
      <c r="G78" s="178"/>
      <c r="H78" s="179" t="e">
        <f>(H13-H7)/H5*100</f>
        <v>#DIV/0!</v>
      </c>
      <c r="I78" s="116"/>
    </row>
    <row r="79" spans="1:10" ht="18">
      <c r="A79" s="178" t="s">
        <v>371</v>
      </c>
      <c r="B79" s="179" t="e">
        <f>(B25-B7)/B5*100</f>
        <v>#DIV/0!</v>
      </c>
      <c r="C79" s="178"/>
      <c r="D79" s="179" t="e">
        <f>(D25-D7)/D5*100</f>
        <v>#DIV/0!</v>
      </c>
      <c r="E79" s="178"/>
      <c r="F79" s="179" t="e">
        <f>(F25-F7)/F5*100</f>
        <v>#DIV/0!</v>
      </c>
      <c r="G79" s="178"/>
      <c r="H79" s="179" t="e">
        <f>(H25-H7)/H5*100</f>
        <v>#DIV/0!</v>
      </c>
      <c r="I79" s="116"/>
    </row>
    <row r="80" spans="1:10" ht="18">
      <c r="A80" s="178" t="s">
        <v>372</v>
      </c>
      <c r="B80" s="179" t="e">
        <f>(B26-B7)/B5*100</f>
        <v>#DIV/0!</v>
      </c>
      <c r="C80" s="178"/>
      <c r="D80" s="179" t="e">
        <f>(D26-D7)/D5*100</f>
        <v>#DIV/0!</v>
      </c>
      <c r="E80" s="178"/>
      <c r="F80" s="179" t="e">
        <f>(F26-F7)/F5*100</f>
        <v>#DIV/0!</v>
      </c>
      <c r="G80" s="178"/>
      <c r="H80" s="179" t="e">
        <f>(H26-H7)/H5*100</f>
        <v>#DIV/0!</v>
      </c>
      <c r="I80" s="116"/>
    </row>
    <row r="81" spans="1:10" ht="18">
      <c r="A81" s="178" t="s">
        <v>373</v>
      </c>
      <c r="B81" s="182" t="e">
        <f>(B5-D5)/D5*100</f>
        <v>#DIV/0!</v>
      </c>
      <c r="C81" s="183"/>
      <c r="D81" s="182" t="e">
        <f>(D5-F5)/F5*100</f>
        <v>#DIV/0!</v>
      </c>
      <c r="E81" s="183"/>
      <c r="F81" s="182" t="e">
        <f>#N/A</f>
        <v>#N/A</v>
      </c>
      <c r="G81" s="183"/>
      <c r="H81" s="182" t="e">
        <f>#N/A</f>
        <v>#N/A</v>
      </c>
      <c r="I81" s="116"/>
      <c r="J81" s="133"/>
    </row>
    <row r="82" spans="1:10" ht="18">
      <c r="A82" s="178" t="s">
        <v>374</v>
      </c>
      <c r="B82" s="182" t="e">
        <f>(B25-D25)/D25*100</f>
        <v>#DIV/0!</v>
      </c>
      <c r="C82" s="183"/>
      <c r="D82" s="182" t="e">
        <f>(D25-F25)/F25*100</f>
        <v>#DIV/0!</v>
      </c>
      <c r="E82" s="183"/>
      <c r="F82" s="182" t="e">
        <f>#N/A</f>
        <v>#N/A</v>
      </c>
      <c r="G82" s="183"/>
      <c r="H82" s="182" t="e">
        <f>#N/A</f>
        <v>#N/A</v>
      </c>
      <c r="I82" s="116"/>
    </row>
    <row r="83" spans="1:10" ht="18">
      <c r="A83" s="178"/>
      <c r="B83" s="179"/>
      <c r="C83" s="178"/>
      <c r="D83" s="179"/>
      <c r="E83" s="178"/>
      <c r="F83" s="179"/>
      <c r="G83" s="178"/>
      <c r="H83" s="179"/>
      <c r="I83" s="116"/>
    </row>
    <row r="84" spans="1:10" ht="18">
      <c r="A84" s="184" t="s">
        <v>375</v>
      </c>
      <c r="B84" s="179"/>
      <c r="C84" s="178"/>
      <c r="D84" s="179"/>
      <c r="E84" s="178"/>
      <c r="F84" s="179"/>
      <c r="G84" s="178"/>
      <c r="H84" s="179"/>
      <c r="I84" s="116"/>
    </row>
    <row r="85" spans="1:10" ht="18">
      <c r="A85" s="184"/>
      <c r="B85" s="179"/>
      <c r="C85" s="178"/>
      <c r="D85" s="179"/>
      <c r="E85" s="178"/>
      <c r="F85" s="179"/>
      <c r="G85" s="178"/>
      <c r="H85" s="179"/>
      <c r="I85" s="116"/>
    </row>
    <row r="86" spans="1:10" ht="18">
      <c r="A86" s="178" t="s">
        <v>376</v>
      </c>
      <c r="B86" s="179">
        <f>B25</f>
        <v>0</v>
      </c>
      <c r="C86" s="178"/>
      <c r="D86" s="179">
        <f>D25</f>
        <v>0</v>
      </c>
      <c r="E86" s="178"/>
      <c r="F86" s="179">
        <f>F25</f>
        <v>0</v>
      </c>
      <c r="G86" s="178"/>
      <c r="H86" s="179">
        <f>H25</f>
        <v>0</v>
      </c>
      <c r="I86" s="116"/>
    </row>
    <row r="87" spans="1:10" ht="18">
      <c r="A87" s="178" t="s">
        <v>377</v>
      </c>
      <c r="B87" s="179"/>
      <c r="C87" s="178"/>
      <c r="D87" s="179"/>
      <c r="E87" s="178"/>
      <c r="F87" s="179"/>
      <c r="G87" s="178"/>
      <c r="H87" s="179"/>
      <c r="I87" s="116"/>
    </row>
    <row r="88" spans="1:10" ht="18">
      <c r="A88" s="178" t="s">
        <v>378</v>
      </c>
      <c r="B88" s="179">
        <f>B17</f>
        <v>0</v>
      </c>
      <c r="C88" s="178"/>
      <c r="D88" s="179">
        <f>D17</f>
        <v>0</v>
      </c>
      <c r="E88" s="178"/>
      <c r="F88" s="179">
        <f>F17</f>
        <v>0</v>
      </c>
      <c r="G88" s="178"/>
      <c r="H88" s="179">
        <f>H17</f>
        <v>0</v>
      </c>
      <c r="I88" s="116"/>
    </row>
    <row r="89" spans="1:10" ht="18">
      <c r="A89" s="178" t="s">
        <v>379</v>
      </c>
      <c r="B89" s="179">
        <f>B22</f>
        <v>0</v>
      </c>
      <c r="C89" s="178"/>
      <c r="D89" s="179">
        <f>D22</f>
        <v>0</v>
      </c>
      <c r="E89" s="178"/>
      <c r="F89" s="179">
        <f>F22</f>
        <v>0</v>
      </c>
      <c r="G89" s="178"/>
      <c r="H89" s="179">
        <f>H22</f>
        <v>0</v>
      </c>
      <c r="I89" s="116"/>
    </row>
    <row r="90" spans="1:10" ht="18">
      <c r="A90" s="178" t="s">
        <v>380</v>
      </c>
      <c r="B90" s="179">
        <f>B27</f>
        <v>0</v>
      </c>
      <c r="C90" s="178"/>
      <c r="D90" s="179">
        <f>D27</f>
        <v>0</v>
      </c>
      <c r="E90" s="178"/>
      <c r="F90" s="179">
        <f>F27</f>
        <v>0</v>
      </c>
      <c r="G90" s="178"/>
      <c r="H90" s="179">
        <f>H27</f>
        <v>0</v>
      </c>
      <c r="I90" s="116"/>
    </row>
    <row r="91" spans="1:10" ht="18">
      <c r="A91" s="178" t="s">
        <v>381</v>
      </c>
      <c r="B91" s="179">
        <f>B28</f>
        <v>0</v>
      </c>
      <c r="C91" s="178"/>
      <c r="D91" s="179">
        <f>D28</f>
        <v>0</v>
      </c>
      <c r="E91" s="178"/>
      <c r="F91" s="179">
        <f>F28</f>
        <v>0</v>
      </c>
      <c r="G91" s="178"/>
      <c r="H91" s="179">
        <f>H28</f>
        <v>0</v>
      </c>
      <c r="I91" s="116"/>
    </row>
    <row r="92" spans="1:10" ht="18">
      <c r="A92" s="178" t="s">
        <v>382</v>
      </c>
      <c r="B92" s="179">
        <f>B24</f>
        <v>0</v>
      </c>
      <c r="C92" s="178"/>
      <c r="D92" s="179">
        <f>D24</f>
        <v>0</v>
      </c>
      <c r="E92" s="178"/>
      <c r="F92" s="179">
        <f>F24</f>
        <v>0</v>
      </c>
      <c r="G92" s="178"/>
      <c r="H92" s="179">
        <f>H24</f>
        <v>0</v>
      </c>
      <c r="I92" s="116"/>
    </row>
    <row r="93" spans="1:10" ht="18">
      <c r="A93" s="178" t="s">
        <v>383</v>
      </c>
      <c r="B93" s="179">
        <f>B18+B19+B20+B21</f>
        <v>0</v>
      </c>
      <c r="C93" s="178"/>
      <c r="D93" s="179">
        <f>D18+D19+D20+D21</f>
        <v>0</v>
      </c>
      <c r="E93" s="178"/>
      <c r="F93" s="179">
        <f>F18+F19+F20+F21</f>
        <v>0</v>
      </c>
      <c r="G93" s="178"/>
      <c r="H93" s="179">
        <f>H18+H19+H20+H21</f>
        <v>0</v>
      </c>
      <c r="I93" s="116"/>
    </row>
    <row r="94" spans="1:10" ht="26.25">
      <c r="A94" s="185" t="s">
        <v>384</v>
      </c>
      <c r="B94" s="186">
        <f>-B7</f>
        <v>0</v>
      </c>
      <c r="C94" s="184"/>
      <c r="D94" s="186">
        <f>-D7</f>
        <v>0</v>
      </c>
      <c r="E94" s="184"/>
      <c r="F94" s="186">
        <f>-F7</f>
        <v>0</v>
      </c>
      <c r="G94" s="184"/>
      <c r="H94" s="186">
        <f>-H7</f>
        <v>0</v>
      </c>
      <c r="I94" s="157"/>
    </row>
    <row r="95" spans="1:10" ht="18">
      <c r="A95" s="185"/>
      <c r="B95" s="186"/>
      <c r="C95" s="184"/>
      <c r="D95" s="186"/>
      <c r="E95" s="184"/>
      <c r="F95" s="186"/>
      <c r="G95" s="184"/>
      <c r="H95" s="186"/>
      <c r="I95" s="157"/>
    </row>
    <row r="96" spans="1:10" ht="18">
      <c r="A96" s="178" t="s">
        <v>385</v>
      </c>
      <c r="B96" s="179">
        <f>SUM(B86:B94)</f>
        <v>0</v>
      </c>
      <c r="C96" s="178"/>
      <c r="D96" s="179">
        <f>SUM(D86:D94)</f>
        <v>0</v>
      </c>
      <c r="E96" s="178"/>
      <c r="F96" s="179">
        <f>SUM(F86:F94)</f>
        <v>0</v>
      </c>
      <c r="G96" s="178"/>
      <c r="H96" s="179">
        <f>SUM(H86:H94)</f>
        <v>0</v>
      </c>
      <c r="I96" s="116"/>
    </row>
    <row r="97" spans="1:9" ht="18">
      <c r="A97" s="178" t="s">
        <v>386</v>
      </c>
      <c r="B97" s="179">
        <f>D57-B57</f>
        <v>0</v>
      </c>
      <c r="C97" s="178"/>
      <c r="D97" s="179">
        <f>F57-D57</f>
        <v>0</v>
      </c>
      <c r="E97" s="178"/>
      <c r="F97" s="179">
        <f>J57-F57</f>
        <v>0</v>
      </c>
      <c r="G97" s="178"/>
      <c r="H97" s="179">
        <f>L57-H57</f>
        <v>0</v>
      </c>
      <c r="I97" s="116"/>
    </row>
    <row r="98" spans="1:9" ht="18">
      <c r="A98" s="178" t="s">
        <v>387</v>
      </c>
      <c r="B98" s="179">
        <f>D56-B56</f>
        <v>0</v>
      </c>
      <c r="C98" s="178"/>
      <c r="D98" s="179">
        <f>F56-D56</f>
        <v>0</v>
      </c>
      <c r="E98" s="178"/>
      <c r="F98" s="179">
        <f>J56-F56</f>
        <v>0</v>
      </c>
      <c r="G98" s="178"/>
      <c r="H98" s="179">
        <f>L56-H56</f>
        <v>0</v>
      </c>
      <c r="I98" s="116"/>
    </row>
    <row r="99" spans="1:9" ht="18">
      <c r="A99" s="178" t="s">
        <v>388</v>
      </c>
      <c r="B99" s="179">
        <f>D61-B61</f>
        <v>0</v>
      </c>
      <c r="C99" s="178"/>
      <c r="D99" s="179">
        <f>F61-D61</f>
        <v>0</v>
      </c>
      <c r="E99" s="178"/>
      <c r="F99" s="179">
        <f>J61-F61</f>
        <v>0</v>
      </c>
      <c r="G99" s="178"/>
      <c r="H99" s="179">
        <f>L61-H61</f>
        <v>0</v>
      </c>
      <c r="I99" s="116"/>
    </row>
    <row r="100" spans="1:9" ht="18">
      <c r="A100" s="178" t="s">
        <v>389</v>
      </c>
      <c r="B100" s="179">
        <f>B44-D44</f>
        <v>0</v>
      </c>
      <c r="C100" s="178"/>
      <c r="D100" s="179">
        <f>D44-F44</f>
        <v>0</v>
      </c>
      <c r="E100" s="178"/>
      <c r="F100" s="179">
        <f>F44-J44</f>
        <v>0</v>
      </c>
      <c r="G100" s="178"/>
      <c r="H100" s="179">
        <f>H44-L44</f>
        <v>0</v>
      </c>
      <c r="I100" s="116"/>
    </row>
    <row r="101" spans="1:9" ht="18">
      <c r="A101" s="178" t="s">
        <v>390</v>
      </c>
      <c r="B101" s="179">
        <f>SUM(B97:B100)</f>
        <v>0</v>
      </c>
      <c r="C101" s="178"/>
      <c r="D101" s="179">
        <f>SUM(D97:D100)</f>
        <v>0</v>
      </c>
      <c r="E101" s="178"/>
      <c r="F101" s="179">
        <f>SUM(F97:F100)</f>
        <v>0</v>
      </c>
      <c r="G101" s="178"/>
      <c r="H101" s="179">
        <f>SUM(H97:H100)</f>
        <v>0</v>
      </c>
      <c r="I101" s="116"/>
    </row>
    <row r="102" spans="1:9" ht="18">
      <c r="A102" s="184" t="s">
        <v>391</v>
      </c>
      <c r="B102" s="186">
        <f>B96+B101</f>
        <v>0</v>
      </c>
      <c r="C102" s="184"/>
      <c r="D102" s="186">
        <f>D96+D101</f>
        <v>0</v>
      </c>
      <c r="E102" s="184"/>
      <c r="F102" s="186">
        <f>F96+F101</f>
        <v>0</v>
      </c>
      <c r="G102" s="184"/>
      <c r="H102" s="186">
        <f>H96+H101</f>
        <v>0</v>
      </c>
      <c r="I102" s="157"/>
    </row>
    <row r="103" spans="1:9" ht="18">
      <c r="A103" s="184"/>
      <c r="B103" s="186"/>
      <c r="C103" s="184"/>
      <c r="D103" s="186"/>
      <c r="E103" s="184"/>
      <c r="F103" s="186"/>
      <c r="G103" s="184"/>
      <c r="H103" s="186"/>
      <c r="I103" s="157"/>
    </row>
    <row r="104" spans="1:9" ht="18">
      <c r="A104" s="178" t="s">
        <v>392</v>
      </c>
      <c r="B104" s="179">
        <f>B24</f>
        <v>0</v>
      </c>
      <c r="C104" s="178"/>
      <c r="D104" s="179">
        <f>D24</f>
        <v>0</v>
      </c>
      <c r="E104" s="178"/>
      <c r="F104" s="179">
        <f>F24</f>
        <v>0</v>
      </c>
      <c r="G104" s="178"/>
      <c r="H104" s="179">
        <f>H24</f>
        <v>0</v>
      </c>
      <c r="I104" s="116"/>
    </row>
    <row r="105" spans="1:9" ht="18">
      <c r="A105" s="178"/>
      <c r="B105" s="179"/>
      <c r="C105" s="178"/>
      <c r="D105" s="179"/>
      <c r="E105" s="178"/>
      <c r="F105" s="179"/>
      <c r="G105" s="178"/>
      <c r="H105" s="179"/>
      <c r="I105" s="116"/>
    </row>
    <row r="106" spans="1:9" ht="18">
      <c r="A106" s="184" t="s">
        <v>393</v>
      </c>
      <c r="B106" s="179">
        <f>B102-B104</f>
        <v>0</v>
      </c>
      <c r="C106" s="178"/>
      <c r="D106" s="179">
        <f>D102-D104</f>
        <v>0</v>
      </c>
      <c r="E106" s="178"/>
      <c r="F106" s="179">
        <f>F102-F104</f>
        <v>0</v>
      </c>
      <c r="G106" s="178"/>
      <c r="H106" s="179">
        <f>H102-H104</f>
        <v>0</v>
      </c>
      <c r="I106" s="116"/>
    </row>
    <row r="107" spans="1:9" ht="18"/>
  </sheetData>
  <mergeCells count="9">
    <mergeCell ref="A67:H68"/>
    <mergeCell ref="A1:H2"/>
    <mergeCell ref="I1:I2"/>
    <mergeCell ref="A3:A4"/>
    <mergeCell ref="A32:A33"/>
    <mergeCell ref="B32:B33"/>
    <mergeCell ref="D32:D33"/>
    <mergeCell ref="F32:F33"/>
    <mergeCell ref="H32:H33"/>
  </mergeCells>
  <conditionalFormatting sqref="B65 B48">
    <cfRule type="expression" dxfId="193" priority="4">
      <formula>$B$48&lt;&gt;$B$65</formula>
    </cfRule>
  </conditionalFormatting>
  <conditionalFormatting sqref="D65 D48">
    <cfRule type="expression" dxfId="192" priority="3">
      <formula>$D$48&lt;&gt;$D$65</formula>
    </cfRule>
  </conditionalFormatting>
  <conditionalFormatting sqref="F48 F65">
    <cfRule type="expression" dxfId="191" priority="2">
      <formula>$F$65&lt;&gt;$F$48</formula>
    </cfRule>
  </conditionalFormatting>
  <conditionalFormatting sqref="H48 H65">
    <cfRule type="expression" dxfId="190" priority="1">
      <formula>$H$48&lt;&gt;$H$65</formula>
    </cfRule>
  </conditionalFormatting>
  <pageMargins left="0.78749999999999998" right="0.78749999999999998" top="1.0249999999999999" bottom="1.0249999999999999" header="0.78749999999999998" footer="0.78749999999999998"/>
  <pageSetup scale="58" firstPageNumber="0" orientation="portrait" horizontalDpi="300" verticalDpi="300" r:id="rId1"/>
  <headerFooter alignWithMargins="0">
    <oddHeader>&amp;C&amp;"Arial,Regular"&amp;10&amp;A</oddHeader>
    <oddFooter>&amp;C&amp;"Arial,Regular"&amp;10Page &amp;P</oddFooter>
  </headerFooter>
  <rowBreaks count="2" manualBreakCount="2">
    <brk id="30" max="16383" man="1"/>
    <brk id="66"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0"/>
  <dimension ref="A1:L107"/>
  <sheetViews>
    <sheetView view="pageBreakPreview" zoomScale="85" zoomScaleSheetLayoutView="85" workbookViewId="0">
      <selection activeCell="B78" sqref="B78:H80"/>
    </sheetView>
  </sheetViews>
  <sheetFormatPr defaultColWidth="13.5703125" defaultRowHeight="32.1" customHeight="1"/>
  <cols>
    <col min="1" max="1" width="37.28515625" style="116" customWidth="1"/>
    <col min="2" max="2" width="10.42578125" style="116" customWidth="1"/>
    <col min="3" max="3" width="12.7109375" style="116" customWidth="1"/>
    <col min="4" max="4" width="10.140625" style="133" customWidth="1"/>
    <col min="5" max="5" width="12.28515625" style="116" customWidth="1"/>
    <col min="6" max="6" width="15.7109375" style="133" customWidth="1"/>
    <col min="7" max="7" width="12.28515625" style="116" customWidth="1"/>
    <col min="8" max="8" width="15.7109375" style="133" customWidth="1"/>
    <col min="9" max="9" width="17.42578125" style="133" bestFit="1" customWidth="1"/>
    <col min="10" max="10" width="22" style="116" customWidth="1"/>
    <col min="11" max="11" width="12" style="116" customWidth="1"/>
    <col min="12" max="16384" width="13.5703125" style="116"/>
  </cols>
  <sheetData>
    <row r="1" spans="1:10" ht="18">
      <c r="A1" s="738"/>
      <c r="B1" s="738"/>
      <c r="C1" s="738"/>
      <c r="D1" s="738"/>
      <c r="E1" s="738"/>
      <c r="F1" s="738"/>
      <c r="G1" s="738"/>
      <c r="H1" s="738"/>
      <c r="I1" s="739"/>
    </row>
    <row r="2" spans="1:10" ht="7.5" customHeight="1">
      <c r="A2" s="738"/>
      <c r="B2" s="738"/>
      <c r="C2" s="738"/>
      <c r="D2" s="738"/>
      <c r="E2" s="738"/>
      <c r="F2" s="738"/>
      <c r="G2" s="738"/>
      <c r="H2" s="738"/>
      <c r="I2" s="739"/>
    </row>
    <row r="3" spans="1:10" ht="18">
      <c r="A3" s="740" t="s">
        <v>301</v>
      </c>
      <c r="B3" s="117" t="s">
        <v>558</v>
      </c>
      <c r="C3" s="118" t="s">
        <v>303</v>
      </c>
      <c r="D3" s="117" t="s">
        <v>559</v>
      </c>
      <c r="E3" s="118" t="s">
        <v>303</v>
      </c>
      <c r="F3" s="117" t="s">
        <v>560</v>
      </c>
      <c r="G3" s="118" t="s">
        <v>303</v>
      </c>
      <c r="H3" s="117" t="s">
        <v>561</v>
      </c>
      <c r="I3" s="119"/>
    </row>
    <row r="4" spans="1:10" ht="18">
      <c r="A4" s="740"/>
      <c r="B4" s="118" t="s">
        <v>307</v>
      </c>
      <c r="C4" s="117" t="s">
        <v>562</v>
      </c>
      <c r="D4" s="118" t="s">
        <v>307</v>
      </c>
      <c r="E4" s="117" t="s">
        <v>563</v>
      </c>
      <c r="F4" s="118" t="s">
        <v>307</v>
      </c>
      <c r="G4" s="117" t="s">
        <v>564</v>
      </c>
      <c r="H4" s="118" t="s">
        <v>307</v>
      </c>
      <c r="I4" s="119"/>
    </row>
    <row r="5" spans="1:10" ht="18">
      <c r="A5" s="120" t="s">
        <v>185</v>
      </c>
      <c r="B5" s="121"/>
      <c r="C5" s="122" t="e">
        <f>(B5-D5)/D5*100</f>
        <v>#DIV/0!</v>
      </c>
      <c r="D5" s="121"/>
      <c r="E5" s="122" t="e">
        <f>(D5-F5)/F5*100</f>
        <v>#DIV/0!</v>
      </c>
      <c r="F5" s="123"/>
      <c r="G5" s="122" t="e">
        <f>(F5-H5)/H5*100</f>
        <v>#DIV/0!</v>
      </c>
      <c r="H5" s="123"/>
      <c r="I5" s="124"/>
    </row>
    <row r="6" spans="1:10" ht="25.35" customHeight="1">
      <c r="A6" s="125" t="s">
        <v>311</v>
      </c>
      <c r="B6" s="121"/>
      <c r="C6" s="122" t="e">
        <f>(B6-D6)/D6*100</f>
        <v>#DIV/0!</v>
      </c>
      <c r="D6" s="121"/>
      <c r="E6" s="122" t="e">
        <f>(D6-F6)/F6*100</f>
        <v>#DIV/0!</v>
      </c>
      <c r="F6" s="121"/>
      <c r="G6" s="122" t="e">
        <f>(F6-H6)/H6*100</f>
        <v>#DIV/0!</v>
      </c>
      <c r="H6" s="121"/>
      <c r="I6" s="124"/>
    </row>
    <row r="7" spans="1:10" ht="18">
      <c r="A7" s="125" t="s">
        <v>312</v>
      </c>
      <c r="B7" s="121"/>
      <c r="C7" s="122" t="e">
        <f>(B7-D7)/D7*100</f>
        <v>#DIV/0!</v>
      </c>
      <c r="D7" s="121"/>
      <c r="E7" s="122" t="e">
        <f>(D7-F7)/F7*100</f>
        <v>#DIV/0!</v>
      </c>
      <c r="F7" s="121"/>
      <c r="G7" s="122" t="e">
        <f>(F7-H7)/H7*100</f>
        <v>#DIV/0!</v>
      </c>
      <c r="H7" s="121"/>
      <c r="I7" s="124"/>
    </row>
    <row r="8" spans="1:10" ht="18.75" thickBot="1">
      <c r="A8" s="126" t="s">
        <v>313</v>
      </c>
      <c r="B8" s="127">
        <f>B5+B6+B7</f>
        <v>0</v>
      </c>
      <c r="C8" s="122" t="e">
        <f>(B8-D8)/D8*100</f>
        <v>#DIV/0!</v>
      </c>
      <c r="D8" s="127">
        <f>D5+D6+D7</f>
        <v>0</v>
      </c>
      <c r="E8" s="122" t="e">
        <f>(D8-F8)/F8*100</f>
        <v>#DIV/0!</v>
      </c>
      <c r="F8" s="127">
        <f>F5+F6+F7</f>
        <v>0</v>
      </c>
      <c r="G8" s="122" t="e">
        <f>(F8-H8)/H8*100</f>
        <v>#DIV/0!</v>
      </c>
      <c r="H8" s="127">
        <f>H5+H6+H7</f>
        <v>0</v>
      </c>
      <c r="I8" s="124"/>
    </row>
    <row r="9" spans="1:10" ht="39" thickBot="1">
      <c r="A9" s="126"/>
      <c r="B9" s="127"/>
      <c r="C9" s="128" t="s">
        <v>565</v>
      </c>
      <c r="D9" s="127"/>
      <c r="E9" s="128" t="s">
        <v>566</v>
      </c>
      <c r="F9" s="129"/>
      <c r="G9" s="128" t="s">
        <v>567</v>
      </c>
      <c r="H9" s="129"/>
      <c r="I9" s="130" t="s">
        <v>568</v>
      </c>
    </row>
    <row r="10" spans="1:10" ht="18.75" thickBot="1">
      <c r="A10" s="131" t="s">
        <v>314</v>
      </c>
      <c r="B10" s="121"/>
      <c r="C10" s="122" t="e">
        <f t="shared" ref="C10:C29" si="0">B10/$B$5*100</f>
        <v>#DIV/0!</v>
      </c>
      <c r="D10" s="121"/>
      <c r="E10" s="122" t="e">
        <f t="shared" ref="E10:E29" si="1">D10/$D$5*100</f>
        <v>#DIV/0!</v>
      </c>
      <c r="F10" s="121"/>
      <c r="G10" s="122" t="e">
        <f t="shared" ref="G10:G29" si="2">F10/$F$5*100</f>
        <v>#DIV/0!</v>
      </c>
      <c r="H10" s="121"/>
      <c r="I10" s="132" t="e">
        <f t="shared" ref="I10:I29" si="3">H10/$H$5*100</f>
        <v>#DIV/0!</v>
      </c>
    </row>
    <row r="11" spans="1:10" ht="18.75" thickBot="1">
      <c r="A11" s="131" t="s">
        <v>315</v>
      </c>
      <c r="B11" s="121"/>
      <c r="C11" s="122" t="e">
        <f t="shared" si="0"/>
        <v>#DIV/0!</v>
      </c>
      <c r="D11" s="121"/>
      <c r="E11" s="122" t="e">
        <f t="shared" si="1"/>
        <v>#DIV/0!</v>
      </c>
      <c r="F11" s="123"/>
      <c r="G11" s="122" t="e">
        <f t="shared" si="2"/>
        <v>#DIV/0!</v>
      </c>
      <c r="H11" s="123"/>
      <c r="I11" s="132" t="e">
        <f t="shared" si="3"/>
        <v>#DIV/0!</v>
      </c>
      <c r="J11" s="133"/>
    </row>
    <row r="12" spans="1:10" ht="18.75" thickBot="1">
      <c r="A12" s="131" t="s">
        <v>316</v>
      </c>
      <c r="B12" s="121"/>
      <c r="C12" s="122" t="e">
        <f t="shared" si="0"/>
        <v>#DIV/0!</v>
      </c>
      <c r="D12" s="121"/>
      <c r="E12" s="122" t="e">
        <f t="shared" si="1"/>
        <v>#DIV/0!</v>
      </c>
      <c r="F12" s="123"/>
      <c r="G12" s="122" t="e">
        <f t="shared" si="2"/>
        <v>#DIV/0!</v>
      </c>
      <c r="H12" s="123"/>
      <c r="I12" s="132" t="e">
        <f t="shared" si="3"/>
        <v>#DIV/0!</v>
      </c>
    </row>
    <row r="13" spans="1:10" ht="18.75" thickBot="1">
      <c r="A13" s="134" t="s">
        <v>317</v>
      </c>
      <c r="B13" s="135">
        <f>B8-B10-B11-B12</f>
        <v>0</v>
      </c>
      <c r="C13" s="122" t="e">
        <f t="shared" si="0"/>
        <v>#DIV/0!</v>
      </c>
      <c r="D13" s="135">
        <f>D8-D10-D11-D12</f>
        <v>0</v>
      </c>
      <c r="E13" s="122" t="e">
        <f t="shared" si="1"/>
        <v>#DIV/0!</v>
      </c>
      <c r="F13" s="135">
        <f>F8-F10-F11-F12</f>
        <v>0</v>
      </c>
      <c r="G13" s="122" t="e">
        <f t="shared" si="2"/>
        <v>#DIV/0!</v>
      </c>
      <c r="H13" s="135">
        <f>H8-H10-H11-H12</f>
        <v>0</v>
      </c>
      <c r="I13" s="132" t="e">
        <f t="shared" si="3"/>
        <v>#DIV/0!</v>
      </c>
    </row>
    <row r="14" spans="1:10" ht="18.75" thickBot="1">
      <c r="A14" s="136" t="s">
        <v>318</v>
      </c>
      <c r="B14" s="121"/>
      <c r="C14" s="122" t="e">
        <f t="shared" si="0"/>
        <v>#DIV/0!</v>
      </c>
      <c r="D14" s="121"/>
      <c r="E14" s="122" t="e">
        <f t="shared" si="1"/>
        <v>#DIV/0!</v>
      </c>
      <c r="F14" s="123"/>
      <c r="G14" s="122" t="e">
        <f t="shared" si="2"/>
        <v>#DIV/0!</v>
      </c>
      <c r="H14" s="123"/>
      <c r="I14" s="132" t="e">
        <f t="shared" si="3"/>
        <v>#DIV/0!</v>
      </c>
      <c r="J14" s="133"/>
    </row>
    <row r="15" spans="1:10" ht="18.75" thickBot="1">
      <c r="A15" s="136" t="s">
        <v>319</v>
      </c>
      <c r="B15" s="121"/>
      <c r="C15" s="122" t="e">
        <f t="shared" si="0"/>
        <v>#DIV/0!</v>
      </c>
      <c r="D15" s="121"/>
      <c r="E15" s="122" t="e">
        <f t="shared" si="1"/>
        <v>#DIV/0!</v>
      </c>
      <c r="F15" s="123"/>
      <c r="G15" s="122" t="e">
        <f t="shared" si="2"/>
        <v>#DIV/0!</v>
      </c>
      <c r="H15" s="123"/>
      <c r="I15" s="132" t="e">
        <f t="shared" si="3"/>
        <v>#DIV/0!</v>
      </c>
      <c r="J15" s="133"/>
    </row>
    <row r="16" spans="1:10" ht="18.75" thickBot="1">
      <c r="A16" s="134" t="s">
        <v>320</v>
      </c>
      <c r="B16" s="135">
        <f>B13-B14-B15</f>
        <v>0</v>
      </c>
      <c r="C16" s="122" t="e">
        <f t="shared" si="0"/>
        <v>#DIV/0!</v>
      </c>
      <c r="D16" s="135">
        <f>D13-D14-D15</f>
        <v>0</v>
      </c>
      <c r="E16" s="122" t="e">
        <f t="shared" si="1"/>
        <v>#DIV/0!</v>
      </c>
      <c r="F16" s="135">
        <f>F13-F14-F15</f>
        <v>0</v>
      </c>
      <c r="G16" s="122" t="e">
        <f t="shared" si="2"/>
        <v>#DIV/0!</v>
      </c>
      <c r="H16" s="135">
        <f>H13-H14-H15</f>
        <v>0</v>
      </c>
      <c r="I16" s="132" t="e">
        <f t="shared" si="3"/>
        <v>#DIV/0!</v>
      </c>
    </row>
    <row r="17" spans="1:12" ht="18.75" thickBot="1">
      <c r="A17" s="137" t="s">
        <v>218</v>
      </c>
      <c r="B17" s="121"/>
      <c r="C17" s="122" t="e">
        <f t="shared" si="0"/>
        <v>#DIV/0!</v>
      </c>
      <c r="D17" s="121"/>
      <c r="E17" s="122" t="e">
        <f t="shared" si="1"/>
        <v>#DIV/0!</v>
      </c>
      <c r="F17" s="123"/>
      <c r="G17" s="122" t="e">
        <f t="shared" si="2"/>
        <v>#DIV/0!</v>
      </c>
      <c r="H17" s="123"/>
      <c r="I17" s="132" t="e">
        <f t="shared" si="3"/>
        <v>#DIV/0!</v>
      </c>
      <c r="L17" s="138"/>
    </row>
    <row r="18" spans="1:12" s="138" customFormat="1" ht="18.75" thickBot="1">
      <c r="A18" s="131" t="s">
        <v>321</v>
      </c>
      <c r="B18" s="121"/>
      <c r="C18" s="122" t="e">
        <f t="shared" si="0"/>
        <v>#DIV/0!</v>
      </c>
      <c r="D18" s="121"/>
      <c r="E18" s="122" t="e">
        <f t="shared" si="1"/>
        <v>#DIV/0!</v>
      </c>
      <c r="F18" s="123"/>
      <c r="G18" s="122" t="e">
        <f t="shared" si="2"/>
        <v>#DIV/0!</v>
      </c>
      <c r="H18" s="123"/>
      <c r="I18" s="132" t="e">
        <f t="shared" si="3"/>
        <v>#DIV/0!</v>
      </c>
      <c r="L18" s="116"/>
    </row>
    <row r="19" spans="1:12" s="138" customFormat="1" ht="18.75" thickBot="1">
      <c r="A19" s="131" t="s">
        <v>322</v>
      </c>
      <c r="B19" s="121"/>
      <c r="C19" s="122" t="e">
        <f t="shared" si="0"/>
        <v>#DIV/0!</v>
      </c>
      <c r="D19" s="121"/>
      <c r="E19" s="122" t="e">
        <f t="shared" si="1"/>
        <v>#DIV/0!</v>
      </c>
      <c r="F19" s="123"/>
      <c r="G19" s="122" t="e">
        <f t="shared" si="2"/>
        <v>#DIV/0!</v>
      </c>
      <c r="H19" s="123"/>
      <c r="I19" s="132" t="e">
        <f t="shared" si="3"/>
        <v>#DIV/0!</v>
      </c>
      <c r="L19" s="116"/>
    </row>
    <row r="20" spans="1:12" s="138" customFormat="1" ht="18.75" thickBot="1">
      <c r="A20" s="131" t="s">
        <v>323</v>
      </c>
      <c r="B20" s="121"/>
      <c r="C20" s="122" t="e">
        <f t="shared" si="0"/>
        <v>#DIV/0!</v>
      </c>
      <c r="D20" s="121"/>
      <c r="E20" s="122" t="e">
        <f t="shared" si="1"/>
        <v>#DIV/0!</v>
      </c>
      <c r="F20" s="123"/>
      <c r="G20" s="122" t="e">
        <f t="shared" si="2"/>
        <v>#DIV/0!</v>
      </c>
      <c r="H20" s="123"/>
      <c r="I20" s="132" t="e">
        <f t="shared" si="3"/>
        <v>#DIV/0!</v>
      </c>
      <c r="L20" s="116"/>
    </row>
    <row r="21" spans="1:12" s="138" customFormat="1" ht="18.75" thickBot="1">
      <c r="A21" s="131" t="s">
        <v>324</v>
      </c>
      <c r="B21" s="121"/>
      <c r="C21" s="122" t="e">
        <f t="shared" si="0"/>
        <v>#DIV/0!</v>
      </c>
      <c r="D21" s="121"/>
      <c r="E21" s="122" t="e">
        <f t="shared" si="1"/>
        <v>#DIV/0!</v>
      </c>
      <c r="F21" s="123"/>
      <c r="G21" s="122" t="e">
        <f t="shared" si="2"/>
        <v>#DIV/0!</v>
      </c>
      <c r="H21" s="123"/>
      <c r="I21" s="132" t="e">
        <f t="shared" si="3"/>
        <v>#DIV/0!</v>
      </c>
      <c r="L21" s="116"/>
    </row>
    <row r="22" spans="1:12" ht="18.75" thickBot="1">
      <c r="A22" s="137" t="s">
        <v>325</v>
      </c>
      <c r="B22" s="121"/>
      <c r="C22" s="122" t="e">
        <f t="shared" si="0"/>
        <v>#DIV/0!</v>
      </c>
      <c r="D22" s="121"/>
      <c r="E22" s="122" t="e">
        <f t="shared" si="1"/>
        <v>#DIV/0!</v>
      </c>
      <c r="F22" s="123"/>
      <c r="G22" s="122" t="e">
        <f t="shared" si="2"/>
        <v>#DIV/0!</v>
      </c>
      <c r="H22" s="123"/>
      <c r="I22" s="132" t="e">
        <f t="shared" si="3"/>
        <v>#DIV/0!</v>
      </c>
    </row>
    <row r="23" spans="1:12" ht="18.75" thickBot="1">
      <c r="A23" s="139" t="s">
        <v>326</v>
      </c>
      <c r="B23" s="140">
        <f>B16-B17-B18-B22-B21-B19-B20</f>
        <v>0</v>
      </c>
      <c r="C23" s="122" t="e">
        <f t="shared" si="0"/>
        <v>#DIV/0!</v>
      </c>
      <c r="D23" s="140">
        <f>D16-D17-D18-D22-D21-D19-D20</f>
        <v>0</v>
      </c>
      <c r="E23" s="122" t="e">
        <f t="shared" si="1"/>
        <v>#DIV/0!</v>
      </c>
      <c r="F23" s="140">
        <f>F16-F17-F18-F22-F21-F19-F20</f>
        <v>0</v>
      </c>
      <c r="G23" s="122" t="e">
        <f t="shared" si="2"/>
        <v>#DIV/0!</v>
      </c>
      <c r="H23" s="140">
        <f>H16-H17-H18-H22-H21-H19-H20</f>
        <v>0</v>
      </c>
      <c r="I23" s="132" t="e">
        <f t="shared" si="3"/>
        <v>#DIV/0!</v>
      </c>
    </row>
    <row r="24" spans="1:12" ht="18.75" thickBot="1">
      <c r="A24" s="125" t="s">
        <v>327</v>
      </c>
      <c r="B24" s="121"/>
      <c r="C24" s="122" t="e">
        <f t="shared" si="0"/>
        <v>#DIV/0!</v>
      </c>
      <c r="D24" s="121"/>
      <c r="E24" s="122" t="e">
        <f t="shared" si="1"/>
        <v>#DIV/0!</v>
      </c>
      <c r="F24" s="121"/>
      <c r="G24" s="122" t="e">
        <f t="shared" si="2"/>
        <v>#DIV/0!</v>
      </c>
      <c r="H24" s="121"/>
      <c r="I24" s="132" t="e">
        <f t="shared" si="3"/>
        <v>#DIV/0!</v>
      </c>
      <c r="K24" s="141"/>
    </row>
    <row r="25" spans="1:12" ht="18.75" thickBot="1">
      <c r="A25" s="142" t="s">
        <v>186</v>
      </c>
      <c r="B25" s="127">
        <f>B23-B24</f>
        <v>0</v>
      </c>
      <c r="C25" s="143" t="e">
        <f t="shared" si="0"/>
        <v>#DIV/0!</v>
      </c>
      <c r="D25" s="127">
        <f>D23-D24</f>
        <v>0</v>
      </c>
      <c r="E25" s="143" t="e">
        <f t="shared" si="1"/>
        <v>#DIV/0!</v>
      </c>
      <c r="F25" s="127">
        <f>F23-F24</f>
        <v>0</v>
      </c>
      <c r="G25" s="122" t="e">
        <f t="shared" si="2"/>
        <v>#DIV/0!</v>
      </c>
      <c r="H25" s="127">
        <f>H23-H24</f>
        <v>0</v>
      </c>
      <c r="I25" s="132" t="e">
        <f t="shared" si="3"/>
        <v>#DIV/0!</v>
      </c>
      <c r="J25" s="144"/>
    </row>
    <row r="26" spans="1:12" ht="18.75" thickBot="1">
      <c r="A26" s="139" t="s">
        <v>328</v>
      </c>
      <c r="B26" s="140">
        <f>B25+B17+B22</f>
        <v>0</v>
      </c>
      <c r="C26" s="122" t="e">
        <f t="shared" si="0"/>
        <v>#DIV/0!</v>
      </c>
      <c r="D26" s="140">
        <f>D25+D17+D22</f>
        <v>0</v>
      </c>
      <c r="E26" s="122" t="e">
        <f t="shared" si="1"/>
        <v>#DIV/0!</v>
      </c>
      <c r="F26" s="140">
        <f>F25+F17+F22</f>
        <v>0</v>
      </c>
      <c r="G26" s="122" t="e">
        <f t="shared" si="2"/>
        <v>#DIV/0!</v>
      </c>
      <c r="H26" s="140">
        <f>H25+H17+H22</f>
        <v>0</v>
      </c>
      <c r="I26" s="132" t="e">
        <f t="shared" si="3"/>
        <v>#DIV/0!</v>
      </c>
    </row>
    <row r="27" spans="1:12" ht="18.75" thickBot="1">
      <c r="A27" s="145" t="s">
        <v>329</v>
      </c>
      <c r="B27" s="121"/>
      <c r="C27" s="122" t="e">
        <f t="shared" si="0"/>
        <v>#DIV/0!</v>
      </c>
      <c r="D27" s="121"/>
      <c r="E27" s="122" t="e">
        <f t="shared" si="1"/>
        <v>#DIV/0!</v>
      </c>
      <c r="F27" s="121"/>
      <c r="G27" s="122" t="e">
        <f t="shared" si="2"/>
        <v>#DIV/0!</v>
      </c>
      <c r="H27" s="121"/>
      <c r="I27" s="132" t="e">
        <f t="shared" si="3"/>
        <v>#DIV/0!</v>
      </c>
    </row>
    <row r="28" spans="1:12" ht="18.75" thickBot="1">
      <c r="A28" s="145" t="s">
        <v>220</v>
      </c>
      <c r="B28" s="121"/>
      <c r="C28" s="122" t="e">
        <f t="shared" si="0"/>
        <v>#DIV/0!</v>
      </c>
      <c r="D28" s="121"/>
      <c r="E28" s="122" t="e">
        <f t="shared" si="1"/>
        <v>#DIV/0!</v>
      </c>
      <c r="F28" s="121"/>
      <c r="G28" s="122" t="e">
        <f t="shared" si="2"/>
        <v>#DIV/0!</v>
      </c>
      <c r="H28" s="121"/>
      <c r="I28" s="132" t="e">
        <f t="shared" si="3"/>
        <v>#DIV/0!</v>
      </c>
    </row>
    <row r="29" spans="1:12" ht="18.75" thickBot="1">
      <c r="A29" s="146" t="s">
        <v>187</v>
      </c>
      <c r="B29" s="147">
        <f>B26+B27+B28</f>
        <v>0</v>
      </c>
      <c r="C29" s="143" t="e">
        <f t="shared" si="0"/>
        <v>#DIV/0!</v>
      </c>
      <c r="D29" s="147">
        <f>D26+D27+D28</f>
        <v>0</v>
      </c>
      <c r="E29" s="143" t="e">
        <f t="shared" si="1"/>
        <v>#DIV/0!</v>
      </c>
      <c r="F29" s="147">
        <f>F26+F27+F28</f>
        <v>0</v>
      </c>
      <c r="G29" s="122" t="e">
        <f t="shared" si="2"/>
        <v>#DIV/0!</v>
      </c>
      <c r="H29" s="147">
        <f>H26+H27+H28</f>
        <v>0</v>
      </c>
      <c r="I29" s="132" t="e">
        <f t="shared" si="3"/>
        <v>#DIV/0!</v>
      </c>
    </row>
    <row r="30" spans="1:12" ht="18.75" thickBot="1">
      <c r="A30" s="146"/>
      <c r="B30" s="147"/>
      <c r="C30" s="143"/>
      <c r="D30" s="147"/>
      <c r="E30" s="143"/>
      <c r="F30" s="147"/>
      <c r="G30" s="143"/>
      <c r="H30" s="147"/>
      <c r="I30" s="148"/>
      <c r="J30" s="149"/>
    </row>
    <row r="31" spans="1:12" ht="18">
      <c r="A31" s="150"/>
      <c r="B31" s="151"/>
      <c r="C31" s="152"/>
      <c r="D31" s="151"/>
      <c r="E31" s="152"/>
      <c r="F31" s="151"/>
      <c r="G31" s="152"/>
      <c r="H31" s="151"/>
      <c r="I31" s="153" t="s">
        <v>330</v>
      </c>
    </row>
    <row r="32" spans="1:12" ht="18">
      <c r="A32" s="740" t="s">
        <v>331</v>
      </c>
      <c r="B32" s="741" t="str">
        <f>B3</f>
        <v>31.03.2021</v>
      </c>
      <c r="C32" s="154" t="s">
        <v>303</v>
      </c>
      <c r="D32" s="741" t="str">
        <f>D3</f>
        <v>31.03.2020</v>
      </c>
      <c r="E32" s="154" t="s">
        <v>303</v>
      </c>
      <c r="F32" s="741" t="str">
        <f>F3</f>
        <v>31.03.2019</v>
      </c>
      <c r="G32" s="154" t="s">
        <v>303</v>
      </c>
      <c r="H32" s="742" t="s">
        <v>306</v>
      </c>
      <c r="I32" s="155"/>
    </row>
    <row r="33" spans="1:10" ht="18">
      <c r="A33" s="740"/>
      <c r="B33" s="741"/>
      <c r="C33" s="156" t="str">
        <f>C4</f>
        <v>In 2021</v>
      </c>
      <c r="D33" s="741"/>
      <c r="E33" s="156" t="str">
        <f>E4</f>
        <v>In 2020</v>
      </c>
      <c r="F33" s="741"/>
      <c r="G33" s="156" t="str">
        <f>G4</f>
        <v>In 2019</v>
      </c>
      <c r="H33" s="742"/>
      <c r="I33" s="157"/>
    </row>
    <row r="34" spans="1:10" ht="18">
      <c r="A34" s="158" t="s">
        <v>332</v>
      </c>
      <c r="B34" s="121"/>
      <c r="C34" s="122" t="e">
        <f t="shared" ref="C34:C65" si="4">(B34-D34)/D34*100</f>
        <v>#DIV/0!</v>
      </c>
      <c r="D34" s="121"/>
      <c r="E34" s="122" t="e">
        <f t="shared" ref="E34:E65" si="5">(D34-F34)/F34*100</f>
        <v>#DIV/0!</v>
      </c>
      <c r="F34" s="121"/>
      <c r="G34" s="122" t="e">
        <f t="shared" ref="G34:G65" si="6">(F34-H34)/H34*100</f>
        <v>#DIV/0!</v>
      </c>
      <c r="H34" s="121"/>
      <c r="I34" s="116"/>
    </row>
    <row r="35" spans="1:10" ht="26.25">
      <c r="A35" s="158" t="s">
        <v>333</v>
      </c>
      <c r="B35" s="121"/>
      <c r="C35" s="122" t="e">
        <f t="shared" si="4"/>
        <v>#DIV/0!</v>
      </c>
      <c r="D35" s="121"/>
      <c r="E35" s="122" t="e">
        <f t="shared" si="5"/>
        <v>#DIV/0!</v>
      </c>
      <c r="F35" s="123"/>
      <c r="G35" s="122" t="e">
        <f t="shared" si="6"/>
        <v>#DIV/0!</v>
      </c>
      <c r="H35" s="123"/>
      <c r="I35" s="116"/>
    </row>
    <row r="36" spans="1:10" ht="18">
      <c r="A36" s="159" t="s">
        <v>188</v>
      </c>
      <c r="B36" s="127">
        <f>SUM(B34:B35)</f>
        <v>0</v>
      </c>
      <c r="C36" s="122" t="e">
        <f t="shared" si="4"/>
        <v>#DIV/0!</v>
      </c>
      <c r="D36" s="127">
        <f>SUM(D34:D35)</f>
        <v>0</v>
      </c>
      <c r="E36" s="122" t="e">
        <f t="shared" si="5"/>
        <v>#DIV/0!</v>
      </c>
      <c r="F36" s="140">
        <f>SUM(F34:F35)</f>
        <v>0</v>
      </c>
      <c r="G36" s="122" t="e">
        <f t="shared" si="6"/>
        <v>#DIV/0!</v>
      </c>
      <c r="H36" s="140">
        <f>SUM(H34:H35)</f>
        <v>0</v>
      </c>
      <c r="I36" s="116"/>
    </row>
    <row r="37" spans="1:10" ht="18">
      <c r="A37" s="158" t="s">
        <v>334</v>
      </c>
      <c r="B37" s="121"/>
      <c r="C37" s="122" t="e">
        <f t="shared" si="4"/>
        <v>#DIV/0!</v>
      </c>
      <c r="D37" s="121"/>
      <c r="E37" s="122" t="e">
        <f t="shared" si="5"/>
        <v>#DIV/0!</v>
      </c>
      <c r="F37" s="121"/>
      <c r="G37" s="122" t="e">
        <f t="shared" si="6"/>
        <v>#DIV/0!</v>
      </c>
      <c r="H37" s="121"/>
      <c r="I37" s="116"/>
    </row>
    <row r="38" spans="1:10" ht="18">
      <c r="A38" s="159" t="s">
        <v>335</v>
      </c>
      <c r="B38" s="127">
        <f>B34+B35+B43-B62-B64-B52</f>
        <v>0</v>
      </c>
      <c r="C38" s="122" t="e">
        <f t="shared" si="4"/>
        <v>#DIV/0!</v>
      </c>
      <c r="D38" s="127">
        <f>D34+D35+D43-D62-D64-D52</f>
        <v>0</v>
      </c>
      <c r="E38" s="122" t="e">
        <f t="shared" si="5"/>
        <v>#DIV/0!</v>
      </c>
      <c r="F38" s="140">
        <f>F34+F35+F43-F62-F64-F52</f>
        <v>0</v>
      </c>
      <c r="G38" s="122" t="e">
        <f t="shared" si="6"/>
        <v>#DIV/0!</v>
      </c>
      <c r="H38" s="140">
        <f>H34+H35+H43-H62-H64-H52</f>
        <v>0</v>
      </c>
      <c r="I38" s="116"/>
    </row>
    <row r="39" spans="1:10" ht="18">
      <c r="A39" s="158" t="s">
        <v>189</v>
      </c>
      <c r="B39" s="121"/>
      <c r="C39" s="122" t="e">
        <f t="shared" si="4"/>
        <v>#DIV/0!</v>
      </c>
      <c r="D39" s="121"/>
      <c r="E39" s="122" t="e">
        <f t="shared" si="5"/>
        <v>#DIV/0!</v>
      </c>
      <c r="F39" s="123"/>
      <c r="G39" s="122" t="e">
        <f t="shared" si="6"/>
        <v>#DIV/0!</v>
      </c>
      <c r="H39" s="123"/>
    </row>
    <row r="40" spans="1:10" ht="18">
      <c r="A40" s="158" t="s">
        <v>190</v>
      </c>
      <c r="B40" s="121"/>
      <c r="C40" s="122" t="e">
        <f t="shared" si="4"/>
        <v>#DIV/0!</v>
      </c>
      <c r="D40" s="121"/>
      <c r="E40" s="122" t="e">
        <f t="shared" si="5"/>
        <v>#DIV/0!</v>
      </c>
      <c r="F40" s="123"/>
      <c r="G40" s="122" t="e">
        <f t="shared" si="6"/>
        <v>#DIV/0!</v>
      </c>
      <c r="H40" s="123"/>
      <c r="I40" s="160"/>
      <c r="J40" s="161"/>
    </row>
    <row r="41" spans="1:10" ht="18">
      <c r="A41" s="162" t="s">
        <v>336</v>
      </c>
      <c r="B41" s="163">
        <f>B39+B40</f>
        <v>0</v>
      </c>
      <c r="C41" s="122" t="e">
        <f t="shared" si="4"/>
        <v>#DIV/0!</v>
      </c>
      <c r="D41" s="163">
        <f>D39+D40</f>
        <v>0</v>
      </c>
      <c r="E41" s="122" t="e">
        <f t="shared" si="5"/>
        <v>#DIV/0!</v>
      </c>
      <c r="F41" s="163">
        <f>F39+F40</f>
        <v>0</v>
      </c>
      <c r="G41" s="122" t="e">
        <f t="shared" si="6"/>
        <v>#DIV/0!</v>
      </c>
      <c r="H41" s="163">
        <f>H39+H40</f>
        <v>0</v>
      </c>
      <c r="I41" s="116"/>
      <c r="J41" s="161"/>
    </row>
    <row r="42" spans="1:10" ht="18">
      <c r="A42" s="158" t="s">
        <v>337</v>
      </c>
      <c r="B42" s="121"/>
      <c r="C42" s="122" t="e">
        <f t="shared" si="4"/>
        <v>#DIV/0!</v>
      </c>
      <c r="D42" s="121"/>
      <c r="E42" s="122" t="e">
        <f t="shared" si="5"/>
        <v>#DIV/0!</v>
      </c>
      <c r="F42" s="123"/>
      <c r="G42" s="122" t="e">
        <f t="shared" si="6"/>
        <v>#DIV/0!</v>
      </c>
      <c r="H42" s="123"/>
      <c r="I42" s="116"/>
    </row>
    <row r="43" spans="1:10" ht="26.25">
      <c r="A43" s="164" t="s">
        <v>338</v>
      </c>
      <c r="B43" s="121"/>
      <c r="C43" s="122" t="e">
        <f t="shared" si="4"/>
        <v>#DIV/0!</v>
      </c>
      <c r="D43" s="121"/>
      <c r="E43" s="122" t="e">
        <f t="shared" si="5"/>
        <v>#DIV/0!</v>
      </c>
      <c r="F43" s="123"/>
      <c r="G43" s="122" t="e">
        <f t="shared" si="6"/>
        <v>#DIV/0!</v>
      </c>
      <c r="H43" s="123"/>
      <c r="I43" s="116"/>
    </row>
    <row r="44" spans="1:10" ht="18">
      <c r="A44" s="165" t="s">
        <v>339</v>
      </c>
      <c r="B44" s="166">
        <f>B45+B46</f>
        <v>0</v>
      </c>
      <c r="C44" s="122" t="e">
        <f t="shared" si="4"/>
        <v>#DIV/0!</v>
      </c>
      <c r="D44" s="166">
        <f>D45+D46</f>
        <v>0</v>
      </c>
      <c r="E44" s="122" t="e">
        <f t="shared" si="5"/>
        <v>#DIV/0!</v>
      </c>
      <c r="F44" s="166">
        <f>F45+F46</f>
        <v>0</v>
      </c>
      <c r="G44" s="122" t="e">
        <f t="shared" si="6"/>
        <v>#DIV/0!</v>
      </c>
      <c r="H44" s="166">
        <f>H45+H46</f>
        <v>0</v>
      </c>
      <c r="I44" s="116"/>
    </row>
    <row r="45" spans="1:10" ht="18">
      <c r="A45" s="167" t="s">
        <v>340</v>
      </c>
      <c r="B45" s="121"/>
      <c r="C45" s="122" t="e">
        <f t="shared" si="4"/>
        <v>#DIV/0!</v>
      </c>
      <c r="D45" s="121"/>
      <c r="E45" s="122" t="e">
        <f t="shared" si="5"/>
        <v>#DIV/0!</v>
      </c>
      <c r="F45" s="123"/>
      <c r="G45" s="122" t="e">
        <f t="shared" si="6"/>
        <v>#DIV/0!</v>
      </c>
      <c r="H45" s="123"/>
      <c r="I45" s="116"/>
    </row>
    <row r="46" spans="1:10" ht="18">
      <c r="A46" s="158" t="s">
        <v>341</v>
      </c>
      <c r="B46" s="121"/>
      <c r="C46" s="122" t="e">
        <f t="shared" si="4"/>
        <v>#DIV/0!</v>
      </c>
      <c r="D46" s="121"/>
      <c r="E46" s="122" t="e">
        <f t="shared" si="5"/>
        <v>#DIV/0!</v>
      </c>
      <c r="F46" s="123"/>
      <c r="G46" s="122" t="e">
        <f t="shared" si="6"/>
        <v>#DIV/0!</v>
      </c>
      <c r="H46" s="123"/>
      <c r="I46" s="116"/>
    </row>
    <row r="47" spans="1:10" ht="18">
      <c r="A47" s="168" t="s">
        <v>342</v>
      </c>
      <c r="B47" s="140">
        <f>B41+B42+B44</f>
        <v>0</v>
      </c>
      <c r="C47" s="122" t="e">
        <f t="shared" si="4"/>
        <v>#DIV/0!</v>
      </c>
      <c r="D47" s="140">
        <f>D41+D42+D44</f>
        <v>0</v>
      </c>
      <c r="E47" s="122" t="e">
        <f t="shared" si="5"/>
        <v>#DIV/0!</v>
      </c>
      <c r="F47" s="140">
        <f>F41+F42+F44</f>
        <v>0</v>
      </c>
      <c r="G47" s="122" t="e">
        <f t="shared" si="6"/>
        <v>#DIV/0!</v>
      </c>
      <c r="H47" s="140">
        <f>H41+H42+H44</f>
        <v>0</v>
      </c>
      <c r="I47" s="116"/>
    </row>
    <row r="48" spans="1:10" ht="18">
      <c r="A48" s="202" t="s">
        <v>343</v>
      </c>
      <c r="B48" s="203">
        <f>B36+B37+B41+B42+B43+B44</f>
        <v>0</v>
      </c>
      <c r="C48" s="204" t="e">
        <f t="shared" si="4"/>
        <v>#DIV/0!</v>
      </c>
      <c r="D48" s="203">
        <f>D36+D37+D41+D42+D43+D44</f>
        <v>0</v>
      </c>
      <c r="E48" s="204" t="e">
        <f t="shared" si="5"/>
        <v>#DIV/0!</v>
      </c>
      <c r="F48" s="203">
        <f>F36+F37+F41+F42+F43+F44</f>
        <v>0</v>
      </c>
      <c r="G48" s="204" t="e">
        <f t="shared" si="6"/>
        <v>#DIV/0!</v>
      </c>
      <c r="H48" s="203">
        <f>H36+H37+H41+H42+H43+H44</f>
        <v>0</v>
      </c>
      <c r="I48" s="116"/>
    </row>
    <row r="49" spans="1:9" ht="18">
      <c r="A49" s="164" t="s">
        <v>344</v>
      </c>
      <c r="B49" s="121"/>
      <c r="C49" s="122" t="e">
        <f t="shared" si="4"/>
        <v>#DIV/0!</v>
      </c>
      <c r="D49" s="121"/>
      <c r="E49" s="122" t="e">
        <f t="shared" si="5"/>
        <v>#DIV/0!</v>
      </c>
      <c r="F49" s="123"/>
      <c r="G49" s="122" t="e">
        <f t="shared" si="6"/>
        <v>#DIV/0!</v>
      </c>
      <c r="H49" s="123"/>
      <c r="I49" s="169"/>
    </row>
    <row r="50" spans="1:9" ht="18">
      <c r="A50" s="170" t="s">
        <v>345</v>
      </c>
      <c r="B50" s="140">
        <f>B51+B53+B52</f>
        <v>0</v>
      </c>
      <c r="C50" s="122" t="e">
        <f t="shared" si="4"/>
        <v>#DIV/0!</v>
      </c>
      <c r="D50" s="140">
        <f>D51+D53+D52</f>
        <v>0</v>
      </c>
      <c r="E50" s="122" t="e">
        <f t="shared" si="5"/>
        <v>#DIV/0!</v>
      </c>
      <c r="F50" s="140">
        <f>F51+F53+F52</f>
        <v>0</v>
      </c>
      <c r="G50" s="122" t="e">
        <f t="shared" si="6"/>
        <v>#DIV/0!</v>
      </c>
      <c r="H50" s="140">
        <f>H51+H53+H52</f>
        <v>0</v>
      </c>
      <c r="I50" s="116"/>
    </row>
    <row r="51" spans="1:9" ht="18">
      <c r="A51" s="171" t="s">
        <v>346</v>
      </c>
      <c r="B51" s="121"/>
      <c r="C51" s="122" t="e">
        <f t="shared" si="4"/>
        <v>#DIV/0!</v>
      </c>
      <c r="D51" s="121"/>
      <c r="E51" s="122" t="e">
        <f t="shared" si="5"/>
        <v>#DIV/0!</v>
      </c>
      <c r="F51" s="123"/>
      <c r="G51" s="122" t="e">
        <f t="shared" si="6"/>
        <v>#DIV/0!</v>
      </c>
      <c r="H51" s="123"/>
      <c r="I51" s="116"/>
    </row>
    <row r="52" spans="1:9" ht="18">
      <c r="A52" s="171" t="s">
        <v>347</v>
      </c>
      <c r="B52" s="121"/>
      <c r="C52" s="122" t="e">
        <f t="shared" si="4"/>
        <v>#DIV/0!</v>
      </c>
      <c r="D52" s="121"/>
      <c r="E52" s="122" t="e">
        <f t="shared" si="5"/>
        <v>#DIV/0!</v>
      </c>
      <c r="F52" s="121"/>
      <c r="G52" s="122" t="e">
        <f t="shared" si="6"/>
        <v>#DIV/0!</v>
      </c>
      <c r="H52" s="121"/>
      <c r="I52" s="116"/>
    </row>
    <row r="53" spans="1:9" ht="18">
      <c r="A53" s="171" t="s">
        <v>348</v>
      </c>
      <c r="B53" s="121"/>
      <c r="C53" s="122" t="e">
        <f t="shared" si="4"/>
        <v>#DIV/0!</v>
      </c>
      <c r="D53" s="121"/>
      <c r="E53" s="122" t="e">
        <f t="shared" si="5"/>
        <v>#DIV/0!</v>
      </c>
      <c r="F53" s="121"/>
      <c r="G53" s="122" t="e">
        <f t="shared" si="6"/>
        <v>#DIV/0!</v>
      </c>
      <c r="H53" s="121"/>
      <c r="I53" s="116"/>
    </row>
    <row r="54" spans="1:9" ht="18">
      <c r="A54" s="172" t="s">
        <v>349</v>
      </c>
      <c r="B54" s="166">
        <f>B56+B57+B60+B61+B55</f>
        <v>0</v>
      </c>
      <c r="C54" s="122" t="e">
        <f t="shared" si="4"/>
        <v>#DIV/0!</v>
      </c>
      <c r="D54" s="166">
        <f>D56+D57+D60+D61+D55</f>
        <v>0</v>
      </c>
      <c r="E54" s="122" t="e">
        <f t="shared" si="5"/>
        <v>#DIV/0!</v>
      </c>
      <c r="F54" s="166">
        <f>F56+F57+F60+F61+F55</f>
        <v>0</v>
      </c>
      <c r="G54" s="122" t="e">
        <f t="shared" si="6"/>
        <v>#DIV/0!</v>
      </c>
      <c r="H54" s="166">
        <f>H56+H57+H60+H61+H55</f>
        <v>0</v>
      </c>
      <c r="I54" s="116"/>
    </row>
    <row r="55" spans="1:9" ht="18">
      <c r="A55" s="173" t="s">
        <v>350</v>
      </c>
      <c r="B55" s="121"/>
      <c r="C55" s="122" t="e">
        <f t="shared" si="4"/>
        <v>#DIV/0!</v>
      </c>
      <c r="D55" s="121"/>
      <c r="E55" s="122" t="e">
        <f t="shared" si="5"/>
        <v>#DIV/0!</v>
      </c>
      <c r="F55" s="121"/>
      <c r="G55" s="122" t="e">
        <f t="shared" si="6"/>
        <v>#DIV/0!</v>
      </c>
      <c r="H55" s="121"/>
      <c r="I55" s="116"/>
    </row>
    <row r="56" spans="1:9" ht="18">
      <c r="A56" s="164" t="s">
        <v>351</v>
      </c>
      <c r="B56" s="121"/>
      <c r="C56" s="122" t="e">
        <f t="shared" si="4"/>
        <v>#DIV/0!</v>
      </c>
      <c r="D56" s="121"/>
      <c r="E56" s="122" t="e">
        <f t="shared" si="5"/>
        <v>#DIV/0!</v>
      </c>
      <c r="F56" s="123"/>
      <c r="G56" s="122" t="e">
        <f t="shared" si="6"/>
        <v>#DIV/0!</v>
      </c>
      <c r="H56" s="123"/>
      <c r="I56" s="116"/>
    </row>
    <row r="57" spans="1:9" ht="18">
      <c r="A57" s="174" t="s">
        <v>352</v>
      </c>
      <c r="B57" s="166">
        <f>B58+B59</f>
        <v>0</v>
      </c>
      <c r="C57" s="122" t="e">
        <f t="shared" si="4"/>
        <v>#DIV/0!</v>
      </c>
      <c r="D57" s="166">
        <f>D58+D59</f>
        <v>0</v>
      </c>
      <c r="E57" s="122" t="e">
        <f t="shared" si="5"/>
        <v>#DIV/0!</v>
      </c>
      <c r="F57" s="166">
        <f>F58+F59</f>
        <v>0</v>
      </c>
      <c r="G57" s="122" t="e">
        <f t="shared" si="6"/>
        <v>#DIV/0!</v>
      </c>
      <c r="H57" s="166">
        <f>H58+H59</f>
        <v>0</v>
      </c>
      <c r="I57" s="116"/>
    </row>
    <row r="58" spans="1:9" ht="18">
      <c r="A58" s="164" t="s">
        <v>353</v>
      </c>
      <c r="B58" s="121"/>
      <c r="C58" s="122" t="e">
        <f t="shared" si="4"/>
        <v>#DIV/0!</v>
      </c>
      <c r="D58" s="121"/>
      <c r="E58" s="122" t="e">
        <f t="shared" si="5"/>
        <v>#DIV/0!</v>
      </c>
      <c r="F58" s="121"/>
      <c r="G58" s="122" t="e">
        <f t="shared" si="6"/>
        <v>#DIV/0!</v>
      </c>
      <c r="H58" s="121"/>
      <c r="I58" s="116"/>
    </row>
    <row r="59" spans="1:9" ht="18">
      <c r="A59" s="164" t="s">
        <v>354</v>
      </c>
      <c r="B59" s="121"/>
      <c r="C59" s="122" t="e">
        <f t="shared" si="4"/>
        <v>#DIV/0!</v>
      </c>
      <c r="D59" s="121"/>
      <c r="E59" s="122" t="e">
        <f t="shared" si="5"/>
        <v>#DIV/0!</v>
      </c>
      <c r="F59" s="123"/>
      <c r="G59" s="122" t="e">
        <f t="shared" si="6"/>
        <v>#DIV/0!</v>
      </c>
      <c r="H59" s="123"/>
      <c r="I59" s="116"/>
    </row>
    <row r="60" spans="1:9" ht="18">
      <c r="A60" s="164" t="s">
        <v>355</v>
      </c>
      <c r="B60" s="121"/>
      <c r="C60" s="122" t="e">
        <f t="shared" si="4"/>
        <v>#DIV/0!</v>
      </c>
      <c r="D60" s="121"/>
      <c r="E60" s="122" t="e">
        <f t="shared" si="5"/>
        <v>#DIV/0!</v>
      </c>
      <c r="F60" s="123"/>
      <c r="G60" s="122" t="e">
        <f t="shared" si="6"/>
        <v>#DIV/0!</v>
      </c>
      <c r="H60" s="123"/>
      <c r="I60" s="169"/>
    </row>
    <row r="61" spans="1:9" ht="18">
      <c r="A61" s="175" t="s">
        <v>356</v>
      </c>
      <c r="B61" s="176">
        <f>B62+B63</f>
        <v>0</v>
      </c>
      <c r="C61" s="122" t="e">
        <f t="shared" si="4"/>
        <v>#DIV/0!</v>
      </c>
      <c r="D61" s="176">
        <f>D62+D63</f>
        <v>0</v>
      </c>
      <c r="E61" s="122" t="e">
        <f t="shared" si="5"/>
        <v>#DIV/0!</v>
      </c>
      <c r="F61" s="176">
        <f>F62+F63</f>
        <v>0</v>
      </c>
      <c r="G61" s="122" t="e">
        <f t="shared" si="6"/>
        <v>#DIV/0!</v>
      </c>
      <c r="H61" s="176">
        <f>H62+H63</f>
        <v>0</v>
      </c>
      <c r="I61" s="116"/>
    </row>
    <row r="62" spans="1:9" ht="26.25">
      <c r="A62" s="158" t="s">
        <v>357</v>
      </c>
      <c r="B62" s="121"/>
      <c r="C62" s="122" t="e">
        <f t="shared" si="4"/>
        <v>#DIV/0!</v>
      </c>
      <c r="D62" s="121"/>
      <c r="E62" s="122" t="e">
        <f t="shared" si="5"/>
        <v>#DIV/0!</v>
      </c>
      <c r="F62" s="121"/>
      <c r="G62" s="122" t="e">
        <f t="shared" si="6"/>
        <v>#DIV/0!</v>
      </c>
      <c r="H62" s="121"/>
      <c r="I62" s="116"/>
    </row>
    <row r="63" spans="1:9" ht="18">
      <c r="A63" s="158" t="s">
        <v>358</v>
      </c>
      <c r="B63" s="121"/>
      <c r="C63" s="122" t="e">
        <f t="shared" si="4"/>
        <v>#DIV/0!</v>
      </c>
      <c r="D63" s="121"/>
      <c r="E63" s="122" t="e">
        <f t="shared" si="5"/>
        <v>#DIV/0!</v>
      </c>
      <c r="F63" s="123"/>
      <c r="G63" s="122" t="e">
        <f t="shared" si="6"/>
        <v>#DIV/0!</v>
      </c>
      <c r="H63" s="123"/>
      <c r="I63" s="116"/>
    </row>
    <row r="64" spans="1:9" ht="26.25">
      <c r="A64" s="158" t="s">
        <v>359</v>
      </c>
      <c r="B64" s="121"/>
      <c r="C64" s="122" t="e">
        <f t="shared" si="4"/>
        <v>#DIV/0!</v>
      </c>
      <c r="D64" s="121"/>
      <c r="E64" s="122" t="e">
        <f t="shared" si="5"/>
        <v>#DIV/0!</v>
      </c>
      <c r="F64" s="121"/>
      <c r="G64" s="122" t="e">
        <f t="shared" si="6"/>
        <v>#DIV/0!</v>
      </c>
      <c r="H64" s="121"/>
      <c r="I64" s="116"/>
    </row>
    <row r="65" spans="1:10" ht="18">
      <c r="A65" s="202" t="s">
        <v>343</v>
      </c>
      <c r="B65" s="205">
        <f>B49+B50+B54+B64</f>
        <v>0</v>
      </c>
      <c r="C65" s="204" t="e">
        <f t="shared" si="4"/>
        <v>#DIV/0!</v>
      </c>
      <c r="D65" s="205">
        <f>D49+D50+D54+D64</f>
        <v>0</v>
      </c>
      <c r="E65" s="204" t="e">
        <f t="shared" si="5"/>
        <v>#DIV/0!</v>
      </c>
      <c r="F65" s="205">
        <f>F49+F50+F54+F64</f>
        <v>0</v>
      </c>
      <c r="G65" s="204" t="e">
        <f t="shared" si="6"/>
        <v>#DIV/0!</v>
      </c>
      <c r="H65" s="205">
        <f>H49+H50+H54+H64</f>
        <v>0</v>
      </c>
      <c r="I65" s="157"/>
    </row>
    <row r="66" spans="1:10" ht="18">
      <c r="A66" s="177"/>
      <c r="B66" s="177"/>
      <c r="C66" s="177"/>
      <c r="D66" s="177"/>
      <c r="E66" s="177"/>
      <c r="F66" s="177"/>
      <c r="G66" s="177"/>
      <c r="H66" s="177"/>
      <c r="I66" s="116"/>
      <c r="J66" s="133"/>
    </row>
    <row r="67" spans="1:10" ht="18">
      <c r="A67" s="737" t="s">
        <v>360</v>
      </c>
      <c r="B67" s="737"/>
      <c r="C67" s="737"/>
      <c r="D67" s="737"/>
      <c r="E67" s="737"/>
      <c r="F67" s="737"/>
      <c r="G67" s="737"/>
      <c r="H67" s="737"/>
      <c r="I67" s="116"/>
    </row>
    <row r="68" spans="1:10" ht="18">
      <c r="A68" s="737"/>
      <c r="B68" s="737"/>
      <c r="C68" s="737"/>
      <c r="D68" s="737"/>
      <c r="E68" s="737"/>
      <c r="F68" s="737"/>
      <c r="G68" s="737"/>
      <c r="H68" s="737"/>
      <c r="I68" s="116"/>
    </row>
    <row r="69" spans="1:10" ht="18.75" thickBot="1">
      <c r="A69" s="178" t="s">
        <v>361</v>
      </c>
      <c r="B69" s="179" t="e">
        <f>B57/B5*365</f>
        <v>#DIV/0!</v>
      </c>
      <c r="C69" s="178"/>
      <c r="D69" s="179" t="e">
        <f>D57/D5*365</f>
        <v>#DIV/0!</v>
      </c>
      <c r="E69" s="178"/>
      <c r="F69" s="179" t="e">
        <f>F57/F5*365</f>
        <v>#DIV/0!</v>
      </c>
      <c r="G69" s="178"/>
      <c r="H69" s="179" t="e">
        <f>H57/H5*365</f>
        <v>#DIV/0!</v>
      </c>
      <c r="I69" s="180"/>
    </row>
    <row r="70" spans="1:10" ht="18">
      <c r="A70" s="178" t="s">
        <v>362</v>
      </c>
      <c r="B70" s="179" t="e">
        <f>B56/(B10+B11+B12)*365</f>
        <v>#DIV/0!</v>
      </c>
      <c r="C70" s="178"/>
      <c r="D70" s="179" t="e">
        <f>D56/(D10+D11+D12)*365</f>
        <v>#DIV/0!</v>
      </c>
      <c r="E70" s="178"/>
      <c r="F70" s="179" t="e">
        <f>F56/(F10+F11+F12)*365</f>
        <v>#DIV/0!</v>
      </c>
      <c r="G70" s="178"/>
      <c r="H70" s="179" t="e">
        <f>H56/(H10+H11+H12)*365</f>
        <v>#DIV/0!</v>
      </c>
      <c r="I70" s="116"/>
    </row>
    <row r="71" spans="1:10" ht="18">
      <c r="A71" s="178" t="s">
        <v>363</v>
      </c>
      <c r="B71" s="179" t="e">
        <f>B56/(B11+B10+B12)</f>
        <v>#DIV/0!</v>
      </c>
      <c r="C71" s="178"/>
      <c r="D71" s="179" t="e">
        <f>D56/(D11+D10+D12)</f>
        <v>#DIV/0!</v>
      </c>
      <c r="E71" s="178"/>
      <c r="F71" s="179" t="e">
        <f>F56/(F11+F10+F12)</f>
        <v>#DIV/0!</v>
      </c>
      <c r="G71" s="178"/>
      <c r="H71" s="179" t="e">
        <f>H56/(H11+H10+H12)</f>
        <v>#DIV/0!</v>
      </c>
      <c r="I71" s="116"/>
    </row>
    <row r="72" spans="1:10" ht="18.75" thickBot="1">
      <c r="A72" s="178" t="s">
        <v>364</v>
      </c>
      <c r="B72" s="179" t="e">
        <f>B54/(B44+B40)</f>
        <v>#DIV/0!</v>
      </c>
      <c r="C72" s="178"/>
      <c r="D72" s="179" t="e">
        <f>D54/(D44+D40)</f>
        <v>#DIV/0!</v>
      </c>
      <c r="E72" s="178"/>
      <c r="F72" s="179" t="e">
        <f>F54/(F44+F40)</f>
        <v>#DIV/0!</v>
      </c>
      <c r="G72" s="178"/>
      <c r="H72" s="179" t="e">
        <f>H54/(H44+H40)</f>
        <v>#DIV/0!</v>
      </c>
      <c r="I72" s="116"/>
    </row>
    <row r="73" spans="1:10" ht="18.75" thickBot="1">
      <c r="A73" s="178" t="s">
        <v>365</v>
      </c>
      <c r="B73" s="179" t="e">
        <f>(B54-B56)/(B44+B40)</f>
        <v>#DIV/0!</v>
      </c>
      <c r="C73" s="178"/>
      <c r="D73" s="179" t="e">
        <f>(D54-D56)/(D44+D40)</f>
        <v>#DIV/0!</v>
      </c>
      <c r="E73" s="178"/>
      <c r="F73" s="179" t="e">
        <f>(F54-F56)/(F44+F40)</f>
        <v>#DIV/0!</v>
      </c>
      <c r="G73" s="178"/>
      <c r="H73" s="179" t="e">
        <f>(H54-H56)/(H44+H40)</f>
        <v>#DIV/0!</v>
      </c>
      <c r="I73" s="181"/>
    </row>
    <row r="74" spans="1:10" ht="18.75" thickBot="1">
      <c r="A74" s="178" t="s">
        <v>366</v>
      </c>
      <c r="B74" s="179" t="e">
        <f>(B39+B40+B42)/B36</f>
        <v>#DIV/0!</v>
      </c>
      <c r="C74" s="178"/>
      <c r="D74" s="179" t="e">
        <f>(D39+D40+D42)/D36</f>
        <v>#DIV/0!</v>
      </c>
      <c r="E74" s="178"/>
      <c r="F74" s="179" t="e">
        <f>(F39+F40+F42)/F36</f>
        <v>#DIV/0!</v>
      </c>
      <c r="G74" s="178"/>
      <c r="H74" s="179" t="e">
        <f>(H39+H40+H42)/H36</f>
        <v>#DIV/0!</v>
      </c>
      <c r="I74" s="181"/>
    </row>
    <row r="75" spans="1:10" ht="18">
      <c r="A75" s="178" t="s">
        <v>367</v>
      </c>
      <c r="B75" s="179" t="e">
        <f>B16/(B18+B19+B20+B21)</f>
        <v>#DIV/0!</v>
      </c>
      <c r="C75" s="178"/>
      <c r="D75" s="179" t="e">
        <f>D16/(D18+D19+D20+D21)</f>
        <v>#DIV/0!</v>
      </c>
      <c r="E75" s="178"/>
      <c r="F75" s="179" t="e">
        <f>F16/(F18+F19+F20+F21)</f>
        <v>#DIV/0!</v>
      </c>
      <c r="G75" s="178"/>
      <c r="H75" s="179" t="e">
        <f>H16/(H18+H19+H20+H21)</f>
        <v>#DIV/0!</v>
      </c>
      <c r="I75" s="116"/>
    </row>
    <row r="76" spans="1:10" ht="18">
      <c r="A76" s="178" t="s">
        <v>368</v>
      </c>
      <c r="B76" s="179" t="e">
        <f>$B$16/($B$18+$B$19+$B$20+$B$21+($B$39+$B$42)/5)</f>
        <v>#DIV/0!</v>
      </c>
      <c r="C76" s="178"/>
      <c r="D76" s="179" t="e">
        <f>$D$16/($D$18+$D$19+$D$20+$D$21+($D$39+$D$42)/5)</f>
        <v>#DIV/0!</v>
      </c>
      <c r="E76" s="178"/>
      <c r="F76" s="179" t="e">
        <f>$F$16/($F$18+$F$19+$F$20+$F$21+($F$39+$F$42)/5)</f>
        <v>#DIV/0!</v>
      </c>
      <c r="G76" s="178"/>
      <c r="H76" s="179" t="e">
        <f>$H$16/($H$18+$H$19+$H$20+$H$21+($H$39+$H$42)/5)</f>
        <v>#DIV/0!</v>
      </c>
      <c r="I76" s="116"/>
    </row>
    <row r="77" spans="1:10" ht="18">
      <c r="A77" s="178" t="s">
        <v>369</v>
      </c>
      <c r="B77" s="179">
        <f>$B$16/($B$18+$B$19+$B$20+$B$21+($B$39+$B$42)/5+('Normal &amp; CGTMSE Eligibility'!F43))</f>
        <v>0</v>
      </c>
      <c r="C77" s="178"/>
      <c r="D77" s="179">
        <f>$D$16/($D$18+$D$19+$D$20+$D$21+($D$39+$D$42)/5+('Normal &amp; CGTMSE Eligibility'!F43))</f>
        <v>0</v>
      </c>
      <c r="E77" s="178"/>
      <c r="F77" s="179">
        <f>$F$16/($F$18+$F$19+$F$20+$F$21+($F$39+$F$42)/5+('Normal &amp; CGTMSE Eligibility'!F43))</f>
        <v>0</v>
      </c>
      <c r="G77" s="178"/>
      <c r="H77" s="179">
        <f>$H$16/($H$18+$H$19+$H$20+$H$21+($H$39+$H$42)/5+('Normal &amp; CGTMSE Eligibility'!F43))</f>
        <v>0</v>
      </c>
      <c r="I77" s="116"/>
    </row>
    <row r="78" spans="1:10" ht="18">
      <c r="A78" s="178" t="s">
        <v>370</v>
      </c>
      <c r="B78" s="179" t="e">
        <f>(B13-B7)/B5*100</f>
        <v>#DIV/0!</v>
      </c>
      <c r="C78" s="178"/>
      <c r="D78" s="179" t="e">
        <f>(D13-D7)/D5*100</f>
        <v>#DIV/0!</v>
      </c>
      <c r="E78" s="178"/>
      <c r="F78" s="179" t="e">
        <f>(F13-F7)/F5*100</f>
        <v>#DIV/0!</v>
      </c>
      <c r="G78" s="178"/>
      <c r="H78" s="179" t="e">
        <f>(H13-H7)/H5*100</f>
        <v>#DIV/0!</v>
      </c>
      <c r="I78" s="116"/>
    </row>
    <row r="79" spans="1:10" ht="18">
      <c r="A79" s="178" t="s">
        <v>371</v>
      </c>
      <c r="B79" s="179" t="e">
        <f>(B25-B7)/B5*100</f>
        <v>#DIV/0!</v>
      </c>
      <c r="C79" s="178"/>
      <c r="D79" s="179" t="e">
        <f>(D25-D7)/D5*100</f>
        <v>#DIV/0!</v>
      </c>
      <c r="E79" s="178"/>
      <c r="F79" s="179" t="e">
        <f>(F25-F7)/F5*100</f>
        <v>#DIV/0!</v>
      </c>
      <c r="G79" s="178"/>
      <c r="H79" s="179" t="e">
        <f>(H25-H7)/H5*100</f>
        <v>#DIV/0!</v>
      </c>
      <c r="I79" s="116"/>
    </row>
    <row r="80" spans="1:10" ht="18">
      <c r="A80" s="178" t="s">
        <v>372</v>
      </c>
      <c r="B80" s="179" t="e">
        <f>(B26-B7)/B5*100</f>
        <v>#DIV/0!</v>
      </c>
      <c r="C80" s="178"/>
      <c r="D80" s="179" t="e">
        <f>(D26-D7)/D5*100</f>
        <v>#DIV/0!</v>
      </c>
      <c r="E80" s="178"/>
      <c r="F80" s="179" t="e">
        <f>(F26-F7)/F5*100</f>
        <v>#DIV/0!</v>
      </c>
      <c r="G80" s="178"/>
      <c r="H80" s="179" t="e">
        <f>(H26-H7)/H5*100</f>
        <v>#DIV/0!</v>
      </c>
      <c r="I80" s="116"/>
    </row>
    <row r="81" spans="1:10" ht="18">
      <c r="A81" s="178" t="s">
        <v>373</v>
      </c>
      <c r="B81" s="182" t="e">
        <f>(B5-D5)/D5*100</f>
        <v>#DIV/0!</v>
      </c>
      <c r="C81" s="183"/>
      <c r="D81" s="182" t="e">
        <f>(D5-F5)/F5*100</f>
        <v>#DIV/0!</v>
      </c>
      <c r="E81" s="183"/>
      <c r="F81" s="182" t="e">
        <f>#N/A</f>
        <v>#N/A</v>
      </c>
      <c r="G81" s="183"/>
      <c r="H81" s="182" t="e">
        <f>#N/A</f>
        <v>#N/A</v>
      </c>
      <c r="I81" s="116"/>
      <c r="J81" s="133"/>
    </row>
    <row r="82" spans="1:10" ht="18">
      <c r="A82" s="178" t="s">
        <v>374</v>
      </c>
      <c r="B82" s="182" t="e">
        <f>(B25-D25)/D25*100</f>
        <v>#DIV/0!</v>
      </c>
      <c r="C82" s="183"/>
      <c r="D82" s="182" t="e">
        <f>(D25-F25)/F25*100</f>
        <v>#DIV/0!</v>
      </c>
      <c r="E82" s="183"/>
      <c r="F82" s="182" t="e">
        <f>#N/A</f>
        <v>#N/A</v>
      </c>
      <c r="G82" s="183"/>
      <c r="H82" s="182" t="e">
        <f>#N/A</f>
        <v>#N/A</v>
      </c>
      <c r="I82" s="116"/>
    </row>
    <row r="83" spans="1:10" ht="18">
      <c r="A83" s="178"/>
      <c r="B83" s="179"/>
      <c r="C83" s="178"/>
      <c r="D83" s="179"/>
      <c r="E83" s="178"/>
      <c r="F83" s="179"/>
      <c r="G83" s="178"/>
      <c r="H83" s="179"/>
      <c r="I83" s="116"/>
    </row>
    <row r="84" spans="1:10" ht="18">
      <c r="A84" s="184" t="s">
        <v>375</v>
      </c>
      <c r="B84" s="179"/>
      <c r="C84" s="178"/>
      <c r="D84" s="179"/>
      <c r="E84" s="178"/>
      <c r="F84" s="179"/>
      <c r="G84" s="178"/>
      <c r="H84" s="179"/>
      <c r="I84" s="116"/>
    </row>
    <row r="85" spans="1:10" ht="18">
      <c r="A85" s="184"/>
      <c r="B85" s="179"/>
      <c r="C85" s="178"/>
      <c r="D85" s="179"/>
      <c r="E85" s="178"/>
      <c r="F85" s="179"/>
      <c r="G85" s="178"/>
      <c r="H85" s="179"/>
      <c r="I85" s="116"/>
    </row>
    <row r="86" spans="1:10" ht="18">
      <c r="A86" s="178" t="s">
        <v>376</v>
      </c>
      <c r="B86" s="179">
        <f>B25</f>
        <v>0</v>
      </c>
      <c r="C86" s="178"/>
      <c r="D86" s="179">
        <f>D25</f>
        <v>0</v>
      </c>
      <c r="E86" s="178"/>
      <c r="F86" s="179">
        <f>F25</f>
        <v>0</v>
      </c>
      <c r="G86" s="178"/>
      <c r="H86" s="179">
        <f>H25</f>
        <v>0</v>
      </c>
      <c r="I86" s="116"/>
    </row>
    <row r="87" spans="1:10" ht="18">
      <c r="A87" s="178" t="s">
        <v>377</v>
      </c>
      <c r="B87" s="179"/>
      <c r="C87" s="178"/>
      <c r="D87" s="179"/>
      <c r="E87" s="178"/>
      <c r="F87" s="179"/>
      <c r="G87" s="178"/>
      <c r="H87" s="179"/>
      <c r="I87" s="116"/>
    </row>
    <row r="88" spans="1:10" ht="18">
      <c r="A88" s="178" t="s">
        <v>378</v>
      </c>
      <c r="B88" s="179">
        <f>B17</f>
        <v>0</v>
      </c>
      <c r="C88" s="178"/>
      <c r="D88" s="179">
        <f>D17</f>
        <v>0</v>
      </c>
      <c r="E88" s="178"/>
      <c r="F88" s="179">
        <f>F17</f>
        <v>0</v>
      </c>
      <c r="G88" s="178"/>
      <c r="H88" s="179">
        <f>H17</f>
        <v>0</v>
      </c>
      <c r="I88" s="116"/>
    </row>
    <row r="89" spans="1:10" ht="18">
      <c r="A89" s="178" t="s">
        <v>379</v>
      </c>
      <c r="B89" s="179">
        <f>B22</f>
        <v>0</v>
      </c>
      <c r="C89" s="178"/>
      <c r="D89" s="179">
        <f>D22</f>
        <v>0</v>
      </c>
      <c r="E89" s="178"/>
      <c r="F89" s="179">
        <f>F22</f>
        <v>0</v>
      </c>
      <c r="G89" s="178"/>
      <c r="H89" s="179">
        <f>H22</f>
        <v>0</v>
      </c>
      <c r="I89" s="116"/>
    </row>
    <row r="90" spans="1:10" ht="18">
      <c r="A90" s="178" t="s">
        <v>380</v>
      </c>
      <c r="B90" s="179">
        <f>B27</f>
        <v>0</v>
      </c>
      <c r="C90" s="178"/>
      <c r="D90" s="179">
        <f>D27</f>
        <v>0</v>
      </c>
      <c r="E90" s="178"/>
      <c r="F90" s="179">
        <f>F27</f>
        <v>0</v>
      </c>
      <c r="G90" s="178"/>
      <c r="H90" s="179">
        <f>H27</f>
        <v>0</v>
      </c>
      <c r="I90" s="116"/>
    </row>
    <row r="91" spans="1:10" ht="18">
      <c r="A91" s="178" t="s">
        <v>381</v>
      </c>
      <c r="B91" s="179">
        <f>B28</f>
        <v>0</v>
      </c>
      <c r="C91" s="178"/>
      <c r="D91" s="179">
        <f>D28</f>
        <v>0</v>
      </c>
      <c r="E91" s="178"/>
      <c r="F91" s="179">
        <f>F28</f>
        <v>0</v>
      </c>
      <c r="G91" s="178"/>
      <c r="H91" s="179">
        <f>H28</f>
        <v>0</v>
      </c>
      <c r="I91" s="116"/>
    </row>
    <row r="92" spans="1:10" ht="18">
      <c r="A92" s="178" t="s">
        <v>382</v>
      </c>
      <c r="B92" s="179">
        <f>B24</f>
        <v>0</v>
      </c>
      <c r="C92" s="178"/>
      <c r="D92" s="179">
        <f>D24</f>
        <v>0</v>
      </c>
      <c r="E92" s="178"/>
      <c r="F92" s="179">
        <f>F24</f>
        <v>0</v>
      </c>
      <c r="G92" s="178"/>
      <c r="H92" s="179">
        <f>H24</f>
        <v>0</v>
      </c>
      <c r="I92" s="116"/>
    </row>
    <row r="93" spans="1:10" ht="18">
      <c r="A93" s="178" t="s">
        <v>383</v>
      </c>
      <c r="B93" s="179">
        <f>B18+B19+B20+B21</f>
        <v>0</v>
      </c>
      <c r="C93" s="178"/>
      <c r="D93" s="179">
        <f>D18+D19+D20+D21</f>
        <v>0</v>
      </c>
      <c r="E93" s="178"/>
      <c r="F93" s="179">
        <f>F18+F19+F20+F21</f>
        <v>0</v>
      </c>
      <c r="G93" s="178"/>
      <c r="H93" s="179">
        <f>H18+H19+H20+H21</f>
        <v>0</v>
      </c>
      <c r="I93" s="116"/>
    </row>
    <row r="94" spans="1:10" ht="26.25">
      <c r="A94" s="185" t="s">
        <v>384</v>
      </c>
      <c r="B94" s="186">
        <f>-B7</f>
        <v>0</v>
      </c>
      <c r="C94" s="184"/>
      <c r="D94" s="186">
        <f>-D7</f>
        <v>0</v>
      </c>
      <c r="E94" s="184"/>
      <c r="F94" s="186">
        <f>-F7</f>
        <v>0</v>
      </c>
      <c r="G94" s="184"/>
      <c r="H94" s="186">
        <f>-H7</f>
        <v>0</v>
      </c>
      <c r="I94" s="157"/>
    </row>
    <row r="95" spans="1:10" ht="18">
      <c r="A95" s="185"/>
      <c r="B95" s="186"/>
      <c r="C95" s="184"/>
      <c r="D95" s="186"/>
      <c r="E95" s="184"/>
      <c r="F95" s="186"/>
      <c r="G95" s="184"/>
      <c r="H95" s="186"/>
      <c r="I95" s="157"/>
    </row>
    <row r="96" spans="1:10" ht="18">
      <c r="A96" s="178" t="s">
        <v>385</v>
      </c>
      <c r="B96" s="179">
        <f>SUM(B86:B94)</f>
        <v>0</v>
      </c>
      <c r="C96" s="178"/>
      <c r="D96" s="179">
        <f>SUM(D86:D94)</f>
        <v>0</v>
      </c>
      <c r="E96" s="178"/>
      <c r="F96" s="179">
        <f>SUM(F86:F94)</f>
        <v>0</v>
      </c>
      <c r="G96" s="178"/>
      <c r="H96" s="179">
        <f>SUM(H86:H94)</f>
        <v>0</v>
      </c>
      <c r="I96" s="116"/>
    </row>
    <row r="97" spans="1:9" ht="18">
      <c r="A97" s="178" t="s">
        <v>386</v>
      </c>
      <c r="B97" s="179">
        <f>D57-B57</f>
        <v>0</v>
      </c>
      <c r="C97" s="178"/>
      <c r="D97" s="179">
        <f>F57-D57</f>
        <v>0</v>
      </c>
      <c r="E97" s="178"/>
      <c r="F97" s="179">
        <f>J57-F57</f>
        <v>0</v>
      </c>
      <c r="G97" s="178"/>
      <c r="H97" s="179">
        <f>L57-H57</f>
        <v>0</v>
      </c>
      <c r="I97" s="116"/>
    </row>
    <row r="98" spans="1:9" ht="18">
      <c r="A98" s="178" t="s">
        <v>387</v>
      </c>
      <c r="B98" s="179">
        <f>D56-B56</f>
        <v>0</v>
      </c>
      <c r="C98" s="178"/>
      <c r="D98" s="179">
        <f>F56-D56</f>
        <v>0</v>
      </c>
      <c r="E98" s="178"/>
      <c r="F98" s="179">
        <f>J56-F56</f>
        <v>0</v>
      </c>
      <c r="G98" s="178"/>
      <c r="H98" s="179">
        <f>L56-H56</f>
        <v>0</v>
      </c>
      <c r="I98" s="116"/>
    </row>
    <row r="99" spans="1:9" ht="18">
      <c r="A99" s="178" t="s">
        <v>388</v>
      </c>
      <c r="B99" s="179">
        <f>D61-B61</f>
        <v>0</v>
      </c>
      <c r="C99" s="178"/>
      <c r="D99" s="179">
        <f>F61-D61</f>
        <v>0</v>
      </c>
      <c r="E99" s="178"/>
      <c r="F99" s="179">
        <f>J61-F61</f>
        <v>0</v>
      </c>
      <c r="G99" s="178"/>
      <c r="H99" s="179">
        <f>L61-H61</f>
        <v>0</v>
      </c>
      <c r="I99" s="116"/>
    </row>
    <row r="100" spans="1:9" ht="18">
      <c r="A100" s="178" t="s">
        <v>389</v>
      </c>
      <c r="B100" s="179">
        <f>B44-D44</f>
        <v>0</v>
      </c>
      <c r="C100" s="178"/>
      <c r="D100" s="179">
        <f>D44-F44</f>
        <v>0</v>
      </c>
      <c r="E100" s="178"/>
      <c r="F100" s="179">
        <f>F44-J44</f>
        <v>0</v>
      </c>
      <c r="G100" s="178"/>
      <c r="H100" s="179">
        <f>H44-L44</f>
        <v>0</v>
      </c>
      <c r="I100" s="116"/>
    </row>
    <row r="101" spans="1:9" ht="18">
      <c r="A101" s="178" t="s">
        <v>390</v>
      </c>
      <c r="B101" s="179">
        <f>SUM(B97:B100)</f>
        <v>0</v>
      </c>
      <c r="C101" s="178"/>
      <c r="D101" s="179">
        <f>SUM(D97:D100)</f>
        <v>0</v>
      </c>
      <c r="E101" s="178"/>
      <c r="F101" s="179">
        <f>SUM(F97:F100)</f>
        <v>0</v>
      </c>
      <c r="G101" s="178"/>
      <c r="H101" s="179">
        <f>SUM(H97:H100)</f>
        <v>0</v>
      </c>
      <c r="I101" s="116"/>
    </row>
    <row r="102" spans="1:9" ht="18">
      <c r="A102" s="184" t="s">
        <v>391</v>
      </c>
      <c r="B102" s="186">
        <f>B96+B101</f>
        <v>0</v>
      </c>
      <c r="C102" s="184"/>
      <c r="D102" s="186">
        <f>D96+D101</f>
        <v>0</v>
      </c>
      <c r="E102" s="184"/>
      <c r="F102" s="186">
        <f>F96+F101</f>
        <v>0</v>
      </c>
      <c r="G102" s="184"/>
      <c r="H102" s="186">
        <f>H96+H101</f>
        <v>0</v>
      </c>
      <c r="I102" s="157"/>
    </row>
    <row r="103" spans="1:9" ht="18">
      <c r="A103" s="184"/>
      <c r="B103" s="186"/>
      <c r="C103" s="184"/>
      <c r="D103" s="186"/>
      <c r="E103" s="184"/>
      <c r="F103" s="186"/>
      <c r="G103" s="184"/>
      <c r="H103" s="186"/>
      <c r="I103" s="157"/>
    </row>
    <row r="104" spans="1:9" ht="18">
      <c r="A104" s="178" t="s">
        <v>392</v>
      </c>
      <c r="B104" s="179">
        <f>B24</f>
        <v>0</v>
      </c>
      <c r="C104" s="178"/>
      <c r="D104" s="179">
        <f>D24</f>
        <v>0</v>
      </c>
      <c r="E104" s="178"/>
      <c r="F104" s="179">
        <f>F24</f>
        <v>0</v>
      </c>
      <c r="G104" s="178"/>
      <c r="H104" s="179">
        <f>H24</f>
        <v>0</v>
      </c>
      <c r="I104" s="116"/>
    </row>
    <row r="105" spans="1:9" ht="18">
      <c r="A105" s="178"/>
      <c r="B105" s="179"/>
      <c r="C105" s="178"/>
      <c r="D105" s="179"/>
      <c r="E105" s="178"/>
      <c r="F105" s="179"/>
      <c r="G105" s="178"/>
      <c r="H105" s="179"/>
      <c r="I105" s="116"/>
    </row>
    <row r="106" spans="1:9" ht="18">
      <c r="A106" s="184" t="s">
        <v>393</v>
      </c>
      <c r="B106" s="179">
        <f>B102-B104</f>
        <v>0</v>
      </c>
      <c r="C106" s="178"/>
      <c r="D106" s="179">
        <f>D102-D104</f>
        <v>0</v>
      </c>
      <c r="E106" s="178"/>
      <c r="F106" s="179">
        <f>F102-F104</f>
        <v>0</v>
      </c>
      <c r="G106" s="178"/>
      <c r="H106" s="179">
        <f>H102-H104</f>
        <v>0</v>
      </c>
      <c r="I106" s="116"/>
    </row>
    <row r="107" spans="1:9" ht="18"/>
  </sheetData>
  <mergeCells count="9">
    <mergeCell ref="A67:H68"/>
    <mergeCell ref="A1:H2"/>
    <mergeCell ref="I1:I2"/>
    <mergeCell ref="A3:A4"/>
    <mergeCell ref="A32:A33"/>
    <mergeCell ref="B32:B33"/>
    <mergeCell ref="D32:D33"/>
    <mergeCell ref="F32:F33"/>
    <mergeCell ref="H32:H33"/>
  </mergeCells>
  <conditionalFormatting sqref="B65 B48">
    <cfRule type="expression" dxfId="189" priority="4">
      <formula>$B$48&lt;&gt;$B$65</formula>
    </cfRule>
  </conditionalFormatting>
  <conditionalFormatting sqref="D65 D48">
    <cfRule type="expression" dxfId="188" priority="3">
      <formula>$D$48&lt;&gt;$D$65</formula>
    </cfRule>
  </conditionalFormatting>
  <conditionalFormatting sqref="F48 F65">
    <cfRule type="expression" dxfId="187" priority="2">
      <formula>$F$65&lt;&gt;$F$48</formula>
    </cfRule>
  </conditionalFormatting>
  <conditionalFormatting sqref="H48 H65">
    <cfRule type="expression" dxfId="186" priority="1">
      <formula>$H$48&lt;&gt;$H$65</formula>
    </cfRule>
  </conditionalFormatting>
  <pageMargins left="0.78749999999999998" right="0.78749999999999998" top="1.0249999999999999" bottom="1.0249999999999999" header="0.78749999999999998" footer="0.78749999999999998"/>
  <pageSetup scale="58" firstPageNumber="0" orientation="portrait" horizontalDpi="300" verticalDpi="300" r:id="rId1"/>
  <headerFooter alignWithMargins="0">
    <oddHeader>&amp;C&amp;"Arial,Regular"&amp;10&amp;A</oddHeader>
    <oddFooter>&amp;C&amp;"Arial,Regular"&amp;10Page &amp;P</oddFooter>
  </headerFooter>
  <rowBreaks count="2" manualBreakCount="2">
    <brk id="30" max="16383" man="1"/>
    <brk id="66"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dimension ref="A1:L115"/>
  <sheetViews>
    <sheetView view="pageBreakPreview" topLeftCell="A31" zoomScale="85" zoomScaleSheetLayoutView="85" workbookViewId="0">
      <selection activeCell="B54" sqref="B54"/>
    </sheetView>
  </sheetViews>
  <sheetFormatPr defaultColWidth="13.5703125" defaultRowHeight="32.1" customHeight="1"/>
  <cols>
    <col min="1" max="1" width="37.28515625" style="116" customWidth="1"/>
    <col min="2" max="2" width="12.28515625" style="116" bestFit="1" customWidth="1"/>
    <col min="3" max="3" width="12.7109375" style="116" customWidth="1"/>
    <col min="4" max="4" width="10.140625" style="133" customWidth="1"/>
    <col min="5" max="5" width="12.28515625" style="116" customWidth="1"/>
    <col min="6" max="6" width="15.7109375" style="133" customWidth="1"/>
    <col min="7" max="7" width="12.28515625" style="116" customWidth="1"/>
    <col min="8" max="8" width="15.7109375" style="133" customWidth="1"/>
    <col min="9" max="9" width="17.42578125" style="133" bestFit="1" customWidth="1"/>
    <col min="10" max="10" width="22" style="116" customWidth="1"/>
    <col min="11" max="11" width="12" style="116" customWidth="1"/>
    <col min="12" max="16384" width="13.5703125" style="116"/>
  </cols>
  <sheetData>
    <row r="1" spans="1:10" ht="18">
      <c r="A1" s="738"/>
      <c r="B1" s="738"/>
      <c r="C1" s="738"/>
      <c r="D1" s="738"/>
      <c r="E1" s="738"/>
      <c r="F1" s="738"/>
      <c r="G1" s="738"/>
      <c r="H1" s="738"/>
      <c r="I1" s="739"/>
    </row>
    <row r="2" spans="1:10" ht="7.5" customHeight="1">
      <c r="A2" s="738"/>
      <c r="B2" s="738"/>
      <c r="C2" s="738"/>
      <c r="D2" s="738"/>
      <c r="E2" s="738"/>
      <c r="F2" s="738"/>
      <c r="G2" s="738"/>
      <c r="H2" s="738"/>
      <c r="I2" s="739"/>
    </row>
    <row r="3" spans="1:10" ht="18">
      <c r="A3" s="740" t="s">
        <v>301</v>
      </c>
      <c r="B3" s="117" t="s">
        <v>558</v>
      </c>
      <c r="C3" s="118" t="s">
        <v>303</v>
      </c>
      <c r="D3" s="117" t="s">
        <v>559</v>
      </c>
      <c r="E3" s="118" t="s">
        <v>303</v>
      </c>
      <c r="F3" s="117" t="s">
        <v>560</v>
      </c>
      <c r="G3" s="118" t="s">
        <v>303</v>
      </c>
      <c r="H3" s="117" t="s">
        <v>561</v>
      </c>
      <c r="I3" s="119"/>
    </row>
    <row r="4" spans="1:10" ht="18">
      <c r="A4" s="740"/>
      <c r="B4" s="118" t="s">
        <v>307</v>
      </c>
      <c r="C4" s="117" t="s">
        <v>562</v>
      </c>
      <c r="D4" s="118" t="s">
        <v>307</v>
      </c>
      <c r="E4" s="117" t="s">
        <v>563</v>
      </c>
      <c r="F4" s="118" t="s">
        <v>307</v>
      </c>
      <c r="G4" s="117" t="s">
        <v>564</v>
      </c>
      <c r="H4" s="118" t="s">
        <v>307</v>
      </c>
      <c r="I4" s="119"/>
    </row>
    <row r="5" spans="1:10" ht="18">
      <c r="A5" s="120" t="s">
        <v>185</v>
      </c>
      <c r="B5" s="122">
        <f>'Financials_Applicant 1'!B5+'Financials_Applicant 2'!B5+'Financials_Applicant 3'!B5+'Financials_Applicant 4'!B5</f>
        <v>599999</v>
      </c>
      <c r="C5" s="122">
        <f>(B5-D5)/D5*100</f>
        <v>85614.142857142855</v>
      </c>
      <c r="D5" s="122">
        <f>'Financials_Applicant 1'!D5+'Financials_Applicant 2'!D5+'Financials_Applicant 3'!D5+'Financials_Applicant 4'!D5</f>
        <v>700</v>
      </c>
      <c r="E5" s="122" t="e">
        <f>(D5-F5)/F5*100</f>
        <v>#DIV/0!</v>
      </c>
      <c r="F5" s="122">
        <f>'Financials_Applicant 1'!F5+'Financials_Applicant 2'!F5+'Financials_Applicant 3'!F5+'Financials_Applicant 4'!F5</f>
        <v>0</v>
      </c>
      <c r="G5" s="122" t="e">
        <f>(F5-H5)/H5*100</f>
        <v>#DIV/0!</v>
      </c>
      <c r="H5" s="122">
        <f>'Financials_Applicant 1'!H5+'Financials_Applicant 2'!H5+'Financials_Applicant 3'!H5+'Financials_Applicant 4'!H5</f>
        <v>0</v>
      </c>
      <c r="I5" s="124"/>
    </row>
    <row r="6" spans="1:10" ht="25.35" customHeight="1">
      <c r="A6" s="125" t="s">
        <v>311</v>
      </c>
      <c r="B6" s="122">
        <f>'Financials_Applicant 1'!B6+'Financials_Applicant 2'!B6+'Financials_Applicant 3'!B6+'Financials_Applicant 4'!B6</f>
        <v>12</v>
      </c>
      <c r="C6" s="122">
        <f>(B6-D6)/D6*100</f>
        <v>0</v>
      </c>
      <c r="D6" s="122">
        <f>'Financials_Applicant 1'!D6+'Financials_Applicant 2'!D6+'Financials_Applicant 3'!D6+'Financials_Applicant 4'!D6</f>
        <v>12</v>
      </c>
      <c r="E6" s="122" t="e">
        <f>(D6-F6)/F6*100</f>
        <v>#DIV/0!</v>
      </c>
      <c r="F6" s="122">
        <f>'Financials_Applicant 1'!F6+'Financials_Applicant 2'!F6+'Financials_Applicant 3'!F6+'Financials_Applicant 4'!F6</f>
        <v>0</v>
      </c>
      <c r="G6" s="122" t="e">
        <f>(F6-H6)/H6*100</f>
        <v>#DIV/0!</v>
      </c>
      <c r="H6" s="122">
        <f>'Financials_Applicant 1'!H6+'Financials_Applicant 2'!H6+'Financials_Applicant 3'!H6+'Financials_Applicant 4'!H6</f>
        <v>0</v>
      </c>
      <c r="I6" s="124"/>
    </row>
    <row r="7" spans="1:10" ht="18">
      <c r="A7" s="125" t="s">
        <v>312</v>
      </c>
      <c r="B7" s="122">
        <f>'Financials_Applicant 1'!B7+'Financials_Applicant 2'!B7+'Financials_Applicant 3'!B7+'Financials_Applicant 4'!B7</f>
        <v>5</v>
      </c>
      <c r="C7" s="122">
        <f>(B7-D7)/D7*100</f>
        <v>0</v>
      </c>
      <c r="D7" s="122">
        <f>'Financials_Applicant 1'!D7+'Financials_Applicant 2'!D7+'Financials_Applicant 3'!D7+'Financials_Applicant 4'!D7</f>
        <v>5</v>
      </c>
      <c r="E7" s="122" t="e">
        <f>(D7-F7)/F7*100</f>
        <v>#DIV/0!</v>
      </c>
      <c r="F7" s="122">
        <f>'Financials_Applicant 1'!F7+'Financials_Applicant 2'!F7+'Financials_Applicant 3'!F7+'Financials_Applicant 4'!F7</f>
        <v>0</v>
      </c>
      <c r="G7" s="122" t="e">
        <f>(F7-H7)/H7*100</f>
        <v>#DIV/0!</v>
      </c>
      <c r="H7" s="122">
        <f>'Financials_Applicant 1'!H7+'Financials_Applicant 2'!H7+'Financials_Applicant 3'!H7+'Financials_Applicant 4'!H7</f>
        <v>0</v>
      </c>
      <c r="I7" s="124"/>
    </row>
    <row r="8" spans="1:10" ht="18.75" thickBot="1">
      <c r="A8" s="126" t="s">
        <v>313</v>
      </c>
      <c r="B8" s="127">
        <f>B5+B6+B7</f>
        <v>600016</v>
      </c>
      <c r="C8" s="122">
        <f>(B8-D8)/D8*100</f>
        <v>83584.239888423981</v>
      </c>
      <c r="D8" s="127">
        <f>D5+D6+D7</f>
        <v>717</v>
      </c>
      <c r="E8" s="122" t="e">
        <f>(D8-F8)/F8*100</f>
        <v>#DIV/0!</v>
      </c>
      <c r="F8" s="127">
        <f>F5+F6+F7</f>
        <v>0</v>
      </c>
      <c r="G8" s="122" t="e">
        <f>(F8-H8)/H8*100</f>
        <v>#DIV/0!</v>
      </c>
      <c r="H8" s="127">
        <f>H5+H6+H7</f>
        <v>0</v>
      </c>
      <c r="I8" s="124"/>
    </row>
    <row r="9" spans="1:10" ht="39" thickBot="1">
      <c r="A9" s="126"/>
      <c r="B9" s="127"/>
      <c r="C9" s="128" t="s">
        <v>565</v>
      </c>
      <c r="D9" s="127"/>
      <c r="E9" s="128" t="s">
        <v>566</v>
      </c>
      <c r="F9" s="129"/>
      <c r="G9" s="128" t="s">
        <v>567</v>
      </c>
      <c r="H9" s="129"/>
      <c r="I9" s="130" t="s">
        <v>568</v>
      </c>
    </row>
    <row r="10" spans="1:10" ht="18.75" thickBot="1">
      <c r="A10" s="131" t="s">
        <v>314</v>
      </c>
      <c r="B10" s="122">
        <f>'Financials_Applicant 1'!B10+'Financials_Applicant 2'!B10+'Financials_Applicant 3'!B10+'Financials_Applicant 4'!B10</f>
        <v>1</v>
      </c>
      <c r="C10" s="122">
        <f t="shared" ref="C10:C29" si="0">B10/$B$5*100</f>
        <v>1.6666694444490742E-4</v>
      </c>
      <c r="D10" s="122">
        <f>'Financials_Applicant 1'!D10+'Financials_Applicant 2'!D10+'Financials_Applicant 3'!D10+'Financials_Applicant 4'!D10</f>
        <v>1</v>
      </c>
      <c r="E10" s="122">
        <f t="shared" ref="E10:E29" si="1">D10/$D$5*100</f>
        <v>0.14285714285714285</v>
      </c>
      <c r="F10" s="122">
        <f>'Financials_Applicant 1'!F10+'Financials_Applicant 2'!F10+'Financials_Applicant 3'!F10+'Financials_Applicant 4'!F10</f>
        <v>0</v>
      </c>
      <c r="G10" s="122" t="e">
        <f t="shared" ref="G10:G29" si="2">F10/$F$5*100</f>
        <v>#DIV/0!</v>
      </c>
      <c r="H10" s="122">
        <f>'Financials_Applicant 1'!H10+'Financials_Applicant 2'!H10+'Financials_Applicant 3'!H10+'Financials_Applicant 4'!H10</f>
        <v>0</v>
      </c>
      <c r="I10" s="132" t="e">
        <f t="shared" ref="I10:I29" si="3">H10/$H$5*100</f>
        <v>#DIV/0!</v>
      </c>
    </row>
    <row r="11" spans="1:10" ht="18.75" thickBot="1">
      <c r="A11" s="131" t="s">
        <v>315</v>
      </c>
      <c r="B11" s="122">
        <f>'Financials_Applicant 1'!B11+'Financials_Applicant 2'!B11+'Financials_Applicant 3'!B11+'Financials_Applicant 4'!B11</f>
        <v>0</v>
      </c>
      <c r="C11" s="122">
        <f t="shared" si="0"/>
        <v>0</v>
      </c>
      <c r="D11" s="122">
        <f>'Financials_Applicant 1'!D11+'Financials_Applicant 2'!D11+'Financials_Applicant 3'!D11+'Financials_Applicant 4'!D11</f>
        <v>50</v>
      </c>
      <c r="E11" s="122">
        <f t="shared" si="1"/>
        <v>7.1428571428571423</v>
      </c>
      <c r="F11" s="122">
        <f>'Financials_Applicant 1'!F11+'Financials_Applicant 2'!F11+'Financials_Applicant 3'!F11+'Financials_Applicant 4'!F11</f>
        <v>0</v>
      </c>
      <c r="G11" s="122" t="e">
        <f t="shared" si="2"/>
        <v>#DIV/0!</v>
      </c>
      <c r="H11" s="122">
        <f>'Financials_Applicant 1'!H11+'Financials_Applicant 2'!H11+'Financials_Applicant 3'!H11+'Financials_Applicant 4'!H11</f>
        <v>0</v>
      </c>
      <c r="I11" s="132" t="e">
        <f t="shared" si="3"/>
        <v>#DIV/0!</v>
      </c>
      <c r="J11" s="133"/>
    </row>
    <row r="12" spans="1:10" ht="18.75" thickBot="1">
      <c r="A12" s="131" t="s">
        <v>316</v>
      </c>
      <c r="B12" s="122">
        <f>'Financials_Applicant 1'!B12+'Financials_Applicant 2'!B12+'Financials_Applicant 3'!B12+'Financials_Applicant 4'!B12</f>
        <v>850</v>
      </c>
      <c r="C12" s="122">
        <f t="shared" si="0"/>
        <v>0.14166690277817129</v>
      </c>
      <c r="D12" s="122">
        <f>'Financials_Applicant 1'!D12+'Financials_Applicant 2'!D12+'Financials_Applicant 3'!D12+'Financials_Applicant 4'!D12</f>
        <v>600</v>
      </c>
      <c r="E12" s="122">
        <f t="shared" si="1"/>
        <v>85.714285714285708</v>
      </c>
      <c r="F12" s="122">
        <f>'Financials_Applicant 1'!F12+'Financials_Applicant 2'!F12+'Financials_Applicant 3'!F12+'Financials_Applicant 4'!F12</f>
        <v>0</v>
      </c>
      <c r="G12" s="122" t="e">
        <f t="shared" si="2"/>
        <v>#DIV/0!</v>
      </c>
      <c r="H12" s="122">
        <f>'Financials_Applicant 1'!H12+'Financials_Applicant 2'!H12+'Financials_Applicant 3'!H12+'Financials_Applicant 4'!H12</f>
        <v>0</v>
      </c>
      <c r="I12" s="132" t="e">
        <f t="shared" si="3"/>
        <v>#DIV/0!</v>
      </c>
    </row>
    <row r="13" spans="1:10" ht="18.75" thickBot="1">
      <c r="A13" s="134" t="s">
        <v>317</v>
      </c>
      <c r="B13" s="135">
        <f>B8-B10-B11-B12</f>
        <v>599165</v>
      </c>
      <c r="C13" s="122">
        <f t="shared" si="0"/>
        <v>99.860999768332945</v>
      </c>
      <c r="D13" s="135">
        <f>D8-D10-D11-D12</f>
        <v>66</v>
      </c>
      <c r="E13" s="122">
        <f t="shared" si="1"/>
        <v>9.4285714285714288</v>
      </c>
      <c r="F13" s="135">
        <f>F8-F10-F11-F12</f>
        <v>0</v>
      </c>
      <c r="G13" s="122" t="e">
        <f t="shared" si="2"/>
        <v>#DIV/0!</v>
      </c>
      <c r="H13" s="135">
        <f>H8-H10-H11-H12</f>
        <v>0</v>
      </c>
      <c r="I13" s="132" t="e">
        <f t="shared" si="3"/>
        <v>#DIV/0!</v>
      </c>
    </row>
    <row r="14" spans="1:10" ht="18.75" thickBot="1">
      <c r="A14" s="136" t="s">
        <v>318</v>
      </c>
      <c r="B14" s="122">
        <f>'Financials_Applicant 1'!B14+'Financials_Applicant 2'!B14+'Financials_Applicant 3'!B14+'Financials_Applicant 4'!B14</f>
        <v>3</v>
      </c>
      <c r="C14" s="122">
        <f t="shared" si="0"/>
        <v>5.000008333347222E-4</v>
      </c>
      <c r="D14" s="122">
        <f>'Financials_Applicant 1'!D14+'Financials_Applicant 2'!D14+'Financials_Applicant 3'!D14+'Financials_Applicant 4'!D14</f>
        <v>3</v>
      </c>
      <c r="E14" s="122">
        <f t="shared" si="1"/>
        <v>0.4285714285714286</v>
      </c>
      <c r="F14" s="122">
        <f>'Financials_Applicant 1'!F14+'Financials_Applicant 2'!F14+'Financials_Applicant 3'!F14+'Financials_Applicant 4'!F14</f>
        <v>0</v>
      </c>
      <c r="G14" s="122" t="e">
        <f t="shared" si="2"/>
        <v>#DIV/0!</v>
      </c>
      <c r="H14" s="122">
        <f>'Financials_Applicant 1'!H14+'Financials_Applicant 2'!H14+'Financials_Applicant 3'!H14+'Financials_Applicant 4'!H14</f>
        <v>0</v>
      </c>
      <c r="I14" s="132" t="e">
        <f t="shared" si="3"/>
        <v>#DIV/0!</v>
      </c>
      <c r="J14" s="133"/>
    </row>
    <row r="15" spans="1:10" ht="18.75" thickBot="1">
      <c r="A15" s="136" t="s">
        <v>319</v>
      </c>
      <c r="B15" s="122">
        <f>'Financials_Applicant 1'!B15+'Financials_Applicant 2'!B15+'Financials_Applicant 3'!B15+'Financials_Applicant 4'!B15</f>
        <v>2</v>
      </c>
      <c r="C15" s="122">
        <f t="shared" si="0"/>
        <v>3.3333388888981484E-4</v>
      </c>
      <c r="D15" s="122">
        <f>'Financials_Applicant 1'!D15+'Financials_Applicant 2'!D15+'Financials_Applicant 3'!D15+'Financials_Applicant 4'!D15</f>
        <v>2</v>
      </c>
      <c r="E15" s="122">
        <f t="shared" si="1"/>
        <v>0.2857142857142857</v>
      </c>
      <c r="F15" s="122">
        <f>'Financials_Applicant 1'!F15+'Financials_Applicant 2'!F15+'Financials_Applicant 3'!F15+'Financials_Applicant 4'!F15</f>
        <v>0</v>
      </c>
      <c r="G15" s="122" t="e">
        <f t="shared" si="2"/>
        <v>#DIV/0!</v>
      </c>
      <c r="H15" s="122">
        <f>'Financials_Applicant 1'!H15+'Financials_Applicant 2'!H15+'Financials_Applicant 3'!H15+'Financials_Applicant 4'!H15</f>
        <v>0</v>
      </c>
      <c r="I15" s="132" t="e">
        <f t="shared" si="3"/>
        <v>#DIV/0!</v>
      </c>
      <c r="J15" s="133"/>
    </row>
    <row r="16" spans="1:10" ht="18.75" thickBot="1">
      <c r="A16" s="134" t="s">
        <v>320</v>
      </c>
      <c r="B16" s="135">
        <f>B13-B14-B15</f>
        <v>599160</v>
      </c>
      <c r="C16" s="122">
        <f t="shared" si="0"/>
        <v>99.860166433610715</v>
      </c>
      <c r="D16" s="135">
        <f>D13-D14-D15</f>
        <v>61</v>
      </c>
      <c r="E16" s="122">
        <f t="shared" si="1"/>
        <v>8.7142857142857153</v>
      </c>
      <c r="F16" s="135">
        <f>F13-F14-F15</f>
        <v>0</v>
      </c>
      <c r="G16" s="122" t="e">
        <f t="shared" si="2"/>
        <v>#DIV/0!</v>
      </c>
      <c r="H16" s="135">
        <f>H13-H14-H15</f>
        <v>0</v>
      </c>
      <c r="I16" s="132" t="e">
        <f t="shared" si="3"/>
        <v>#DIV/0!</v>
      </c>
    </row>
    <row r="17" spans="1:12" ht="18.75" thickBot="1">
      <c r="A17" s="137" t="s">
        <v>218</v>
      </c>
      <c r="B17" s="122">
        <f>'Financials_Applicant 1'!B17+'Financials_Applicant 2'!B17+'Financials_Applicant 3'!B17+'Financials_Applicant 4'!B17</f>
        <v>1</v>
      </c>
      <c r="C17" s="122">
        <f t="shared" si="0"/>
        <v>1.6666694444490742E-4</v>
      </c>
      <c r="D17" s="122">
        <f>'Financials_Applicant 1'!D17+'Financials_Applicant 2'!D17+'Financials_Applicant 3'!D17+'Financials_Applicant 4'!D17</f>
        <v>0.25</v>
      </c>
      <c r="E17" s="122">
        <f t="shared" si="1"/>
        <v>3.5714285714285712E-2</v>
      </c>
      <c r="F17" s="122">
        <f>'Financials_Applicant 1'!F17+'Financials_Applicant 2'!F17+'Financials_Applicant 3'!F17+'Financials_Applicant 4'!F17</f>
        <v>0</v>
      </c>
      <c r="G17" s="122" t="e">
        <f t="shared" si="2"/>
        <v>#DIV/0!</v>
      </c>
      <c r="H17" s="122">
        <f>'Financials_Applicant 1'!H17+'Financials_Applicant 2'!H17+'Financials_Applicant 3'!H17+'Financials_Applicant 4'!H17</f>
        <v>0</v>
      </c>
      <c r="I17" s="132" t="e">
        <f t="shared" si="3"/>
        <v>#DIV/0!</v>
      </c>
      <c r="L17" s="138"/>
    </row>
    <row r="18" spans="1:12" s="138" customFormat="1" ht="18.75" thickBot="1">
      <c r="A18" s="131" t="s">
        <v>321</v>
      </c>
      <c r="B18" s="122">
        <f>'Financials_Applicant 1'!B18+'Financials_Applicant 2'!B18+'Financials_Applicant 3'!B18+'Financials_Applicant 4'!B18</f>
        <v>34</v>
      </c>
      <c r="C18" s="122">
        <f t="shared" si="0"/>
        <v>5.6666761111268515E-3</v>
      </c>
      <c r="D18" s="122">
        <f>'Financials_Applicant 1'!D18+'Financials_Applicant 2'!D18+'Financials_Applicant 3'!D18+'Financials_Applicant 4'!D18</f>
        <v>34</v>
      </c>
      <c r="E18" s="122">
        <f t="shared" si="1"/>
        <v>4.8571428571428568</v>
      </c>
      <c r="F18" s="122">
        <f>'Financials_Applicant 1'!F18+'Financials_Applicant 2'!F18+'Financials_Applicant 3'!F18+'Financials_Applicant 4'!F18</f>
        <v>0</v>
      </c>
      <c r="G18" s="122" t="e">
        <f t="shared" si="2"/>
        <v>#DIV/0!</v>
      </c>
      <c r="H18" s="122">
        <f>'Financials_Applicant 1'!H18+'Financials_Applicant 2'!H18+'Financials_Applicant 3'!H18+'Financials_Applicant 4'!H18</f>
        <v>0</v>
      </c>
      <c r="I18" s="132" t="e">
        <f t="shared" si="3"/>
        <v>#DIV/0!</v>
      </c>
      <c r="L18" s="116"/>
    </row>
    <row r="19" spans="1:12" s="138" customFormat="1" ht="18.75" thickBot="1">
      <c r="A19" s="131" t="s">
        <v>322</v>
      </c>
      <c r="B19" s="122">
        <f>'Financials_Applicant 1'!B19+'Financials_Applicant 2'!B19+'Financials_Applicant 3'!B19+'Financials_Applicant 4'!B19</f>
        <v>1</v>
      </c>
      <c r="C19" s="122">
        <f t="shared" si="0"/>
        <v>1.6666694444490742E-4</v>
      </c>
      <c r="D19" s="122">
        <f>'Financials_Applicant 1'!D19+'Financials_Applicant 2'!D19+'Financials_Applicant 3'!D19+'Financials_Applicant 4'!D19</f>
        <v>1</v>
      </c>
      <c r="E19" s="122">
        <f t="shared" si="1"/>
        <v>0.14285714285714285</v>
      </c>
      <c r="F19" s="122">
        <f>'Financials_Applicant 1'!F19+'Financials_Applicant 2'!F19+'Financials_Applicant 3'!F19+'Financials_Applicant 4'!F19</f>
        <v>1</v>
      </c>
      <c r="G19" s="122" t="e">
        <f t="shared" si="2"/>
        <v>#DIV/0!</v>
      </c>
      <c r="H19" s="122">
        <f>'Financials_Applicant 1'!H19+'Financials_Applicant 2'!H19+'Financials_Applicant 3'!H19+'Financials_Applicant 4'!H19</f>
        <v>1</v>
      </c>
      <c r="I19" s="132" t="e">
        <f t="shared" si="3"/>
        <v>#DIV/0!</v>
      </c>
      <c r="L19" s="116"/>
    </row>
    <row r="20" spans="1:12" s="138" customFormat="1" ht="18.75" thickBot="1">
      <c r="A20" s="131" t="s">
        <v>323</v>
      </c>
      <c r="B20" s="122">
        <f>'Financials_Applicant 1'!B20+'Financials_Applicant 2'!B20+'Financials_Applicant 3'!B20+'Financials_Applicant 4'!B20</f>
        <v>1</v>
      </c>
      <c r="C20" s="122">
        <f t="shared" si="0"/>
        <v>1.6666694444490742E-4</v>
      </c>
      <c r="D20" s="122">
        <f>'Financials_Applicant 1'!D20+'Financials_Applicant 2'!D20+'Financials_Applicant 3'!D20+'Financials_Applicant 4'!D20</f>
        <v>1</v>
      </c>
      <c r="E20" s="122">
        <f t="shared" si="1"/>
        <v>0.14285714285714285</v>
      </c>
      <c r="F20" s="122">
        <f>'Financials_Applicant 1'!F20+'Financials_Applicant 2'!F20+'Financials_Applicant 3'!F20+'Financials_Applicant 4'!F20</f>
        <v>1</v>
      </c>
      <c r="G20" s="122" t="e">
        <f t="shared" si="2"/>
        <v>#DIV/0!</v>
      </c>
      <c r="H20" s="122">
        <f>'Financials_Applicant 1'!H20+'Financials_Applicant 2'!H20+'Financials_Applicant 3'!H20+'Financials_Applicant 4'!H20</f>
        <v>1</v>
      </c>
      <c r="I20" s="132" t="e">
        <f t="shared" si="3"/>
        <v>#DIV/0!</v>
      </c>
      <c r="L20" s="116"/>
    </row>
    <row r="21" spans="1:12" s="138" customFormat="1" ht="18.75" thickBot="1">
      <c r="A21" s="131" t="s">
        <v>324</v>
      </c>
      <c r="B21" s="122">
        <f>'Financials_Applicant 1'!B21+'Financials_Applicant 2'!B21+'Financials_Applicant 3'!B21+'Financials_Applicant 4'!B21</f>
        <v>5</v>
      </c>
      <c r="C21" s="122">
        <f t="shared" si="0"/>
        <v>8.3333472222453715E-4</v>
      </c>
      <c r="D21" s="122">
        <f>'Financials_Applicant 1'!D21+'Financials_Applicant 2'!D21+'Financials_Applicant 3'!D21+'Financials_Applicant 4'!D21</f>
        <v>5</v>
      </c>
      <c r="E21" s="122">
        <f t="shared" si="1"/>
        <v>0.7142857142857143</v>
      </c>
      <c r="F21" s="122">
        <f>'Financials_Applicant 1'!F21+'Financials_Applicant 2'!F21+'Financials_Applicant 3'!F21+'Financials_Applicant 4'!F21</f>
        <v>0</v>
      </c>
      <c r="G21" s="122" t="e">
        <f t="shared" si="2"/>
        <v>#DIV/0!</v>
      </c>
      <c r="H21" s="122">
        <f>'Financials_Applicant 1'!H21+'Financials_Applicant 2'!H21+'Financials_Applicant 3'!H21+'Financials_Applicant 4'!H21</f>
        <v>0</v>
      </c>
      <c r="I21" s="132" t="e">
        <f t="shared" si="3"/>
        <v>#DIV/0!</v>
      </c>
      <c r="L21" s="116"/>
    </row>
    <row r="22" spans="1:12" ht="18.75" thickBot="1">
      <c r="A22" s="137" t="s">
        <v>325</v>
      </c>
      <c r="B22" s="122">
        <f>'Financials_Applicant 1'!B22+'Financials_Applicant 2'!B22+'Financials_Applicant 3'!B22+'Financials_Applicant 4'!B22</f>
        <v>6</v>
      </c>
      <c r="C22" s="122">
        <f t="shared" si="0"/>
        <v>1.0000016666694444E-3</v>
      </c>
      <c r="D22" s="122">
        <f>'Financials_Applicant 1'!D22+'Financials_Applicant 2'!D22+'Financials_Applicant 3'!D22+'Financials_Applicant 4'!D22</f>
        <v>6</v>
      </c>
      <c r="E22" s="122">
        <f t="shared" si="1"/>
        <v>0.85714285714285721</v>
      </c>
      <c r="F22" s="122">
        <f>'Financials_Applicant 1'!F22+'Financials_Applicant 2'!F22+'Financials_Applicant 3'!F22+'Financials_Applicant 4'!F22</f>
        <v>0</v>
      </c>
      <c r="G22" s="122" t="e">
        <f t="shared" si="2"/>
        <v>#DIV/0!</v>
      </c>
      <c r="H22" s="122">
        <f>'Financials_Applicant 1'!H22+'Financials_Applicant 2'!H22+'Financials_Applicant 3'!H22+'Financials_Applicant 4'!H22</f>
        <v>0</v>
      </c>
      <c r="I22" s="132" t="e">
        <f t="shared" si="3"/>
        <v>#DIV/0!</v>
      </c>
    </row>
    <row r="23" spans="1:12" ht="18.75" thickBot="1">
      <c r="A23" s="139" t="s">
        <v>326</v>
      </c>
      <c r="B23" s="140">
        <f>B16-B17-B18-B22-B21-B19-B20</f>
        <v>599112</v>
      </c>
      <c r="C23" s="122">
        <f t="shared" si="0"/>
        <v>99.852166420277371</v>
      </c>
      <c r="D23" s="140">
        <f>D16-D17-D18-D22-D21-D19-D20</f>
        <v>13.75</v>
      </c>
      <c r="E23" s="122">
        <f t="shared" si="1"/>
        <v>1.9642857142857142</v>
      </c>
      <c r="F23" s="140">
        <f>F16-F17-F18-F22-F21-F19-F20</f>
        <v>-2</v>
      </c>
      <c r="G23" s="122" t="e">
        <f t="shared" si="2"/>
        <v>#DIV/0!</v>
      </c>
      <c r="H23" s="140">
        <f>H16-H17-H18-H22-H21-H19-H20</f>
        <v>-2</v>
      </c>
      <c r="I23" s="132" t="e">
        <f t="shared" si="3"/>
        <v>#DIV/0!</v>
      </c>
    </row>
    <row r="24" spans="1:12" ht="18.75" thickBot="1">
      <c r="A24" s="125" t="s">
        <v>327</v>
      </c>
      <c r="B24" s="122">
        <f>'Financials_Applicant 1'!B24+'Financials_Applicant 2'!B24+'Financials_Applicant 3'!B24+'Financials_Applicant 4'!B24</f>
        <v>1</v>
      </c>
      <c r="C24" s="122">
        <f t="shared" si="0"/>
        <v>1.6666694444490742E-4</v>
      </c>
      <c r="D24" s="122">
        <f>'Financials_Applicant 1'!D24+'Financials_Applicant 2'!D24+'Financials_Applicant 3'!D24+'Financials_Applicant 4'!D24</f>
        <v>1</v>
      </c>
      <c r="E24" s="122">
        <f t="shared" si="1"/>
        <v>0.14285714285714285</v>
      </c>
      <c r="F24" s="122">
        <f>'Financials_Applicant 1'!F24+'Financials_Applicant 2'!F24+'Financials_Applicant 3'!F24+'Financials_Applicant 4'!F24</f>
        <v>0</v>
      </c>
      <c r="G24" s="122" t="e">
        <f t="shared" si="2"/>
        <v>#DIV/0!</v>
      </c>
      <c r="H24" s="122">
        <f>'Financials_Applicant 1'!H24+'Financials_Applicant 2'!H24+'Financials_Applicant 3'!H24+'Financials_Applicant 4'!H24</f>
        <v>0</v>
      </c>
      <c r="I24" s="132" t="e">
        <f t="shared" si="3"/>
        <v>#DIV/0!</v>
      </c>
      <c r="K24" s="141"/>
    </row>
    <row r="25" spans="1:12" ht="18.75" thickBot="1">
      <c r="A25" s="142" t="s">
        <v>186</v>
      </c>
      <c r="B25" s="127">
        <f>B23-B24</f>
        <v>599111</v>
      </c>
      <c r="C25" s="143">
        <f t="shared" si="0"/>
        <v>99.851999753332919</v>
      </c>
      <c r="D25" s="127">
        <f>D23-D24</f>
        <v>12.75</v>
      </c>
      <c r="E25" s="143">
        <f t="shared" si="1"/>
        <v>1.8214285714285714</v>
      </c>
      <c r="F25" s="127">
        <f>F23-F24</f>
        <v>-2</v>
      </c>
      <c r="G25" s="122" t="e">
        <f t="shared" si="2"/>
        <v>#DIV/0!</v>
      </c>
      <c r="H25" s="127">
        <f>H23-H24</f>
        <v>-2</v>
      </c>
      <c r="I25" s="132" t="e">
        <f t="shared" si="3"/>
        <v>#DIV/0!</v>
      </c>
      <c r="J25" s="144"/>
    </row>
    <row r="26" spans="1:12" ht="18.75" thickBot="1">
      <c r="A26" s="139" t="s">
        <v>328</v>
      </c>
      <c r="B26" s="140">
        <f>B25+B17+B22</f>
        <v>599118</v>
      </c>
      <c r="C26" s="122">
        <f t="shared" si="0"/>
        <v>99.853166421944039</v>
      </c>
      <c r="D26" s="140">
        <f>D25+D17+D22</f>
        <v>19</v>
      </c>
      <c r="E26" s="122">
        <f t="shared" si="1"/>
        <v>2.7142857142857144</v>
      </c>
      <c r="F26" s="140">
        <f>F25+F17+F22</f>
        <v>-2</v>
      </c>
      <c r="G26" s="122" t="e">
        <f t="shared" si="2"/>
        <v>#DIV/0!</v>
      </c>
      <c r="H26" s="140">
        <f>H25+H17+H22</f>
        <v>-2</v>
      </c>
      <c r="I26" s="132" t="e">
        <f t="shared" si="3"/>
        <v>#DIV/0!</v>
      </c>
    </row>
    <row r="27" spans="1:12" ht="18.75" thickBot="1">
      <c r="A27" s="145" t="s">
        <v>329</v>
      </c>
      <c r="B27" s="122">
        <f>'Financials_Applicant 1'!B27+'Financials_Applicant 2'!B27+'Financials_Applicant 3'!B27+'Financials_Applicant 4'!B27</f>
        <v>1</v>
      </c>
      <c r="C27" s="122">
        <f t="shared" si="0"/>
        <v>1.6666694444490742E-4</v>
      </c>
      <c r="D27" s="122">
        <f>'Financials_Applicant 1'!D27+'Financials_Applicant 2'!D27+'Financials_Applicant 3'!D27+'Financials_Applicant 4'!D27</f>
        <v>1</v>
      </c>
      <c r="E27" s="122">
        <f t="shared" si="1"/>
        <v>0.14285714285714285</v>
      </c>
      <c r="F27" s="122">
        <f>'Financials_Applicant 1'!F27+'Financials_Applicant 2'!F27+'Financials_Applicant 3'!F27+'Financials_Applicant 4'!F27</f>
        <v>0</v>
      </c>
      <c r="G27" s="122" t="e">
        <f t="shared" si="2"/>
        <v>#DIV/0!</v>
      </c>
      <c r="H27" s="122">
        <f>'Financials_Applicant 1'!H27+'Financials_Applicant 2'!H27+'Financials_Applicant 3'!H27+'Financials_Applicant 4'!H27</f>
        <v>0</v>
      </c>
      <c r="I27" s="132" t="e">
        <f t="shared" si="3"/>
        <v>#DIV/0!</v>
      </c>
    </row>
    <row r="28" spans="1:12" ht="18.75" thickBot="1">
      <c r="A28" s="145" t="s">
        <v>220</v>
      </c>
      <c r="B28" s="122">
        <f>'Financials_Applicant 1'!B28+'Financials_Applicant 2'!B28+'Financials_Applicant 3'!B28+'Financials_Applicant 4'!B28</f>
        <v>1</v>
      </c>
      <c r="C28" s="122">
        <f t="shared" si="0"/>
        <v>1.6666694444490742E-4</v>
      </c>
      <c r="D28" s="122">
        <f>'Financials_Applicant 1'!D28+'Financials_Applicant 2'!D28+'Financials_Applicant 3'!D28+'Financials_Applicant 4'!D28</f>
        <v>1</v>
      </c>
      <c r="E28" s="122">
        <f t="shared" si="1"/>
        <v>0.14285714285714285</v>
      </c>
      <c r="F28" s="122">
        <f>'Financials_Applicant 1'!F28+'Financials_Applicant 2'!F28+'Financials_Applicant 3'!F28+'Financials_Applicant 4'!F28</f>
        <v>0</v>
      </c>
      <c r="G28" s="122" t="e">
        <f t="shared" si="2"/>
        <v>#DIV/0!</v>
      </c>
      <c r="H28" s="122">
        <f>'Financials_Applicant 1'!H28+'Financials_Applicant 2'!H28+'Financials_Applicant 3'!H28+'Financials_Applicant 4'!H28</f>
        <v>0</v>
      </c>
      <c r="I28" s="132" t="e">
        <f t="shared" si="3"/>
        <v>#DIV/0!</v>
      </c>
    </row>
    <row r="29" spans="1:12" ht="18.75" thickBot="1">
      <c r="A29" s="146" t="s">
        <v>187</v>
      </c>
      <c r="B29" s="147">
        <f>B26+B27+B28</f>
        <v>599120</v>
      </c>
      <c r="C29" s="143">
        <f t="shared" si="0"/>
        <v>99.853499755832928</v>
      </c>
      <c r="D29" s="147">
        <f>D26+D27+D28</f>
        <v>21</v>
      </c>
      <c r="E29" s="143">
        <f t="shared" si="1"/>
        <v>3</v>
      </c>
      <c r="F29" s="147">
        <f>F26+F27+F28</f>
        <v>-2</v>
      </c>
      <c r="G29" s="122" t="e">
        <f t="shared" si="2"/>
        <v>#DIV/0!</v>
      </c>
      <c r="H29" s="147">
        <f>H26+H27+H28</f>
        <v>-2</v>
      </c>
      <c r="I29" s="132" t="e">
        <f t="shared" si="3"/>
        <v>#DIV/0!</v>
      </c>
    </row>
    <row r="30" spans="1:12" ht="18.75" thickBot="1">
      <c r="A30" s="146"/>
      <c r="B30" s="147"/>
      <c r="C30" s="143"/>
      <c r="D30" s="147"/>
      <c r="E30" s="143"/>
      <c r="F30" s="147"/>
      <c r="G30" s="143"/>
      <c r="H30" s="147"/>
      <c r="I30" s="148"/>
      <c r="J30" s="149"/>
    </row>
    <row r="31" spans="1:12" ht="18">
      <c r="A31" s="150"/>
      <c r="B31" s="151"/>
      <c r="C31" s="152"/>
      <c r="D31" s="151"/>
      <c r="E31" s="152"/>
      <c r="F31" s="151"/>
      <c r="G31" s="152"/>
      <c r="H31" s="151"/>
      <c r="I31" s="153" t="s">
        <v>330</v>
      </c>
    </row>
    <row r="32" spans="1:12" ht="18">
      <c r="A32" s="740" t="s">
        <v>331</v>
      </c>
      <c r="B32" s="741" t="s">
        <v>302</v>
      </c>
      <c r="C32" s="154" t="s">
        <v>303</v>
      </c>
      <c r="D32" s="741" t="s">
        <v>304</v>
      </c>
      <c r="E32" s="154" t="s">
        <v>303</v>
      </c>
      <c r="F32" s="742" t="s">
        <v>305</v>
      </c>
      <c r="G32" s="154" t="s">
        <v>303</v>
      </c>
      <c r="H32" s="742" t="s">
        <v>306</v>
      </c>
      <c r="I32" s="155"/>
    </row>
    <row r="33" spans="1:10" ht="18">
      <c r="A33" s="740"/>
      <c r="B33" s="741"/>
      <c r="C33" s="156" t="s">
        <v>308</v>
      </c>
      <c r="D33" s="741"/>
      <c r="E33" s="156" t="s">
        <v>309</v>
      </c>
      <c r="F33" s="742"/>
      <c r="G33" s="156" t="s">
        <v>310</v>
      </c>
      <c r="H33" s="742"/>
      <c r="I33" s="157"/>
    </row>
    <row r="34" spans="1:10" ht="18">
      <c r="A34" s="158" t="s">
        <v>332</v>
      </c>
      <c r="B34" s="122">
        <f>'Financials_Applicant 1'!B34+'Financials_Applicant 2'!B34+'Financials_Applicant 3'!B34+'Financials_Applicant 4'!B34</f>
        <v>10</v>
      </c>
      <c r="C34" s="122" t="e">
        <f t="shared" ref="C34:C65" si="4">(B34-D34)/D34*100</f>
        <v>#DIV/0!</v>
      </c>
      <c r="D34" s="122">
        <f>'Financials_Applicant 1'!D34+'Financials_Applicant 2'!D34+'Financials_Applicant 3'!D34+'Financials_Applicant 4'!D34</f>
        <v>0</v>
      </c>
      <c r="E34" s="122" t="e">
        <f t="shared" ref="E34:E65" si="5">(D34-F34)/F34*100</f>
        <v>#DIV/0!</v>
      </c>
      <c r="F34" s="122">
        <f>'Financials_Applicant 1'!F34+'Financials_Applicant 2'!F34+'Financials_Applicant 3'!F34+'Financials_Applicant 4'!F34</f>
        <v>0</v>
      </c>
      <c r="G34" s="122" t="e">
        <f t="shared" ref="G34:G65" si="6">(F34-H34)/H34*100</f>
        <v>#DIV/0!</v>
      </c>
      <c r="H34" s="122">
        <f>'Financials_Applicant 1'!H34+'Financials_Applicant 2'!H34+'Financials_Applicant 3'!H34+'Financials_Applicant 4'!H34</f>
        <v>0</v>
      </c>
      <c r="I34" s="116"/>
    </row>
    <row r="35" spans="1:10" ht="26.25">
      <c r="A35" s="158" t="s">
        <v>333</v>
      </c>
      <c r="B35" s="122">
        <f>'Financials_Applicant 1'!B35+'Financials_Applicant 2'!B35+'Financials_Applicant 3'!B35+'Financials_Applicant 4'!B35</f>
        <v>12</v>
      </c>
      <c r="C35" s="122" t="e">
        <f t="shared" si="4"/>
        <v>#DIV/0!</v>
      </c>
      <c r="D35" s="122">
        <f>'Financials_Applicant 1'!D35+'Financials_Applicant 2'!D35+'Financials_Applicant 3'!D35+'Financials_Applicant 4'!D35</f>
        <v>0</v>
      </c>
      <c r="E35" s="122" t="e">
        <f t="shared" si="5"/>
        <v>#DIV/0!</v>
      </c>
      <c r="F35" s="122">
        <f>'Financials_Applicant 1'!F35+'Financials_Applicant 2'!F35+'Financials_Applicant 3'!F35+'Financials_Applicant 4'!F35</f>
        <v>0</v>
      </c>
      <c r="G35" s="122" t="e">
        <f t="shared" si="6"/>
        <v>#DIV/0!</v>
      </c>
      <c r="H35" s="122">
        <f>'Financials_Applicant 1'!H35+'Financials_Applicant 2'!H35+'Financials_Applicant 3'!H35+'Financials_Applicant 4'!H35</f>
        <v>0</v>
      </c>
      <c r="I35" s="116"/>
    </row>
    <row r="36" spans="1:10" ht="18">
      <c r="A36" s="159" t="s">
        <v>188</v>
      </c>
      <c r="B36" s="127">
        <f>SUM(B34:B35)</f>
        <v>22</v>
      </c>
      <c r="C36" s="122" t="e">
        <f t="shared" si="4"/>
        <v>#DIV/0!</v>
      </c>
      <c r="D36" s="127">
        <f>SUM(D34:D35)</f>
        <v>0</v>
      </c>
      <c r="E36" s="122" t="e">
        <f t="shared" si="5"/>
        <v>#DIV/0!</v>
      </c>
      <c r="F36" s="140">
        <f>SUM(F34:F35)</f>
        <v>0</v>
      </c>
      <c r="G36" s="122" t="e">
        <f t="shared" si="6"/>
        <v>#DIV/0!</v>
      </c>
      <c r="H36" s="140">
        <f>SUM(H34:H35)</f>
        <v>0</v>
      </c>
      <c r="I36" s="116"/>
    </row>
    <row r="37" spans="1:10" ht="18">
      <c r="A37" s="158" t="s">
        <v>334</v>
      </c>
      <c r="B37" s="122">
        <f>'Financials_Applicant 1'!B37+'Financials_Applicant 2'!B37+'Financials_Applicant 3'!B37+'Financials_Applicant 4'!B37</f>
        <v>0</v>
      </c>
      <c r="C37" s="122" t="e">
        <f t="shared" si="4"/>
        <v>#DIV/0!</v>
      </c>
      <c r="D37" s="122">
        <f>'Financials_Applicant 1'!D37+'Financials_Applicant 2'!D37+'Financials_Applicant 3'!D37+'Financials_Applicant 4'!D37</f>
        <v>0</v>
      </c>
      <c r="E37" s="122" t="e">
        <f t="shared" si="5"/>
        <v>#DIV/0!</v>
      </c>
      <c r="F37" s="122">
        <f>'Financials_Applicant 1'!F37+'Financials_Applicant 2'!F37+'Financials_Applicant 3'!F37+'Financials_Applicant 4'!F37</f>
        <v>0</v>
      </c>
      <c r="G37" s="122" t="e">
        <f t="shared" si="6"/>
        <v>#DIV/0!</v>
      </c>
      <c r="H37" s="122">
        <f>'Financials_Applicant 1'!H37+'Financials_Applicant 2'!H37+'Financials_Applicant 3'!H37+'Financials_Applicant 4'!H37</f>
        <v>0</v>
      </c>
      <c r="I37" s="116"/>
    </row>
    <row r="38" spans="1:10" ht="18">
      <c r="A38" s="159" t="s">
        <v>335</v>
      </c>
      <c r="B38" s="127">
        <f>B34+B35+B43-B62-B64-B52</f>
        <v>22</v>
      </c>
      <c r="C38" s="122" t="e">
        <f t="shared" si="4"/>
        <v>#DIV/0!</v>
      </c>
      <c r="D38" s="127">
        <f>D34+D35+D43-D62-D64-D52</f>
        <v>0</v>
      </c>
      <c r="E38" s="122" t="e">
        <f t="shared" si="5"/>
        <v>#DIV/0!</v>
      </c>
      <c r="F38" s="140">
        <f>F34+F35+F43-F62-F64-F52</f>
        <v>0</v>
      </c>
      <c r="G38" s="122" t="e">
        <f t="shared" si="6"/>
        <v>#DIV/0!</v>
      </c>
      <c r="H38" s="140">
        <f>H34+H35+H43-H62-H64-H52</f>
        <v>0</v>
      </c>
      <c r="I38" s="116"/>
    </row>
    <row r="39" spans="1:10" ht="18">
      <c r="A39" s="158" t="s">
        <v>189</v>
      </c>
      <c r="B39" s="122">
        <f>'Financials_Applicant 1'!B39+'Financials_Applicant 2'!B39+'Financials_Applicant 3'!B39+'Financials_Applicant 4'!B39</f>
        <v>10</v>
      </c>
      <c r="C39" s="122" t="e">
        <f t="shared" si="4"/>
        <v>#DIV/0!</v>
      </c>
      <c r="D39" s="122">
        <f>'Financials_Applicant 1'!D39+'Financials_Applicant 2'!D39+'Financials_Applicant 3'!D39+'Financials_Applicant 4'!D39</f>
        <v>0</v>
      </c>
      <c r="E39" s="122" t="e">
        <f t="shared" si="5"/>
        <v>#DIV/0!</v>
      </c>
      <c r="F39" s="122">
        <f>'Financials_Applicant 1'!F39+'Financials_Applicant 2'!F39+'Financials_Applicant 3'!F39+'Financials_Applicant 4'!F39</f>
        <v>0</v>
      </c>
      <c r="G39" s="122" t="e">
        <f t="shared" si="6"/>
        <v>#DIV/0!</v>
      </c>
      <c r="H39" s="122">
        <f>'Financials_Applicant 1'!H39+'Financials_Applicant 2'!H39+'Financials_Applicant 3'!H39+'Financials_Applicant 4'!H39</f>
        <v>0</v>
      </c>
    </row>
    <row r="40" spans="1:10" ht="18">
      <c r="A40" s="158" t="s">
        <v>190</v>
      </c>
      <c r="B40" s="122">
        <f>'Financials_Applicant 1'!B40+'Financials_Applicant 2'!B40+'Financials_Applicant 3'!B40+'Financials_Applicant 4'!B40</f>
        <v>1</v>
      </c>
      <c r="C40" s="122" t="e">
        <f t="shared" si="4"/>
        <v>#DIV/0!</v>
      </c>
      <c r="D40" s="122">
        <f>'Financials_Applicant 1'!D40+'Financials_Applicant 2'!D40+'Financials_Applicant 3'!D40+'Financials_Applicant 4'!D40</f>
        <v>0</v>
      </c>
      <c r="E40" s="122" t="e">
        <f t="shared" si="5"/>
        <v>#DIV/0!</v>
      </c>
      <c r="F40" s="122">
        <f>'Financials_Applicant 1'!F40+'Financials_Applicant 2'!F40+'Financials_Applicant 3'!F40+'Financials_Applicant 4'!F40</f>
        <v>0</v>
      </c>
      <c r="G40" s="122" t="e">
        <f t="shared" si="6"/>
        <v>#DIV/0!</v>
      </c>
      <c r="H40" s="122">
        <f>'Financials_Applicant 1'!H40+'Financials_Applicant 2'!H40+'Financials_Applicant 3'!H40+'Financials_Applicant 4'!H40</f>
        <v>0</v>
      </c>
      <c r="I40" s="160"/>
      <c r="J40" s="161"/>
    </row>
    <row r="41" spans="1:10" ht="18">
      <c r="A41" s="162" t="s">
        <v>336</v>
      </c>
      <c r="B41" s="163">
        <f>B39+B40</f>
        <v>11</v>
      </c>
      <c r="C41" s="122" t="e">
        <f t="shared" si="4"/>
        <v>#DIV/0!</v>
      </c>
      <c r="D41" s="163">
        <f>D39+D40</f>
        <v>0</v>
      </c>
      <c r="E41" s="122" t="e">
        <f t="shared" si="5"/>
        <v>#DIV/0!</v>
      </c>
      <c r="F41" s="163">
        <f>F39+F40</f>
        <v>0</v>
      </c>
      <c r="G41" s="122" t="e">
        <f t="shared" si="6"/>
        <v>#DIV/0!</v>
      </c>
      <c r="H41" s="163">
        <f>H39+H40</f>
        <v>0</v>
      </c>
      <c r="I41" s="116"/>
      <c r="J41" s="161"/>
    </row>
    <row r="42" spans="1:10" ht="18">
      <c r="A42" s="158" t="s">
        <v>337</v>
      </c>
      <c r="B42" s="122">
        <f>'Financials_Applicant 1'!B42+'Financials_Applicant 2'!B42+'Financials_Applicant 3'!B42+'Financials_Applicant 4'!B42</f>
        <v>1</v>
      </c>
      <c r="C42" s="122" t="e">
        <f t="shared" si="4"/>
        <v>#DIV/0!</v>
      </c>
      <c r="D42" s="122">
        <f>'Financials_Applicant 1'!D42+'Financials_Applicant 2'!D42+'Financials_Applicant 3'!D42+'Financials_Applicant 4'!D42</f>
        <v>0</v>
      </c>
      <c r="E42" s="122" t="e">
        <f t="shared" si="5"/>
        <v>#DIV/0!</v>
      </c>
      <c r="F42" s="122">
        <f>'Financials_Applicant 1'!F42+'Financials_Applicant 2'!F42+'Financials_Applicant 3'!F42+'Financials_Applicant 4'!F42</f>
        <v>0</v>
      </c>
      <c r="G42" s="122" t="e">
        <f t="shared" si="6"/>
        <v>#DIV/0!</v>
      </c>
      <c r="H42" s="122">
        <f>'Financials_Applicant 1'!H42+'Financials_Applicant 2'!H42+'Financials_Applicant 3'!H42+'Financials_Applicant 4'!H42</f>
        <v>0</v>
      </c>
      <c r="I42" s="116"/>
    </row>
    <row r="43" spans="1:10" ht="26.25">
      <c r="A43" s="164" t="s">
        <v>338</v>
      </c>
      <c r="B43" s="122">
        <f>'Financials_Applicant 1'!B43+'Financials_Applicant 2'!B43+'Financials_Applicant 3'!B43+'Financials_Applicant 4'!B43</f>
        <v>0</v>
      </c>
      <c r="C43" s="122" t="e">
        <f t="shared" si="4"/>
        <v>#DIV/0!</v>
      </c>
      <c r="D43" s="122">
        <f>'Financials_Applicant 1'!D43+'Financials_Applicant 2'!D43+'Financials_Applicant 3'!D43+'Financials_Applicant 4'!D43</f>
        <v>0</v>
      </c>
      <c r="E43" s="122" t="e">
        <f t="shared" si="5"/>
        <v>#DIV/0!</v>
      </c>
      <c r="F43" s="122">
        <f>'Financials_Applicant 1'!F43+'Financials_Applicant 2'!F43+'Financials_Applicant 3'!F43+'Financials_Applicant 4'!F43</f>
        <v>0</v>
      </c>
      <c r="G43" s="122" t="e">
        <f t="shared" si="6"/>
        <v>#DIV/0!</v>
      </c>
      <c r="H43" s="122">
        <f>'Financials_Applicant 1'!H43+'Financials_Applicant 2'!H43+'Financials_Applicant 3'!H43+'Financials_Applicant 4'!H43</f>
        <v>0</v>
      </c>
      <c r="I43" s="116"/>
    </row>
    <row r="44" spans="1:10" ht="18">
      <c r="A44" s="165" t="s">
        <v>339</v>
      </c>
      <c r="B44" s="166">
        <f>B45+B46</f>
        <v>1</v>
      </c>
      <c r="C44" s="122" t="e">
        <f t="shared" si="4"/>
        <v>#DIV/0!</v>
      </c>
      <c r="D44" s="166">
        <f>D45+D46</f>
        <v>0</v>
      </c>
      <c r="E44" s="122" t="e">
        <f t="shared" si="5"/>
        <v>#DIV/0!</v>
      </c>
      <c r="F44" s="166">
        <f>F45+F46</f>
        <v>0</v>
      </c>
      <c r="G44" s="122" t="e">
        <f t="shared" si="6"/>
        <v>#DIV/0!</v>
      </c>
      <c r="H44" s="166">
        <f>H45+H46</f>
        <v>0</v>
      </c>
      <c r="I44" s="116"/>
    </row>
    <row r="45" spans="1:10" ht="18">
      <c r="A45" s="167" t="s">
        <v>340</v>
      </c>
      <c r="B45" s="122">
        <f>'Financials_Applicant 1'!B45+'Financials_Applicant 2'!B45+'Financials_Applicant 3'!B45+'Financials_Applicant 4'!B45</f>
        <v>1</v>
      </c>
      <c r="C45" s="122" t="e">
        <f t="shared" si="4"/>
        <v>#DIV/0!</v>
      </c>
      <c r="D45" s="122">
        <f>'Financials_Applicant 1'!D45+'Financials_Applicant 2'!D45+'Financials_Applicant 3'!D45+'Financials_Applicant 4'!D45</f>
        <v>0</v>
      </c>
      <c r="E45" s="122" t="e">
        <f t="shared" si="5"/>
        <v>#DIV/0!</v>
      </c>
      <c r="F45" s="122">
        <f>'Financials_Applicant 1'!F45+'Financials_Applicant 2'!F45+'Financials_Applicant 3'!F45+'Financials_Applicant 4'!F45</f>
        <v>0</v>
      </c>
      <c r="G45" s="122" t="e">
        <f t="shared" si="6"/>
        <v>#DIV/0!</v>
      </c>
      <c r="H45" s="122">
        <f>'Financials_Applicant 1'!H45+'Financials_Applicant 2'!H45+'Financials_Applicant 3'!H45+'Financials_Applicant 4'!H45</f>
        <v>0</v>
      </c>
      <c r="I45" s="116"/>
    </row>
    <row r="46" spans="1:10" ht="18">
      <c r="A46" s="158" t="s">
        <v>341</v>
      </c>
      <c r="B46" s="122">
        <f>'Financials_Applicant 1'!B46+'Financials_Applicant 2'!B46+'Financials_Applicant 3'!B46+'Financials_Applicant 4'!B46</f>
        <v>0</v>
      </c>
      <c r="C46" s="122" t="e">
        <f t="shared" si="4"/>
        <v>#DIV/0!</v>
      </c>
      <c r="D46" s="122">
        <f>'Financials_Applicant 1'!D46+'Financials_Applicant 2'!D46+'Financials_Applicant 3'!D46+'Financials_Applicant 4'!D46</f>
        <v>0</v>
      </c>
      <c r="E46" s="122" t="e">
        <f t="shared" si="5"/>
        <v>#DIV/0!</v>
      </c>
      <c r="F46" s="122">
        <f>'Financials_Applicant 1'!F46+'Financials_Applicant 2'!F46+'Financials_Applicant 3'!F46+'Financials_Applicant 4'!F46</f>
        <v>0</v>
      </c>
      <c r="G46" s="122" t="e">
        <f t="shared" si="6"/>
        <v>#DIV/0!</v>
      </c>
      <c r="H46" s="122">
        <f>'Financials_Applicant 1'!H46+'Financials_Applicant 2'!H46+'Financials_Applicant 3'!H46+'Financials_Applicant 4'!H46</f>
        <v>0</v>
      </c>
      <c r="I46" s="116"/>
    </row>
    <row r="47" spans="1:10" ht="18">
      <c r="A47" s="168" t="s">
        <v>342</v>
      </c>
      <c r="B47" s="140">
        <f>B41+B42+B44</f>
        <v>13</v>
      </c>
      <c r="C47" s="122" t="e">
        <f t="shared" si="4"/>
        <v>#DIV/0!</v>
      </c>
      <c r="D47" s="140">
        <f>D41+D42+D44</f>
        <v>0</v>
      </c>
      <c r="E47" s="122" t="e">
        <f t="shared" si="5"/>
        <v>#DIV/0!</v>
      </c>
      <c r="F47" s="140">
        <f>F41+F42+F44</f>
        <v>0</v>
      </c>
      <c r="G47" s="122" t="e">
        <f t="shared" si="6"/>
        <v>#DIV/0!</v>
      </c>
      <c r="H47" s="140">
        <f>H41+H42+H44</f>
        <v>0</v>
      </c>
      <c r="I47" s="116"/>
    </row>
    <row r="48" spans="1:10" ht="18">
      <c r="A48" s="202" t="s">
        <v>343</v>
      </c>
      <c r="B48" s="203">
        <f>B36+B37+B41+B42+B43+B44</f>
        <v>35</v>
      </c>
      <c r="C48" s="204" t="e">
        <f t="shared" si="4"/>
        <v>#DIV/0!</v>
      </c>
      <c r="D48" s="203">
        <f>D36+D37+D41+D42+D43+D44</f>
        <v>0</v>
      </c>
      <c r="E48" s="204" t="e">
        <f t="shared" si="5"/>
        <v>#DIV/0!</v>
      </c>
      <c r="F48" s="203">
        <f>F36+F37+F41+F42+F43+F44</f>
        <v>0</v>
      </c>
      <c r="G48" s="204" t="e">
        <f t="shared" si="6"/>
        <v>#DIV/0!</v>
      </c>
      <c r="H48" s="203">
        <f>H36+H37+H41+H42+H43+H44</f>
        <v>0</v>
      </c>
      <c r="I48" s="116"/>
    </row>
    <row r="49" spans="1:9" ht="18">
      <c r="A49" s="164" t="s">
        <v>344</v>
      </c>
      <c r="B49" s="122">
        <f>'Financials_Applicant 1'!B49+'Financials_Applicant 2'!B49+'Financials_Applicant 3'!B49+'Financials_Applicant 4'!B49</f>
        <v>0</v>
      </c>
      <c r="C49" s="122" t="e">
        <f t="shared" si="4"/>
        <v>#DIV/0!</v>
      </c>
      <c r="D49" s="122">
        <f>'Financials_Applicant 1'!D49+'Financials_Applicant 2'!D49+'Financials_Applicant 3'!D49+'Financials_Applicant 4'!D49</f>
        <v>0</v>
      </c>
      <c r="E49" s="122" t="e">
        <f t="shared" si="5"/>
        <v>#DIV/0!</v>
      </c>
      <c r="F49" s="122">
        <f>'Financials_Applicant 1'!F49+'Financials_Applicant 2'!F49+'Financials_Applicant 3'!F49+'Financials_Applicant 4'!F49</f>
        <v>0</v>
      </c>
      <c r="G49" s="122" t="e">
        <f t="shared" si="6"/>
        <v>#DIV/0!</v>
      </c>
      <c r="H49" s="122">
        <f>'Financials_Applicant 1'!H49+'Financials_Applicant 2'!H49+'Financials_Applicant 3'!H49+'Financials_Applicant 4'!H49</f>
        <v>0</v>
      </c>
      <c r="I49" s="169"/>
    </row>
    <row r="50" spans="1:9" ht="18">
      <c r="A50" s="170" t="s">
        <v>345</v>
      </c>
      <c r="B50" s="140">
        <f>B51+B53+B52</f>
        <v>0</v>
      </c>
      <c r="C50" s="122" t="e">
        <f t="shared" si="4"/>
        <v>#DIV/0!</v>
      </c>
      <c r="D50" s="140">
        <f>D51+D53+D52</f>
        <v>0</v>
      </c>
      <c r="E50" s="122" t="e">
        <f t="shared" si="5"/>
        <v>#DIV/0!</v>
      </c>
      <c r="F50" s="140">
        <f>F51+F53+F52</f>
        <v>0</v>
      </c>
      <c r="G50" s="122" t="e">
        <f t="shared" si="6"/>
        <v>#DIV/0!</v>
      </c>
      <c r="H50" s="140">
        <f>H51+H53+H52</f>
        <v>0</v>
      </c>
      <c r="I50" s="116"/>
    </row>
    <row r="51" spans="1:9" ht="18">
      <c r="A51" s="171" t="s">
        <v>346</v>
      </c>
      <c r="B51" s="122">
        <f>'Financials_Applicant 1'!B51+'Financials_Applicant 2'!B51+'Financials_Applicant 3'!B51+'Financials_Applicant 4'!B51</f>
        <v>0</v>
      </c>
      <c r="C51" s="122" t="e">
        <f t="shared" si="4"/>
        <v>#DIV/0!</v>
      </c>
      <c r="D51" s="122">
        <f>'Financials_Applicant 1'!D51+'Financials_Applicant 2'!D51+'Financials_Applicant 3'!D51+'Financials_Applicant 4'!D51</f>
        <v>0</v>
      </c>
      <c r="E51" s="122" t="e">
        <f t="shared" si="5"/>
        <v>#DIV/0!</v>
      </c>
      <c r="F51" s="122">
        <f>'Financials_Applicant 1'!F51+'Financials_Applicant 2'!F51+'Financials_Applicant 3'!F51+'Financials_Applicant 4'!F51</f>
        <v>0</v>
      </c>
      <c r="G51" s="122" t="e">
        <f t="shared" si="6"/>
        <v>#DIV/0!</v>
      </c>
      <c r="H51" s="122">
        <f>'Financials_Applicant 1'!H51+'Financials_Applicant 2'!H51+'Financials_Applicant 3'!H51+'Financials_Applicant 4'!H51</f>
        <v>0</v>
      </c>
      <c r="I51" s="116"/>
    </row>
    <row r="52" spans="1:9" ht="18">
      <c r="A52" s="171" t="s">
        <v>347</v>
      </c>
      <c r="B52" s="122">
        <f>'Financials_Applicant 1'!B52+'Financials_Applicant 2'!B52+'Financials_Applicant 3'!B52+'Financials_Applicant 4'!B52</f>
        <v>0</v>
      </c>
      <c r="C52" s="122" t="e">
        <f t="shared" si="4"/>
        <v>#DIV/0!</v>
      </c>
      <c r="D52" s="122">
        <f>'Financials_Applicant 1'!D52+'Financials_Applicant 2'!D52+'Financials_Applicant 3'!D52+'Financials_Applicant 4'!D52</f>
        <v>0</v>
      </c>
      <c r="E52" s="122" t="e">
        <f t="shared" si="5"/>
        <v>#DIV/0!</v>
      </c>
      <c r="F52" s="122">
        <f>'Financials_Applicant 1'!F52+'Financials_Applicant 2'!F52+'Financials_Applicant 3'!F52+'Financials_Applicant 4'!F52</f>
        <v>0</v>
      </c>
      <c r="G52" s="122" t="e">
        <f t="shared" si="6"/>
        <v>#DIV/0!</v>
      </c>
      <c r="H52" s="122">
        <f>'Financials_Applicant 1'!H52+'Financials_Applicant 2'!H52+'Financials_Applicant 3'!H52+'Financials_Applicant 4'!H52</f>
        <v>0</v>
      </c>
      <c r="I52" s="116"/>
    </row>
    <row r="53" spans="1:9" ht="18">
      <c r="A53" s="171" t="s">
        <v>348</v>
      </c>
      <c r="B53" s="122">
        <f>'Financials_Applicant 1'!B53+'Financials_Applicant 2'!B53+'Financials_Applicant 3'!B53+'Financials_Applicant 4'!B53</f>
        <v>0</v>
      </c>
      <c r="C53" s="122" t="e">
        <f t="shared" si="4"/>
        <v>#DIV/0!</v>
      </c>
      <c r="D53" s="122">
        <f>'Financials_Applicant 1'!D53+'Financials_Applicant 2'!D53+'Financials_Applicant 3'!D53+'Financials_Applicant 4'!D53</f>
        <v>0</v>
      </c>
      <c r="E53" s="122" t="e">
        <f t="shared" si="5"/>
        <v>#DIV/0!</v>
      </c>
      <c r="F53" s="122">
        <f>'Financials_Applicant 1'!F53+'Financials_Applicant 2'!F53+'Financials_Applicant 3'!F53+'Financials_Applicant 4'!F53</f>
        <v>0</v>
      </c>
      <c r="G53" s="122" t="e">
        <f t="shared" si="6"/>
        <v>#DIV/0!</v>
      </c>
      <c r="H53" s="122">
        <f>'Financials_Applicant 1'!H53+'Financials_Applicant 2'!H53+'Financials_Applicant 3'!H53+'Financials_Applicant 4'!H53</f>
        <v>0</v>
      </c>
      <c r="I53" s="116"/>
    </row>
    <row r="54" spans="1:9" ht="18">
      <c r="A54" s="172" t="s">
        <v>349</v>
      </c>
      <c r="B54" s="166">
        <f>B56+B57+B60+B61+B55</f>
        <v>2</v>
      </c>
      <c r="C54" s="122" t="e">
        <f t="shared" si="4"/>
        <v>#DIV/0!</v>
      </c>
      <c r="D54" s="166">
        <f>D56+D57+D60+D61+D55</f>
        <v>0</v>
      </c>
      <c r="E54" s="122" t="e">
        <f t="shared" si="5"/>
        <v>#DIV/0!</v>
      </c>
      <c r="F54" s="166">
        <f>F56+F57+F60+F61+F55</f>
        <v>0</v>
      </c>
      <c r="G54" s="122" t="e">
        <f t="shared" si="6"/>
        <v>#DIV/0!</v>
      </c>
      <c r="H54" s="166">
        <f>H56+H57+H60+H61+H55</f>
        <v>0</v>
      </c>
      <c r="I54" s="116"/>
    </row>
    <row r="55" spans="1:9" ht="18">
      <c r="A55" s="173" t="s">
        <v>350</v>
      </c>
      <c r="B55" s="122">
        <f>'Financials_Applicant 1'!B55+'Financials_Applicant 2'!B55+'Financials_Applicant 3'!B55+'Financials_Applicant 4'!B55</f>
        <v>0</v>
      </c>
      <c r="C55" s="122" t="e">
        <f t="shared" si="4"/>
        <v>#DIV/0!</v>
      </c>
      <c r="D55" s="122">
        <f>'Financials_Applicant 1'!D55+'Financials_Applicant 2'!D55+'Financials_Applicant 3'!D55+'Financials_Applicant 4'!D55</f>
        <v>0</v>
      </c>
      <c r="E55" s="122" t="e">
        <f t="shared" si="5"/>
        <v>#DIV/0!</v>
      </c>
      <c r="F55" s="122">
        <f>'Financials_Applicant 1'!F55+'Financials_Applicant 2'!F55+'Financials_Applicant 3'!F55+'Financials_Applicant 4'!F55</f>
        <v>0</v>
      </c>
      <c r="G55" s="122" t="e">
        <f t="shared" si="6"/>
        <v>#DIV/0!</v>
      </c>
      <c r="H55" s="122">
        <f>'Financials_Applicant 1'!H55+'Financials_Applicant 2'!H55+'Financials_Applicant 3'!H55+'Financials_Applicant 4'!H55</f>
        <v>0</v>
      </c>
      <c r="I55" s="116"/>
    </row>
    <row r="56" spans="1:9" ht="18">
      <c r="A56" s="164" t="s">
        <v>351</v>
      </c>
      <c r="B56" s="122">
        <f>'Financials_Applicant 1'!B56+'Financials_Applicant 2'!B56+'Financials_Applicant 3'!B56+'Financials_Applicant 4'!B56</f>
        <v>0</v>
      </c>
      <c r="C56" s="122" t="e">
        <f t="shared" si="4"/>
        <v>#DIV/0!</v>
      </c>
      <c r="D56" s="122">
        <f>'Financials_Applicant 1'!D56+'Financials_Applicant 2'!D56+'Financials_Applicant 3'!D56+'Financials_Applicant 4'!D56</f>
        <v>0</v>
      </c>
      <c r="E56" s="122" t="e">
        <f t="shared" si="5"/>
        <v>#DIV/0!</v>
      </c>
      <c r="F56" s="122">
        <f>'Financials_Applicant 1'!F56+'Financials_Applicant 2'!F56+'Financials_Applicant 3'!F56+'Financials_Applicant 4'!F56</f>
        <v>0</v>
      </c>
      <c r="G56" s="122" t="e">
        <f t="shared" si="6"/>
        <v>#DIV/0!</v>
      </c>
      <c r="H56" s="122">
        <f>'Financials_Applicant 1'!H56+'Financials_Applicant 2'!H56+'Financials_Applicant 3'!H56+'Financials_Applicant 4'!H56</f>
        <v>0</v>
      </c>
      <c r="I56" s="116"/>
    </row>
    <row r="57" spans="1:9" ht="18">
      <c r="A57" s="174" t="s">
        <v>352</v>
      </c>
      <c r="B57" s="166">
        <f>B58+B59</f>
        <v>2</v>
      </c>
      <c r="C57" s="122" t="e">
        <f t="shared" si="4"/>
        <v>#DIV/0!</v>
      </c>
      <c r="D57" s="166">
        <f>D58+D59</f>
        <v>0</v>
      </c>
      <c r="E57" s="122" t="e">
        <f t="shared" si="5"/>
        <v>#DIV/0!</v>
      </c>
      <c r="F57" s="166">
        <f>F58+F59</f>
        <v>0</v>
      </c>
      <c r="G57" s="122" t="e">
        <f t="shared" si="6"/>
        <v>#DIV/0!</v>
      </c>
      <c r="H57" s="166">
        <f>H58+H59</f>
        <v>0</v>
      </c>
      <c r="I57" s="116"/>
    </row>
    <row r="58" spans="1:9" ht="18">
      <c r="A58" s="164" t="s">
        <v>353</v>
      </c>
      <c r="B58" s="122">
        <f>'Financials_Applicant 1'!B58+'Financials_Applicant 2'!B58+'Financials_Applicant 3'!B58+'Financials_Applicant 4'!B58</f>
        <v>1</v>
      </c>
      <c r="C58" s="122" t="e">
        <f t="shared" si="4"/>
        <v>#DIV/0!</v>
      </c>
      <c r="D58" s="122">
        <f>'Financials_Applicant 1'!D58+'Financials_Applicant 2'!D58+'Financials_Applicant 3'!D58+'Financials_Applicant 4'!D58</f>
        <v>0</v>
      </c>
      <c r="E58" s="122" t="e">
        <f t="shared" si="5"/>
        <v>#DIV/0!</v>
      </c>
      <c r="F58" s="122">
        <f>'Financials_Applicant 1'!F58+'Financials_Applicant 2'!F58+'Financials_Applicant 3'!F58+'Financials_Applicant 4'!F58</f>
        <v>0</v>
      </c>
      <c r="G58" s="122" t="e">
        <f t="shared" si="6"/>
        <v>#DIV/0!</v>
      </c>
      <c r="H58" s="122">
        <f>'Financials_Applicant 1'!H58+'Financials_Applicant 2'!H58+'Financials_Applicant 3'!H58+'Financials_Applicant 4'!H58</f>
        <v>0</v>
      </c>
      <c r="I58" s="116"/>
    </row>
    <row r="59" spans="1:9" ht="18">
      <c r="A59" s="164" t="s">
        <v>354</v>
      </c>
      <c r="B59" s="122">
        <f>'Financials_Applicant 1'!B59+'Financials_Applicant 2'!B59+'Financials_Applicant 3'!B59+'Financials_Applicant 4'!B59</f>
        <v>1</v>
      </c>
      <c r="C59" s="122" t="e">
        <f t="shared" si="4"/>
        <v>#DIV/0!</v>
      </c>
      <c r="D59" s="122">
        <f>'Financials_Applicant 1'!D59+'Financials_Applicant 2'!D59+'Financials_Applicant 3'!D59+'Financials_Applicant 4'!D59</f>
        <v>0</v>
      </c>
      <c r="E59" s="122" t="e">
        <f t="shared" si="5"/>
        <v>#DIV/0!</v>
      </c>
      <c r="F59" s="122">
        <f>'Financials_Applicant 1'!F59+'Financials_Applicant 2'!F59+'Financials_Applicant 3'!F59+'Financials_Applicant 4'!F59</f>
        <v>0</v>
      </c>
      <c r="G59" s="122" t="e">
        <f t="shared" si="6"/>
        <v>#DIV/0!</v>
      </c>
      <c r="H59" s="122">
        <f>'Financials_Applicant 1'!H59+'Financials_Applicant 2'!H59+'Financials_Applicant 3'!H59+'Financials_Applicant 4'!H59</f>
        <v>0</v>
      </c>
      <c r="I59" s="116"/>
    </row>
    <row r="60" spans="1:9" ht="18">
      <c r="A60" s="164" t="s">
        <v>355</v>
      </c>
      <c r="B60" s="122">
        <f>'Financials_Applicant 1'!B60+'Financials_Applicant 2'!B60+'Financials_Applicant 3'!B60+'Financials_Applicant 4'!B60</f>
        <v>0</v>
      </c>
      <c r="C60" s="122" t="e">
        <f t="shared" si="4"/>
        <v>#DIV/0!</v>
      </c>
      <c r="D60" s="122">
        <f>'Financials_Applicant 1'!D60+'Financials_Applicant 2'!D60+'Financials_Applicant 3'!D60+'Financials_Applicant 4'!D60</f>
        <v>0</v>
      </c>
      <c r="E60" s="122" t="e">
        <f t="shared" si="5"/>
        <v>#DIV/0!</v>
      </c>
      <c r="F60" s="122">
        <f>'Financials_Applicant 1'!F60+'Financials_Applicant 2'!F60+'Financials_Applicant 3'!F60+'Financials_Applicant 4'!F60</f>
        <v>0</v>
      </c>
      <c r="G60" s="122" t="e">
        <f t="shared" si="6"/>
        <v>#DIV/0!</v>
      </c>
      <c r="H60" s="122">
        <f>'Financials_Applicant 1'!H60+'Financials_Applicant 2'!H60+'Financials_Applicant 3'!H60+'Financials_Applicant 4'!H60</f>
        <v>0</v>
      </c>
      <c r="I60" s="169"/>
    </row>
    <row r="61" spans="1:9" ht="18">
      <c r="A61" s="175" t="s">
        <v>356</v>
      </c>
      <c r="B61" s="176">
        <f>B62+B63</f>
        <v>0</v>
      </c>
      <c r="C61" s="122" t="e">
        <f t="shared" si="4"/>
        <v>#DIV/0!</v>
      </c>
      <c r="D61" s="176">
        <f>D62+D63</f>
        <v>0</v>
      </c>
      <c r="E61" s="122" t="e">
        <f t="shared" si="5"/>
        <v>#DIV/0!</v>
      </c>
      <c r="F61" s="176">
        <f>F62+F63</f>
        <v>0</v>
      </c>
      <c r="G61" s="122" t="e">
        <f t="shared" si="6"/>
        <v>#DIV/0!</v>
      </c>
      <c r="H61" s="176">
        <f>H62+H63</f>
        <v>0</v>
      </c>
      <c r="I61" s="116"/>
    </row>
    <row r="62" spans="1:9" ht="26.25">
      <c r="A62" s="158" t="s">
        <v>357</v>
      </c>
      <c r="B62" s="122">
        <f>'Financials_Applicant 1'!B62+'Financials_Applicant 2'!B62+'Financials_Applicant 3'!B62+'Financials_Applicant 4'!B62</f>
        <v>0</v>
      </c>
      <c r="C62" s="122" t="e">
        <f t="shared" si="4"/>
        <v>#DIV/0!</v>
      </c>
      <c r="D62" s="122">
        <f>'Financials_Applicant 1'!D62+'Financials_Applicant 2'!D62+'Financials_Applicant 3'!D62+'Financials_Applicant 4'!D62</f>
        <v>0</v>
      </c>
      <c r="E62" s="122" t="e">
        <f t="shared" si="5"/>
        <v>#DIV/0!</v>
      </c>
      <c r="F62" s="122">
        <f>'Financials_Applicant 1'!F62+'Financials_Applicant 2'!F62+'Financials_Applicant 3'!F62+'Financials_Applicant 4'!F62</f>
        <v>0</v>
      </c>
      <c r="G62" s="122" t="e">
        <f t="shared" si="6"/>
        <v>#DIV/0!</v>
      </c>
      <c r="H62" s="122">
        <f>'Financials_Applicant 1'!H62+'Financials_Applicant 2'!H62+'Financials_Applicant 3'!H62+'Financials_Applicant 4'!H62</f>
        <v>0</v>
      </c>
      <c r="I62" s="116"/>
    </row>
    <row r="63" spans="1:9" ht="18">
      <c r="A63" s="158" t="s">
        <v>358</v>
      </c>
      <c r="B63" s="122">
        <f>'Financials_Applicant 1'!B63+'Financials_Applicant 2'!B63+'Financials_Applicant 3'!B63+'Financials_Applicant 4'!B63</f>
        <v>0</v>
      </c>
      <c r="C63" s="122" t="e">
        <f t="shared" si="4"/>
        <v>#DIV/0!</v>
      </c>
      <c r="D63" s="122">
        <f>'Financials_Applicant 1'!D63+'Financials_Applicant 2'!D63+'Financials_Applicant 3'!D63+'Financials_Applicant 4'!D63</f>
        <v>0</v>
      </c>
      <c r="E63" s="122" t="e">
        <f t="shared" si="5"/>
        <v>#DIV/0!</v>
      </c>
      <c r="F63" s="122">
        <f>'Financials_Applicant 1'!F63+'Financials_Applicant 2'!F63+'Financials_Applicant 3'!F63+'Financials_Applicant 4'!F63</f>
        <v>0</v>
      </c>
      <c r="G63" s="122" t="e">
        <f t="shared" si="6"/>
        <v>#DIV/0!</v>
      </c>
      <c r="H63" s="122">
        <f>'Financials_Applicant 1'!H63+'Financials_Applicant 2'!H63+'Financials_Applicant 3'!H63+'Financials_Applicant 4'!H63</f>
        <v>0</v>
      </c>
      <c r="I63" s="116"/>
    </row>
    <row r="64" spans="1:9" ht="26.25">
      <c r="A64" s="158" t="s">
        <v>359</v>
      </c>
      <c r="B64" s="122">
        <f>'Financials_Applicant 1'!B64+'Financials_Applicant 2'!B64+'Financials_Applicant 3'!B64+'Financials_Applicant 4'!B64</f>
        <v>0</v>
      </c>
      <c r="C64" s="122" t="e">
        <f t="shared" si="4"/>
        <v>#DIV/0!</v>
      </c>
      <c r="D64" s="122">
        <f>'Financials_Applicant 1'!D64+'Financials_Applicant 2'!D64+'Financials_Applicant 3'!D64+'Financials_Applicant 4'!D64</f>
        <v>0</v>
      </c>
      <c r="E64" s="122" t="e">
        <f t="shared" si="5"/>
        <v>#DIV/0!</v>
      </c>
      <c r="F64" s="122">
        <f>'Financials_Applicant 1'!F64+'Financials_Applicant 2'!F64+'Financials_Applicant 3'!F64+'Financials_Applicant 4'!F64</f>
        <v>0</v>
      </c>
      <c r="G64" s="122" t="e">
        <f t="shared" si="6"/>
        <v>#DIV/0!</v>
      </c>
      <c r="H64" s="122">
        <f>'Financials_Applicant 1'!H64+'Financials_Applicant 2'!H64+'Financials_Applicant 3'!H64+'Financials_Applicant 4'!H64</f>
        <v>0</v>
      </c>
      <c r="I64" s="116"/>
    </row>
    <row r="65" spans="1:10" ht="18">
      <c r="A65" s="202" t="s">
        <v>343</v>
      </c>
      <c r="B65" s="205">
        <f>B49+B50+B54+B64</f>
        <v>2</v>
      </c>
      <c r="C65" s="204" t="e">
        <f t="shared" si="4"/>
        <v>#DIV/0!</v>
      </c>
      <c r="D65" s="205">
        <f>D49+D50+D54+D64</f>
        <v>0</v>
      </c>
      <c r="E65" s="204" t="e">
        <f t="shared" si="5"/>
        <v>#DIV/0!</v>
      </c>
      <c r="F65" s="205">
        <f>F49+F50+F54+F64</f>
        <v>0</v>
      </c>
      <c r="G65" s="204" t="e">
        <f t="shared" si="6"/>
        <v>#DIV/0!</v>
      </c>
      <c r="H65" s="205">
        <f>H49+H50+H54+H64</f>
        <v>0</v>
      </c>
      <c r="I65" s="157"/>
    </row>
    <row r="66" spans="1:10" ht="18">
      <c r="A66" s="177"/>
      <c r="B66" s="177">
        <f>+B48-B65</f>
        <v>33</v>
      </c>
      <c r="C66" s="177"/>
      <c r="D66" s="177">
        <f>+D48-D65</f>
        <v>0</v>
      </c>
      <c r="E66" s="177"/>
      <c r="F66" s="177">
        <f>+F48-F65</f>
        <v>0</v>
      </c>
      <c r="G66" s="177"/>
      <c r="H66" s="177">
        <f>+H48-H65</f>
        <v>0</v>
      </c>
      <c r="I66" s="116"/>
      <c r="J66" s="133"/>
    </row>
    <row r="67" spans="1:10" ht="18">
      <c r="A67" s="737" t="s">
        <v>360</v>
      </c>
      <c r="B67" s="737"/>
      <c r="C67" s="737"/>
      <c r="D67" s="737"/>
      <c r="E67" s="737"/>
      <c r="F67" s="737"/>
      <c r="G67" s="737"/>
      <c r="H67" s="737"/>
      <c r="I67" s="116"/>
    </row>
    <row r="68" spans="1:10" ht="18">
      <c r="A68" s="737"/>
      <c r="B68" s="737"/>
      <c r="C68" s="737"/>
      <c r="D68" s="737"/>
      <c r="E68" s="737"/>
      <c r="F68" s="737"/>
      <c r="G68" s="737"/>
      <c r="H68" s="737"/>
      <c r="I68" s="116"/>
    </row>
    <row r="69" spans="1:10" ht="18.75" thickBot="1">
      <c r="A69" s="178" t="s">
        <v>361</v>
      </c>
      <c r="B69" s="179">
        <f>B57/B5*365</f>
        <v>1.2166686944478241E-3</v>
      </c>
      <c r="C69" s="178"/>
      <c r="D69" s="179">
        <f>D57/D5*365</f>
        <v>0</v>
      </c>
      <c r="E69" s="178"/>
      <c r="F69" s="179" t="e">
        <f>F57/F5*365</f>
        <v>#DIV/0!</v>
      </c>
      <c r="G69" s="178"/>
      <c r="H69" s="179" t="e">
        <f>H57/H5*365</f>
        <v>#DIV/0!</v>
      </c>
      <c r="I69" s="180"/>
    </row>
    <row r="70" spans="1:10" ht="18">
      <c r="A70" s="178" t="s">
        <v>362</v>
      </c>
      <c r="B70" s="179">
        <f>B56/(B10+B11+B12)*365</f>
        <v>0</v>
      </c>
      <c r="C70" s="178"/>
      <c r="D70" s="179">
        <f>D56/(D10+D11+D12)*365</f>
        <v>0</v>
      </c>
      <c r="E70" s="178"/>
      <c r="F70" s="179" t="e">
        <f>F56/(F10+F11+F12)*365</f>
        <v>#DIV/0!</v>
      </c>
      <c r="G70" s="178"/>
      <c r="H70" s="179" t="e">
        <f>H56/(H10+H11+H12)*365</f>
        <v>#DIV/0!</v>
      </c>
      <c r="I70" s="116"/>
    </row>
    <row r="71" spans="1:10" ht="18">
      <c r="A71" s="178" t="s">
        <v>363</v>
      </c>
      <c r="B71" s="179">
        <f>B56/(B11+B10+B12)</f>
        <v>0</v>
      </c>
      <c r="C71" s="178"/>
      <c r="D71" s="179">
        <f>D56/(D11+D10+D12)</f>
        <v>0</v>
      </c>
      <c r="E71" s="178"/>
      <c r="F71" s="179" t="e">
        <f>F56/(F11+F10+F12)</f>
        <v>#DIV/0!</v>
      </c>
      <c r="G71" s="178"/>
      <c r="H71" s="179" t="e">
        <f>H56/(H11+H10+H12)</f>
        <v>#DIV/0!</v>
      </c>
      <c r="I71" s="116"/>
    </row>
    <row r="72" spans="1:10" ht="18.75" thickBot="1">
      <c r="A72" s="178" t="s">
        <v>364</v>
      </c>
      <c r="B72" s="179">
        <f>B54/(B44+B40)</f>
        <v>1</v>
      </c>
      <c r="C72" s="178"/>
      <c r="D72" s="179" t="e">
        <f>D54/(D44+D40)</f>
        <v>#DIV/0!</v>
      </c>
      <c r="E72" s="178"/>
      <c r="F72" s="179" t="e">
        <f>F54/(F44+F40)</f>
        <v>#DIV/0!</v>
      </c>
      <c r="G72" s="178"/>
      <c r="H72" s="179" t="e">
        <f>H54/(H44+H40)</f>
        <v>#DIV/0!</v>
      </c>
      <c r="I72" s="116"/>
    </row>
    <row r="73" spans="1:10" ht="18.75" thickBot="1">
      <c r="A73" s="178" t="s">
        <v>365</v>
      </c>
      <c r="B73" s="179">
        <f>(B54-B56)/(B44+B40)</f>
        <v>1</v>
      </c>
      <c r="C73" s="178"/>
      <c r="D73" s="179" t="e">
        <f>(D54-D56)/(D44+D40)</f>
        <v>#DIV/0!</v>
      </c>
      <c r="E73" s="178"/>
      <c r="F73" s="179" t="e">
        <f>(F54-F56)/(F44+F40)</f>
        <v>#DIV/0!</v>
      </c>
      <c r="G73" s="178"/>
      <c r="H73" s="179" t="e">
        <f>(H54-H56)/(H44+H40)</f>
        <v>#DIV/0!</v>
      </c>
      <c r="I73" s="181"/>
    </row>
    <row r="74" spans="1:10" ht="18.75" thickBot="1">
      <c r="A74" s="178" t="s">
        <v>366</v>
      </c>
      <c r="B74" s="179">
        <f>(B39+B40+B42)/B36</f>
        <v>0.54545454545454541</v>
      </c>
      <c r="C74" s="178"/>
      <c r="D74" s="179" t="e">
        <f>(D39+D40+D42)/D36</f>
        <v>#DIV/0!</v>
      </c>
      <c r="E74" s="178"/>
      <c r="F74" s="179" t="e">
        <f>(F39+F40+F42)/F36</f>
        <v>#DIV/0!</v>
      </c>
      <c r="G74" s="178"/>
      <c r="H74" s="179" t="e">
        <f>(H39+H40+H42)/H36</f>
        <v>#DIV/0!</v>
      </c>
      <c r="I74" s="181"/>
    </row>
    <row r="75" spans="1:10" ht="18">
      <c r="A75" s="178" t="s">
        <v>367</v>
      </c>
      <c r="B75" s="179">
        <f>B16/(B18+B19+B20+B21)</f>
        <v>14613.658536585366</v>
      </c>
      <c r="C75" s="178"/>
      <c r="D75" s="179">
        <f>D16/(D18+D19+D20+D21)</f>
        <v>1.4878048780487805</v>
      </c>
      <c r="E75" s="178"/>
      <c r="F75" s="179">
        <f>F16/(F18+F19+F20+F21)</f>
        <v>0</v>
      </c>
      <c r="G75" s="178"/>
      <c r="H75" s="179">
        <f>H16/(H18+H19+H20+H21)</f>
        <v>0</v>
      </c>
      <c r="I75" s="116"/>
    </row>
    <row r="76" spans="1:10" ht="18">
      <c r="A76" s="178" t="s">
        <v>368</v>
      </c>
      <c r="B76" s="179">
        <f>$B$16/($B$18+$B$19+$B$20+$B$21+($B$39+$B$42)/5)</f>
        <v>13869.444444444443</v>
      </c>
      <c r="C76" s="178"/>
      <c r="D76" s="179">
        <f>$D$16/($D$18+$D$19+$D$20+$D$21+($D$39+$D$42)/5)</f>
        <v>1.4878048780487805</v>
      </c>
      <c r="E76" s="178"/>
      <c r="F76" s="179">
        <f>$F$16/($F$18+$F$19+$F$20+$F$21+($F$39+$F$42)/5)</f>
        <v>0</v>
      </c>
      <c r="G76" s="178"/>
      <c r="H76" s="179">
        <f>$H$16/($H$18+$H$19+$H$20+$H$21+($H$39+$H$42)/5)</f>
        <v>0</v>
      </c>
      <c r="I76" s="116"/>
    </row>
    <row r="77" spans="1:10" ht="18">
      <c r="A77" s="178" t="s">
        <v>369</v>
      </c>
      <c r="B77" s="179">
        <f>$B$16/($B$18+$B$19+$B$20+$B$21+($B$39+$B$42)/5+('Normal &amp; CGTMSE Eligibility'!F43))</f>
        <v>6.1364069307518827</v>
      </c>
      <c r="C77" s="178"/>
      <c r="D77" s="179">
        <f>$D$16/($D$18+$D$19+$D$20+$D$21+($D$39+$D$42)/5+('Normal &amp; CGTMSE Eligibility'!F43))</f>
        <v>6.2475675454228886E-4</v>
      </c>
      <c r="E77" s="178"/>
      <c r="F77" s="179">
        <f>$F$16/($F$18+$F$19+$F$20+$F$21+($F$39+$F$42)/5+('Normal &amp; CGTMSE Eligibility'!F43))</f>
        <v>0</v>
      </c>
      <c r="G77" s="178"/>
      <c r="H77" s="179">
        <f>$H$16/($H$18+$H$19+$H$20+$H$21+($H$39+$H$42)/5+('Normal &amp; CGTMSE Eligibility'!F43))</f>
        <v>0</v>
      </c>
      <c r="I77" s="116"/>
    </row>
    <row r="78" spans="1:10" ht="18">
      <c r="A78" s="178" t="s">
        <v>370</v>
      </c>
      <c r="B78" s="179">
        <f>(B13-B7)/B5*100</f>
        <v>99.860166433610715</v>
      </c>
      <c r="C78" s="178"/>
      <c r="D78" s="179">
        <f>(D13-D7)/D5*100</f>
        <v>8.7142857142857153</v>
      </c>
      <c r="E78" s="178"/>
      <c r="F78" s="179" t="e">
        <f>(F13-F7)/F5*100</f>
        <v>#DIV/0!</v>
      </c>
      <c r="G78" s="178"/>
      <c r="H78" s="179" t="e">
        <f>(H13-H7)/H5*100</f>
        <v>#DIV/0!</v>
      </c>
      <c r="I78" s="116"/>
    </row>
    <row r="79" spans="1:10" ht="18">
      <c r="A79" s="178" t="s">
        <v>371</v>
      </c>
      <c r="B79" s="179">
        <f>(B25-B7)/B5*100</f>
        <v>99.851166418610688</v>
      </c>
      <c r="C79" s="178"/>
      <c r="D79" s="179">
        <f>(D25-D7)/D5*100</f>
        <v>1.107142857142857</v>
      </c>
      <c r="E79" s="178"/>
      <c r="F79" s="179" t="e">
        <f>(F25-F7)/F5*100</f>
        <v>#DIV/0!</v>
      </c>
      <c r="G79" s="178"/>
      <c r="H79" s="179" t="e">
        <f>(H25-H7)/H5*100</f>
        <v>#DIV/0!</v>
      </c>
      <c r="I79" s="116"/>
    </row>
    <row r="80" spans="1:10" ht="18">
      <c r="A80" s="178" t="s">
        <v>372</v>
      </c>
      <c r="B80" s="179">
        <f>(B26-B7)/B5*100</f>
        <v>99.852333087221808</v>
      </c>
      <c r="C80" s="178"/>
      <c r="D80" s="179">
        <f>(D26-D7)/D5*100</f>
        <v>2</v>
      </c>
      <c r="E80" s="178"/>
      <c r="F80" s="179" t="e">
        <f>(F26-F7)/F5*100</f>
        <v>#DIV/0!</v>
      </c>
      <c r="G80" s="178"/>
      <c r="H80" s="179" t="e">
        <f>(H26-H7)/H5*100</f>
        <v>#DIV/0!</v>
      </c>
      <c r="I80" s="116"/>
    </row>
    <row r="81" spans="1:10" ht="18">
      <c r="A81" s="178" t="s">
        <v>373</v>
      </c>
      <c r="B81" s="182">
        <f>(B5-D5)/D5*100</f>
        <v>85614.142857142855</v>
      </c>
      <c r="C81" s="183"/>
      <c r="D81" s="182" t="e">
        <f>(D5-F5)/F5*100</f>
        <v>#DIV/0!</v>
      </c>
      <c r="E81" s="183"/>
      <c r="F81" s="182" t="e">
        <f>#N/A</f>
        <v>#N/A</v>
      </c>
      <c r="G81" s="183"/>
      <c r="H81" s="182" t="e">
        <f>#N/A</f>
        <v>#N/A</v>
      </c>
      <c r="I81" s="116"/>
      <c r="J81" s="133"/>
    </row>
    <row r="82" spans="1:10" ht="18">
      <c r="A82" s="178" t="s">
        <v>374</v>
      </c>
      <c r="B82" s="182">
        <f>(B25-D25)/D25*100</f>
        <v>4698809.8039215682</v>
      </c>
      <c r="C82" s="183"/>
      <c r="D82" s="182">
        <f>(D25-F25)/F25*100</f>
        <v>-737.5</v>
      </c>
      <c r="E82" s="183"/>
      <c r="F82" s="182" t="e">
        <f>#N/A</f>
        <v>#N/A</v>
      </c>
      <c r="G82" s="183"/>
      <c r="H82" s="182" t="e">
        <f>#N/A</f>
        <v>#N/A</v>
      </c>
      <c r="I82" s="116"/>
    </row>
    <row r="83" spans="1:10" ht="18">
      <c r="A83" s="178"/>
      <c r="B83" s="179"/>
      <c r="C83" s="178"/>
      <c r="D83" s="179"/>
      <c r="E83" s="178"/>
      <c r="F83" s="179"/>
      <c r="G83" s="178"/>
      <c r="H83" s="179"/>
      <c r="I83" s="116"/>
    </row>
    <row r="84" spans="1:10" ht="18">
      <c r="A84" s="184" t="s">
        <v>375</v>
      </c>
      <c r="B84" s="179"/>
      <c r="C84" s="178"/>
      <c r="D84" s="179"/>
      <c r="E84" s="178"/>
      <c r="F84" s="179"/>
      <c r="G84" s="178"/>
      <c r="H84" s="179"/>
      <c r="I84" s="116"/>
    </row>
    <row r="85" spans="1:10" ht="18">
      <c r="A85" s="184"/>
      <c r="B85" s="179"/>
      <c r="C85" s="178"/>
      <c r="D85" s="179"/>
      <c r="E85" s="178"/>
      <c r="F85" s="179"/>
      <c r="G85" s="178"/>
      <c r="H85" s="179"/>
      <c r="I85" s="116"/>
    </row>
    <row r="86" spans="1:10" ht="18">
      <c r="A86" s="178" t="s">
        <v>376</v>
      </c>
      <c r="B86" s="179">
        <f>B25</f>
        <v>599111</v>
      </c>
      <c r="C86" s="178"/>
      <c r="D86" s="179">
        <f>D25</f>
        <v>12.75</v>
      </c>
      <c r="E86" s="178"/>
      <c r="F86" s="179">
        <f>F25</f>
        <v>-2</v>
      </c>
      <c r="G86" s="178"/>
      <c r="H86" s="179">
        <f>H25</f>
        <v>-2</v>
      </c>
      <c r="I86" s="116"/>
    </row>
    <row r="87" spans="1:10" ht="18">
      <c r="A87" s="178" t="s">
        <v>377</v>
      </c>
      <c r="B87" s="179"/>
      <c r="C87" s="178"/>
      <c r="D87" s="179"/>
      <c r="E87" s="178"/>
      <c r="F87" s="179"/>
      <c r="G87" s="178"/>
      <c r="H87" s="179"/>
      <c r="I87" s="116"/>
    </row>
    <row r="88" spans="1:10" ht="18">
      <c r="A88" s="178" t="s">
        <v>378</v>
      </c>
      <c r="B88" s="179">
        <f>B17</f>
        <v>1</v>
      </c>
      <c r="C88" s="178"/>
      <c r="D88" s="179">
        <f>D17</f>
        <v>0.25</v>
      </c>
      <c r="E88" s="178"/>
      <c r="F88" s="179">
        <f>F17</f>
        <v>0</v>
      </c>
      <c r="G88" s="178"/>
      <c r="H88" s="179">
        <f>H17</f>
        <v>0</v>
      </c>
      <c r="I88" s="116"/>
    </row>
    <row r="89" spans="1:10" ht="18">
      <c r="A89" s="178" t="s">
        <v>379</v>
      </c>
      <c r="B89" s="179">
        <f>B22</f>
        <v>6</v>
      </c>
      <c r="C89" s="178"/>
      <c r="D89" s="179">
        <f>D22</f>
        <v>6</v>
      </c>
      <c r="E89" s="178"/>
      <c r="F89" s="179">
        <f>F22</f>
        <v>0</v>
      </c>
      <c r="G89" s="178"/>
      <c r="H89" s="179">
        <f>H22</f>
        <v>0</v>
      </c>
      <c r="I89" s="116"/>
    </row>
    <row r="90" spans="1:10" ht="18">
      <c r="A90" s="178" t="s">
        <v>380</v>
      </c>
      <c r="B90" s="179">
        <f>B27</f>
        <v>1</v>
      </c>
      <c r="C90" s="178"/>
      <c r="D90" s="179">
        <f>D27</f>
        <v>1</v>
      </c>
      <c r="E90" s="178"/>
      <c r="F90" s="179">
        <f>F27</f>
        <v>0</v>
      </c>
      <c r="G90" s="178"/>
      <c r="H90" s="179">
        <f>H27</f>
        <v>0</v>
      </c>
      <c r="I90" s="116"/>
    </row>
    <row r="91" spans="1:10" ht="18">
      <c r="A91" s="178" t="s">
        <v>381</v>
      </c>
      <c r="B91" s="179">
        <f>B28</f>
        <v>1</v>
      </c>
      <c r="C91" s="178"/>
      <c r="D91" s="179">
        <f>D28</f>
        <v>1</v>
      </c>
      <c r="E91" s="178"/>
      <c r="F91" s="179">
        <f>F28</f>
        <v>0</v>
      </c>
      <c r="G91" s="178"/>
      <c r="H91" s="179">
        <f>H28</f>
        <v>0</v>
      </c>
      <c r="I91" s="116"/>
    </row>
    <row r="92" spans="1:10" ht="18">
      <c r="A92" s="178" t="s">
        <v>382</v>
      </c>
      <c r="B92" s="179">
        <f>B24</f>
        <v>1</v>
      </c>
      <c r="C92" s="178"/>
      <c r="D92" s="179">
        <f>D24</f>
        <v>1</v>
      </c>
      <c r="E92" s="178"/>
      <c r="F92" s="179">
        <f>F24</f>
        <v>0</v>
      </c>
      <c r="G92" s="178"/>
      <c r="H92" s="179">
        <f>H24</f>
        <v>0</v>
      </c>
      <c r="I92" s="116"/>
    </row>
    <row r="93" spans="1:10" ht="18">
      <c r="A93" s="178" t="s">
        <v>383</v>
      </c>
      <c r="B93" s="179">
        <f>B18+B19+B20+B21</f>
        <v>41</v>
      </c>
      <c r="C93" s="178"/>
      <c r="D93" s="179">
        <f>D18+D19+D20+D21</f>
        <v>41</v>
      </c>
      <c r="E93" s="178"/>
      <c r="F93" s="179">
        <f>F18+F19+F20+F21</f>
        <v>2</v>
      </c>
      <c r="G93" s="178"/>
      <c r="H93" s="179">
        <f>H18+H19+H20+H21</f>
        <v>2</v>
      </c>
      <c r="I93" s="116"/>
    </row>
    <row r="94" spans="1:10" ht="26.25">
      <c r="A94" s="185" t="s">
        <v>384</v>
      </c>
      <c r="B94" s="186">
        <f>-B7</f>
        <v>-5</v>
      </c>
      <c r="C94" s="184"/>
      <c r="D94" s="186">
        <f>-D7</f>
        <v>-5</v>
      </c>
      <c r="E94" s="184"/>
      <c r="F94" s="186">
        <f>-F7</f>
        <v>0</v>
      </c>
      <c r="G94" s="184"/>
      <c r="H94" s="186">
        <f>-H7</f>
        <v>0</v>
      </c>
      <c r="I94" s="157"/>
    </row>
    <row r="95" spans="1:10" ht="18">
      <c r="A95" s="185"/>
      <c r="B95" s="186"/>
      <c r="C95" s="184"/>
      <c r="D95" s="186"/>
      <c r="E95" s="184"/>
      <c r="F95" s="186"/>
      <c r="G95" s="184"/>
      <c r="H95" s="186"/>
      <c r="I95" s="157"/>
    </row>
    <row r="96" spans="1:10" ht="18">
      <c r="A96" s="178" t="s">
        <v>385</v>
      </c>
      <c r="B96" s="179">
        <f>SUM(B86:B94)</f>
        <v>599157</v>
      </c>
      <c r="C96" s="178"/>
      <c r="D96" s="179">
        <f>SUM(D86:D94)</f>
        <v>58</v>
      </c>
      <c r="E96" s="178"/>
      <c r="F96" s="179">
        <f>SUM(F86:F94)</f>
        <v>0</v>
      </c>
      <c r="G96" s="178"/>
      <c r="H96" s="179">
        <f>SUM(H86:H94)</f>
        <v>0</v>
      </c>
      <c r="I96" s="116"/>
    </row>
    <row r="97" spans="1:9" ht="18">
      <c r="A97" s="178" t="s">
        <v>386</v>
      </c>
      <c r="B97" s="179">
        <f>D57-B57</f>
        <v>-2</v>
      </c>
      <c r="C97" s="178"/>
      <c r="D97" s="179">
        <f>F57-D57</f>
        <v>0</v>
      </c>
      <c r="E97" s="178"/>
      <c r="F97" s="179">
        <f>J57-F57</f>
        <v>0</v>
      </c>
      <c r="G97" s="178"/>
      <c r="H97" s="179">
        <f>L57-H57</f>
        <v>0</v>
      </c>
      <c r="I97" s="116"/>
    </row>
    <row r="98" spans="1:9" ht="18">
      <c r="A98" s="178" t="s">
        <v>387</v>
      </c>
      <c r="B98" s="179">
        <f>D56-B56</f>
        <v>0</v>
      </c>
      <c r="C98" s="178"/>
      <c r="D98" s="179">
        <f>F56-D56</f>
        <v>0</v>
      </c>
      <c r="E98" s="178"/>
      <c r="F98" s="179">
        <f>J56-F56</f>
        <v>0</v>
      </c>
      <c r="G98" s="178"/>
      <c r="H98" s="179">
        <f>L56-H56</f>
        <v>0</v>
      </c>
      <c r="I98" s="116"/>
    </row>
    <row r="99" spans="1:9" ht="18">
      <c r="A99" s="178" t="s">
        <v>388</v>
      </c>
      <c r="B99" s="179">
        <f>D61-B61</f>
        <v>0</v>
      </c>
      <c r="C99" s="178"/>
      <c r="D99" s="179">
        <f>F61-D61</f>
        <v>0</v>
      </c>
      <c r="E99" s="178"/>
      <c r="F99" s="179">
        <f>J61-F61</f>
        <v>0</v>
      </c>
      <c r="G99" s="178"/>
      <c r="H99" s="179">
        <f>L61-H61</f>
        <v>0</v>
      </c>
      <c r="I99" s="116"/>
    </row>
    <row r="100" spans="1:9" ht="18">
      <c r="A100" s="178" t="s">
        <v>389</v>
      </c>
      <c r="B100" s="179">
        <f>B44-D44</f>
        <v>1</v>
      </c>
      <c r="C100" s="178"/>
      <c r="D100" s="179">
        <f>D44-F44</f>
        <v>0</v>
      </c>
      <c r="E100" s="178"/>
      <c r="F100" s="179">
        <f>F44-J44</f>
        <v>0</v>
      </c>
      <c r="G100" s="178"/>
      <c r="H100" s="179">
        <f>H44-L44</f>
        <v>0</v>
      </c>
      <c r="I100" s="116"/>
    </row>
    <row r="101" spans="1:9" ht="18">
      <c r="A101" s="178" t="s">
        <v>390</v>
      </c>
      <c r="B101" s="179">
        <f>SUM(B97:B100)</f>
        <v>-1</v>
      </c>
      <c r="C101" s="178"/>
      <c r="D101" s="179">
        <f>SUM(D97:D100)</f>
        <v>0</v>
      </c>
      <c r="E101" s="178"/>
      <c r="F101" s="179">
        <f>SUM(F97:F100)</f>
        <v>0</v>
      </c>
      <c r="G101" s="178"/>
      <c r="H101" s="179">
        <f>SUM(H97:H100)</f>
        <v>0</v>
      </c>
      <c r="I101" s="116"/>
    </row>
    <row r="102" spans="1:9" ht="18">
      <c r="A102" s="184" t="s">
        <v>391</v>
      </c>
      <c r="B102" s="186">
        <f>B96+B101</f>
        <v>599156</v>
      </c>
      <c r="C102" s="184"/>
      <c r="D102" s="186">
        <f>D96+D101</f>
        <v>58</v>
      </c>
      <c r="E102" s="184"/>
      <c r="F102" s="186">
        <f>F96+F101</f>
        <v>0</v>
      </c>
      <c r="G102" s="184"/>
      <c r="H102" s="186">
        <f>H96+H101</f>
        <v>0</v>
      </c>
      <c r="I102" s="157"/>
    </row>
    <row r="103" spans="1:9" ht="18">
      <c r="A103" s="184"/>
      <c r="B103" s="186"/>
      <c r="C103" s="184"/>
      <c r="D103" s="186"/>
      <c r="E103" s="184"/>
      <c r="F103" s="186"/>
      <c r="G103" s="184"/>
      <c r="H103" s="186"/>
      <c r="I103" s="157"/>
    </row>
    <row r="104" spans="1:9" ht="18">
      <c r="A104" s="178" t="s">
        <v>392</v>
      </c>
      <c r="B104" s="179">
        <f>B24</f>
        <v>1</v>
      </c>
      <c r="C104" s="178"/>
      <c r="D104" s="179">
        <f>D24</f>
        <v>1</v>
      </c>
      <c r="E104" s="178"/>
      <c r="F104" s="179">
        <f>F24</f>
        <v>0</v>
      </c>
      <c r="G104" s="178"/>
      <c r="H104" s="179">
        <f>H24</f>
        <v>0</v>
      </c>
      <c r="I104" s="116"/>
    </row>
    <row r="105" spans="1:9" ht="18">
      <c r="A105" s="178"/>
      <c r="B105" s="179"/>
      <c r="C105" s="178"/>
      <c r="D105" s="179"/>
      <c r="E105" s="178"/>
      <c r="F105" s="179"/>
      <c r="G105" s="178"/>
      <c r="H105" s="179"/>
      <c r="I105" s="116"/>
    </row>
    <row r="106" spans="1:9" ht="18">
      <c r="A106" s="184" t="s">
        <v>393</v>
      </c>
      <c r="B106" s="179">
        <f>B102-B104</f>
        <v>599155</v>
      </c>
      <c r="C106" s="178"/>
      <c r="D106" s="179">
        <f>D102-D104</f>
        <v>57</v>
      </c>
      <c r="E106" s="178"/>
      <c r="F106" s="179">
        <f>F102-F104</f>
        <v>0</v>
      </c>
      <c r="G106" s="178"/>
      <c r="H106" s="179">
        <f>H102-H104</f>
        <v>0</v>
      </c>
      <c r="I106" s="116"/>
    </row>
    <row r="107" spans="1:9" ht="18"/>
    <row r="108" spans="1:9" ht="18">
      <c r="A108" s="187"/>
      <c r="B108" s="188"/>
    </row>
    <row r="109" spans="1:9" ht="18">
      <c r="C109" s="189"/>
      <c r="E109" s="190"/>
      <c r="G109" s="190"/>
    </row>
    <row r="110" spans="1:9" ht="18">
      <c r="C110" s="189"/>
    </row>
    <row r="111" spans="1:9" ht="18">
      <c r="C111" s="191"/>
    </row>
    <row r="112" spans="1:9" ht="18">
      <c r="C112" s="133"/>
    </row>
    <row r="113" spans="3:3" ht="18">
      <c r="C113" s="192"/>
    </row>
    <row r="114" spans="3:3" ht="18">
      <c r="C114" s="192"/>
    </row>
    <row r="115" spans="3:3" ht="18">
      <c r="C115" s="192"/>
    </row>
  </sheetData>
  <mergeCells count="9">
    <mergeCell ref="A67:H68"/>
    <mergeCell ref="A1:H2"/>
    <mergeCell ref="I1:I2"/>
    <mergeCell ref="A3:A4"/>
    <mergeCell ref="A32:A33"/>
    <mergeCell ref="B32:B33"/>
    <mergeCell ref="D32:D33"/>
    <mergeCell ref="F32:F33"/>
    <mergeCell ref="H32:H33"/>
  </mergeCells>
  <pageMargins left="0.78749999999999998" right="0.78749999999999998" top="1.0249999999999999" bottom="1.0249999999999999" header="0.78749999999999998" footer="0.78749999999999998"/>
  <pageSetup scale="58" firstPageNumber="0" orientation="portrait" horizontalDpi="300" verticalDpi="300" r:id="rId1"/>
  <headerFooter alignWithMargins="0">
    <oddHeader>&amp;C&amp;"Arial,Regular"&amp;10&amp;A</oddHeader>
    <oddFooter>&amp;C&amp;"Arial,Regular"&amp;10Page &amp;P</oddFooter>
  </headerFooter>
  <rowBreaks count="2" manualBreakCount="2">
    <brk id="30" max="16383" man="1"/>
    <brk id="66"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1:I34"/>
  <sheetViews>
    <sheetView topLeftCell="A4" workbookViewId="0">
      <selection activeCell="B18" sqref="B18"/>
    </sheetView>
  </sheetViews>
  <sheetFormatPr defaultRowHeight="15"/>
  <cols>
    <col min="1" max="1" width="41.85546875" customWidth="1"/>
    <col min="2" max="2" width="30.7109375" customWidth="1"/>
    <col min="3" max="3" width="21.42578125" bestFit="1" customWidth="1"/>
  </cols>
  <sheetData>
    <row r="1" spans="1:9" ht="15.75" thickBot="1">
      <c r="A1" t="s">
        <v>1</v>
      </c>
    </row>
    <row r="2" spans="1:9" ht="16.5" thickTop="1" thickBot="1">
      <c r="A2" s="748" t="s">
        <v>569</v>
      </c>
      <c r="B2" s="749"/>
    </row>
    <row r="3" spans="1:9" ht="15.75" thickTop="1">
      <c r="A3" s="750" t="s">
        <v>604</v>
      </c>
      <c r="B3" s="751"/>
    </row>
    <row r="4" spans="1:9" ht="15.75" thickBot="1">
      <c r="A4" s="752" t="s">
        <v>0</v>
      </c>
      <c r="B4" s="753"/>
    </row>
    <row r="5" spans="1:9" ht="16.5" thickTop="1" thickBot="1">
      <c r="A5" s="1" t="s">
        <v>638</v>
      </c>
      <c r="B5" s="217">
        <f ca="1">TODAY()</f>
        <v>44519</v>
      </c>
    </row>
    <row r="6" spans="1:9" ht="16.5" thickTop="1" thickBot="1">
      <c r="A6" s="1" t="s">
        <v>2</v>
      </c>
      <c r="B6" s="206"/>
    </row>
    <row r="7" spans="1:9" ht="16.5" thickTop="1" thickBot="1">
      <c r="A7" s="2" t="s">
        <v>570</v>
      </c>
      <c r="B7" s="206"/>
    </row>
    <row r="8" spans="1:9" ht="16.5" thickTop="1" thickBot="1">
      <c r="A8" s="2" t="s">
        <v>3</v>
      </c>
      <c r="B8" s="206"/>
    </row>
    <row r="9" spans="1:9" ht="16.5" thickTop="1" thickBot="1">
      <c r="A9" s="2" t="s">
        <v>4</v>
      </c>
      <c r="B9" s="206"/>
      <c r="C9" t="s">
        <v>5</v>
      </c>
    </row>
    <row r="10" spans="1:9" ht="16.5" thickTop="1" thickBot="1">
      <c r="A10" s="2" t="s">
        <v>617</v>
      </c>
      <c r="B10" s="206"/>
    </row>
    <row r="11" spans="1:9" ht="16.5" thickTop="1" thickBot="1">
      <c r="A11" s="2" t="s">
        <v>579</v>
      </c>
      <c r="B11" s="206"/>
    </row>
    <row r="12" spans="1:9" ht="16.5" thickTop="1" thickBot="1">
      <c r="A12" s="2" t="s">
        <v>670</v>
      </c>
      <c r="B12" s="206"/>
    </row>
    <row r="13" spans="1:9" ht="16.5" thickTop="1" thickBot="1">
      <c r="A13" s="2" t="s">
        <v>671</v>
      </c>
      <c r="B13" s="206"/>
      <c r="C13" t="s">
        <v>882</v>
      </c>
    </row>
    <row r="14" spans="1:9" ht="16.5" thickTop="1" thickBot="1">
      <c r="A14" s="2" t="s">
        <v>607</v>
      </c>
      <c r="B14" s="206">
        <v>180</v>
      </c>
      <c r="C14" t="s">
        <v>606</v>
      </c>
    </row>
    <row r="15" spans="1:9" ht="16.5" thickTop="1" thickBot="1">
      <c r="A15" s="2" t="s">
        <v>605</v>
      </c>
      <c r="B15" s="216">
        <v>8.3500000000000005E-2</v>
      </c>
      <c r="C15" t="s">
        <v>606</v>
      </c>
    </row>
    <row r="16" spans="1:9" ht="27.75" thickTop="1" thickBot="1">
      <c r="A16" s="2" t="s">
        <v>589</v>
      </c>
      <c r="B16" s="206"/>
      <c r="I16" s="44" t="s">
        <v>157</v>
      </c>
    </row>
    <row r="17" spans="1:9" ht="27.75" thickTop="1" thickBot="1">
      <c r="A17" s="2" t="s">
        <v>590</v>
      </c>
      <c r="B17" s="206"/>
      <c r="I17" s="44"/>
    </row>
    <row r="18" spans="1:9" ht="27.75" thickTop="1" thickBot="1">
      <c r="A18" s="2" t="s">
        <v>591</v>
      </c>
      <c r="B18" s="206">
        <v>5000</v>
      </c>
      <c r="I18" s="44"/>
    </row>
    <row r="19" spans="1:9" ht="15.75" thickTop="1">
      <c r="A19" s="745" t="s">
        <v>13</v>
      </c>
      <c r="B19" s="746"/>
      <c r="C19" s="747"/>
    </row>
    <row r="20" spans="1:9" ht="15.75" thickBot="1">
      <c r="A20" s="3" t="s">
        <v>17</v>
      </c>
      <c r="B20" s="4" t="s">
        <v>14</v>
      </c>
      <c r="C20" s="5" t="s">
        <v>15</v>
      </c>
    </row>
    <row r="21" spans="1:9" ht="16.5" thickTop="1" thickBot="1">
      <c r="A21" s="2" t="s">
        <v>6</v>
      </c>
      <c r="B21" s="754"/>
      <c r="C21" s="755"/>
    </row>
    <row r="22" spans="1:9" ht="16.5" thickTop="1" thickBot="1">
      <c r="A22" s="2" t="s">
        <v>592</v>
      </c>
      <c r="B22" s="206"/>
      <c r="C22" s="207"/>
    </row>
    <row r="23" spans="1:9" ht="16.5" thickTop="1" thickBot="1">
      <c r="A23" s="2" t="s">
        <v>593</v>
      </c>
      <c r="B23" s="206"/>
      <c r="C23" s="207"/>
    </row>
    <row r="24" spans="1:9" ht="16.5" thickTop="1" thickBot="1">
      <c r="A24" s="2" t="s">
        <v>594</v>
      </c>
      <c r="B24" s="206"/>
      <c r="C24" s="207"/>
    </row>
    <row r="25" spans="1:9" ht="16.5" thickTop="1" thickBot="1">
      <c r="A25" s="2" t="s">
        <v>156</v>
      </c>
      <c r="B25" s="206"/>
      <c r="C25" s="207"/>
    </row>
    <row r="26" spans="1:9" ht="16.5" thickTop="1" thickBot="1">
      <c r="A26" s="2" t="s">
        <v>595</v>
      </c>
      <c r="B26" s="206"/>
      <c r="C26" s="207"/>
    </row>
    <row r="27" spans="1:9" ht="16.5" thickTop="1" thickBot="1">
      <c r="A27" s="6" t="s">
        <v>11</v>
      </c>
      <c r="B27" s="208"/>
      <c r="C27" s="209"/>
    </row>
    <row r="28" spans="1:9" ht="28.5" customHeight="1" thickBot="1">
      <c r="A28" s="743" t="s">
        <v>16</v>
      </c>
      <c r="B28" s="744"/>
    </row>
    <row r="29" spans="1:9" ht="16.5" thickTop="1" thickBot="1">
      <c r="A29" s="2" t="s">
        <v>592</v>
      </c>
      <c r="B29" s="206"/>
    </row>
    <row r="30" spans="1:9" ht="16.5" thickTop="1" thickBot="1">
      <c r="A30" s="2" t="s">
        <v>593</v>
      </c>
      <c r="B30" s="206"/>
    </row>
    <row r="31" spans="1:9" ht="16.5" thickTop="1" thickBot="1">
      <c r="A31" s="2" t="s">
        <v>156</v>
      </c>
      <c r="B31" s="206"/>
    </row>
    <row r="32" spans="1:9" ht="16.5" thickTop="1" thickBot="1">
      <c r="A32" s="2" t="s">
        <v>595</v>
      </c>
      <c r="B32" s="206"/>
    </row>
    <row r="33" spans="1:2" ht="16.5" thickTop="1" thickBot="1">
      <c r="A33" s="2" t="s">
        <v>11</v>
      </c>
      <c r="B33" s="206"/>
    </row>
    <row r="34" spans="1:2" ht="15.75" thickTop="1"/>
  </sheetData>
  <mergeCells count="6">
    <mergeCell ref="A28:B28"/>
    <mergeCell ref="A19:C19"/>
    <mergeCell ref="A2:B2"/>
    <mergeCell ref="A3:B3"/>
    <mergeCell ref="A4:B4"/>
    <mergeCell ref="B21:C21"/>
  </mergeCells>
  <dataValidations count="1">
    <dataValidation type="decimal" allowBlank="1" showInputMessage="1" showErrorMessage="1" sqref="B16:B17" xr:uid="{00000000-0002-0000-0500-000000000000}">
      <formula1>8</formula1>
      <formula2>14</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500-000001000000}">
          <x14:formula1>
            <xm:f>Masters!$B$99:$B$101</xm:f>
          </x14:formula1>
          <xm:sqref>B8</xm:sqref>
        </x14:dataValidation>
        <x14:dataValidation type="list" allowBlank="1" showInputMessage="1" showErrorMessage="1" xr:uid="{00000000-0002-0000-0500-000002000000}">
          <x14:formula1>
            <xm:f>Masters!$B$19:$B$20</xm:f>
          </x14:formula1>
          <xm:sqref>B11</xm:sqref>
        </x14:dataValidation>
        <x14:dataValidation type="list" allowBlank="1" showInputMessage="1" showErrorMessage="1" xr:uid="{00000000-0002-0000-0500-000003000000}">
          <x14:formula1>
            <xm:f>Masters!$B$2:$B$16</xm:f>
          </x14:formula1>
          <xm:sqref>B9</xm:sqref>
        </x14:dataValidation>
        <x14:dataValidation type="list" allowBlank="1" showInputMessage="1" showErrorMessage="1" xr:uid="{00000000-0002-0000-0500-000004000000}">
          <x14:formula1>
            <xm:f>Masters!$B$22:$B$32</xm:f>
          </x14:formula1>
          <xm:sqref>B10</xm:sqref>
        </x14:dataValidation>
        <x14:dataValidation type="list" allowBlank="1" showInputMessage="1" showErrorMessage="1" xr:uid="{00000000-0002-0000-0500-000005000000}">
          <x14:formula1>
            <xm:f>Masters!$B$34:$B$37</xm:f>
          </x14:formula1>
          <xm:sqref>B12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2"/>
  <dimension ref="A2:P101"/>
  <sheetViews>
    <sheetView workbookViewId="0">
      <selection activeCell="B2" sqref="B2:B14"/>
    </sheetView>
  </sheetViews>
  <sheetFormatPr defaultRowHeight="15"/>
  <cols>
    <col min="1" max="1" width="48.5703125" bestFit="1" customWidth="1"/>
    <col min="2" max="2" width="34.28515625" customWidth="1"/>
    <col min="3" max="3" width="16.7109375" bestFit="1" customWidth="1"/>
    <col min="4" max="4" width="13.28515625" bestFit="1" customWidth="1"/>
    <col min="5" max="5" width="16.7109375" bestFit="1" customWidth="1"/>
    <col min="6" max="6" width="11.7109375" bestFit="1" customWidth="1"/>
    <col min="7" max="7" width="20.140625" customWidth="1"/>
    <col min="8" max="8" width="19.5703125" customWidth="1"/>
    <col min="9" max="9" width="17.28515625" customWidth="1"/>
    <col min="10" max="10" width="16.5703125" customWidth="1"/>
    <col min="11" max="11" width="26.28515625" bestFit="1" customWidth="1"/>
    <col min="13" max="13" width="20.28515625" customWidth="1"/>
    <col min="14" max="14" width="19.7109375" customWidth="1"/>
    <col min="15" max="15" width="21.5703125" customWidth="1"/>
    <col min="16" max="16" width="19.85546875" customWidth="1"/>
  </cols>
  <sheetData>
    <row r="2" spans="1:2">
      <c r="A2" t="s">
        <v>574</v>
      </c>
      <c r="B2" t="s">
        <v>575</v>
      </c>
    </row>
    <row r="3" spans="1:2">
      <c r="B3" t="s">
        <v>578</v>
      </c>
    </row>
    <row r="4" spans="1:2">
      <c r="B4" t="s">
        <v>576</v>
      </c>
    </row>
    <row r="5" spans="1:2">
      <c r="B5" t="s">
        <v>577</v>
      </c>
    </row>
    <row r="6" spans="1:2">
      <c r="B6" t="s">
        <v>616</v>
      </c>
    </row>
    <row r="7" spans="1:2">
      <c r="B7" t="s">
        <v>557</v>
      </c>
    </row>
    <row r="8" spans="1:2">
      <c r="B8" t="s">
        <v>275</v>
      </c>
    </row>
    <row r="9" spans="1:2">
      <c r="B9" t="s">
        <v>538</v>
      </c>
    </row>
    <row r="10" spans="1:2">
      <c r="B10" t="s">
        <v>582</v>
      </c>
    </row>
    <row r="11" spans="1:2">
      <c r="B11" t="s">
        <v>583</v>
      </c>
    </row>
    <row r="12" spans="1:2">
      <c r="B12" t="s">
        <v>584</v>
      </c>
    </row>
    <row r="13" spans="1:2">
      <c r="B13" t="s">
        <v>585</v>
      </c>
    </row>
    <row r="14" spans="1:2">
      <c r="B14" t="s">
        <v>586</v>
      </c>
    </row>
    <row r="15" spans="1:2">
      <c r="B15" t="s">
        <v>587</v>
      </c>
    </row>
    <row r="16" spans="1:2">
      <c r="B16" t="s">
        <v>588</v>
      </c>
    </row>
    <row r="19" spans="1:2">
      <c r="A19" t="s">
        <v>165</v>
      </c>
      <c r="B19" t="s">
        <v>580</v>
      </c>
    </row>
    <row r="20" spans="1:2">
      <c r="B20" t="s">
        <v>581</v>
      </c>
    </row>
    <row r="22" spans="1:2">
      <c r="A22" t="s">
        <v>617</v>
      </c>
      <c r="B22" t="s">
        <v>618</v>
      </c>
    </row>
    <row r="23" spans="1:2">
      <c r="B23" t="s">
        <v>619</v>
      </c>
    </row>
    <row r="24" spans="1:2">
      <c r="B24" t="s">
        <v>626</v>
      </c>
    </row>
    <row r="25" spans="1:2">
      <c r="B25" t="s">
        <v>627</v>
      </c>
    </row>
    <row r="26" spans="1:2">
      <c r="B26" t="s">
        <v>620</v>
      </c>
    </row>
    <row r="27" spans="1:2">
      <c r="B27" t="s">
        <v>621</v>
      </c>
    </row>
    <row r="28" spans="1:2">
      <c r="B28" t="s">
        <v>408</v>
      </c>
    </row>
    <row r="29" spans="1:2">
      <c r="B29" t="s">
        <v>622</v>
      </c>
    </row>
    <row r="30" spans="1:2">
      <c r="B30" t="s">
        <v>623</v>
      </c>
    </row>
    <row r="31" spans="1:2">
      <c r="B31" t="s">
        <v>624</v>
      </c>
    </row>
    <row r="32" spans="1:2">
      <c r="B32" t="s">
        <v>625</v>
      </c>
    </row>
    <row r="34" spans="1:16">
      <c r="A34" t="s">
        <v>670</v>
      </c>
      <c r="B34" t="s">
        <v>672</v>
      </c>
    </row>
    <row r="35" spans="1:16">
      <c r="B35" t="s">
        <v>673</v>
      </c>
    </row>
    <row r="36" spans="1:16">
      <c r="B36" t="s">
        <v>674</v>
      </c>
    </row>
    <row r="37" spans="1:16">
      <c r="B37" t="s">
        <v>675</v>
      </c>
    </row>
    <row r="39" spans="1:16" ht="30">
      <c r="A39" s="109" t="s">
        <v>266</v>
      </c>
      <c r="B39" s="104" t="s">
        <v>25</v>
      </c>
      <c r="C39" s="104" t="s">
        <v>22</v>
      </c>
      <c r="D39" s="104" t="s">
        <v>259</v>
      </c>
      <c r="E39" s="104" t="s">
        <v>260</v>
      </c>
      <c r="F39" s="104" t="s">
        <v>261</v>
      </c>
      <c r="G39" s="105" t="s">
        <v>262</v>
      </c>
      <c r="H39" s="105" t="s">
        <v>263</v>
      </c>
      <c r="I39" s="104" t="s">
        <v>264</v>
      </c>
      <c r="J39" s="105" t="s">
        <v>265</v>
      </c>
      <c r="K39" s="105" t="s">
        <v>267</v>
      </c>
      <c r="L39" s="105" t="s">
        <v>279</v>
      </c>
      <c r="M39" s="105" t="s">
        <v>295</v>
      </c>
      <c r="N39" s="105" t="s">
        <v>296</v>
      </c>
      <c r="O39" s="105" t="s">
        <v>297</v>
      </c>
      <c r="P39" s="105" t="s">
        <v>298</v>
      </c>
    </row>
    <row r="40" spans="1:16">
      <c r="A40" s="45" t="s">
        <v>266</v>
      </c>
      <c r="B40" s="45" t="s">
        <v>268</v>
      </c>
      <c r="C40" s="45" t="s">
        <v>268</v>
      </c>
      <c r="D40" s="45" t="s">
        <v>268</v>
      </c>
      <c r="E40" s="45" t="s">
        <v>271</v>
      </c>
      <c r="F40" s="45" t="s">
        <v>269</v>
      </c>
      <c r="G40" s="45" t="s">
        <v>270</v>
      </c>
      <c r="H40" s="45" t="s">
        <v>268</v>
      </c>
      <c r="I40" s="45" t="s">
        <v>275</v>
      </c>
      <c r="J40" s="45" t="s">
        <v>275</v>
      </c>
      <c r="K40" s="45" t="s">
        <v>277</v>
      </c>
      <c r="L40" s="45"/>
      <c r="M40" s="45"/>
      <c r="N40" s="45"/>
      <c r="O40" s="45"/>
      <c r="P40" s="45"/>
    </row>
    <row r="41" spans="1:16">
      <c r="A41" s="45"/>
      <c r="B41" s="45" t="s">
        <v>271</v>
      </c>
      <c r="C41" s="45" t="s">
        <v>271</v>
      </c>
      <c r="D41" s="108" t="s">
        <v>273</v>
      </c>
      <c r="E41" s="45" t="s">
        <v>272</v>
      </c>
      <c r="F41" s="45" t="s">
        <v>270</v>
      </c>
      <c r="G41" s="108" t="s">
        <v>274</v>
      </c>
      <c r="H41" s="45" t="s">
        <v>271</v>
      </c>
      <c r="I41" s="45" t="s">
        <v>276</v>
      </c>
      <c r="J41" s="45" t="s">
        <v>276</v>
      </c>
      <c r="K41" s="45" t="s">
        <v>278</v>
      </c>
      <c r="L41" s="45"/>
      <c r="M41" s="45"/>
      <c r="N41" s="45"/>
      <c r="O41" s="45"/>
      <c r="P41" s="45"/>
    </row>
    <row r="42" spans="1:16">
      <c r="A42" s="45"/>
      <c r="B42" s="45" t="s">
        <v>272</v>
      </c>
      <c r="C42" s="45" t="s">
        <v>272</v>
      </c>
      <c r="D42" s="108"/>
      <c r="E42" s="45" t="s">
        <v>269</v>
      </c>
      <c r="F42" s="108" t="s">
        <v>274</v>
      </c>
      <c r="G42" s="103" t="s">
        <v>291</v>
      </c>
      <c r="H42" s="45" t="s">
        <v>272</v>
      </c>
      <c r="I42" s="45" t="s">
        <v>290</v>
      </c>
      <c r="J42" s="45" t="s">
        <v>290</v>
      </c>
      <c r="K42" s="45" t="s">
        <v>293</v>
      </c>
      <c r="L42" s="45"/>
      <c r="M42" s="45"/>
      <c r="N42" s="45"/>
      <c r="O42" s="45"/>
      <c r="P42" s="45"/>
    </row>
    <row r="43" spans="1:16">
      <c r="A43" s="45"/>
      <c r="B43" s="45" t="s">
        <v>269</v>
      </c>
      <c r="C43" s="45" t="s">
        <v>269</v>
      </c>
      <c r="D43" s="45"/>
      <c r="E43" s="45" t="s">
        <v>270</v>
      </c>
      <c r="F43" s="45"/>
      <c r="G43" s="103"/>
      <c r="H43" s="103"/>
      <c r="I43" s="45"/>
      <c r="J43" s="45"/>
      <c r="K43" s="45" t="s">
        <v>294</v>
      </c>
      <c r="L43" s="45"/>
      <c r="M43" s="45"/>
      <c r="N43" s="45"/>
      <c r="O43" s="45"/>
      <c r="P43" s="45"/>
    </row>
    <row r="44" spans="1:16">
      <c r="A44" s="45"/>
      <c r="B44" s="45" t="s">
        <v>270</v>
      </c>
      <c r="C44" s="45" t="s">
        <v>270</v>
      </c>
      <c r="D44" s="45"/>
      <c r="E44" s="108" t="s">
        <v>274</v>
      </c>
      <c r="F44" s="45"/>
      <c r="G44" s="103"/>
      <c r="H44" s="103"/>
      <c r="I44" s="45"/>
      <c r="J44" s="45"/>
      <c r="K44" s="45"/>
      <c r="L44" s="45"/>
      <c r="M44" s="45"/>
      <c r="N44" s="45"/>
      <c r="O44" s="45"/>
      <c r="P44" s="45"/>
    </row>
    <row r="45" spans="1:16">
      <c r="A45" s="45"/>
      <c r="B45" s="108" t="s">
        <v>273</v>
      </c>
      <c r="C45" s="108" t="s">
        <v>273</v>
      </c>
      <c r="D45" s="45"/>
      <c r="E45" s="108" t="s">
        <v>285</v>
      </c>
      <c r="F45" s="45"/>
      <c r="G45" s="45"/>
      <c r="H45" s="45"/>
      <c r="I45" s="45"/>
      <c r="J45" s="45"/>
      <c r="K45" s="45"/>
      <c r="L45" s="45"/>
      <c r="M45" s="45"/>
      <c r="N45" s="45"/>
      <c r="O45" s="45"/>
      <c r="P45" s="45"/>
    </row>
    <row r="46" spans="1:16">
      <c r="A46" s="45"/>
      <c r="B46" s="108" t="s">
        <v>274</v>
      </c>
      <c r="C46" s="108" t="s">
        <v>274</v>
      </c>
      <c r="D46" s="45"/>
      <c r="E46" s="108" t="s">
        <v>290</v>
      </c>
      <c r="F46" s="45"/>
      <c r="G46" s="45"/>
      <c r="H46" s="45"/>
      <c r="I46" s="45"/>
      <c r="J46" s="45"/>
      <c r="K46" s="45"/>
      <c r="L46" s="45"/>
      <c r="M46" s="45"/>
      <c r="N46" s="45"/>
      <c r="O46" s="45"/>
      <c r="P46" s="45"/>
    </row>
    <row r="47" spans="1:16">
      <c r="A47" s="45"/>
      <c r="B47" s="108" t="s">
        <v>285</v>
      </c>
      <c r="C47" s="108" t="s">
        <v>285</v>
      </c>
      <c r="D47" s="45"/>
      <c r="E47" s="45"/>
      <c r="F47" s="45"/>
      <c r="G47" s="45"/>
      <c r="H47" s="45"/>
      <c r="I47" s="45"/>
      <c r="J47" s="45"/>
      <c r="K47" s="45"/>
      <c r="L47" s="45"/>
      <c r="M47" s="45"/>
      <c r="N47" s="45"/>
      <c r="O47" s="45"/>
      <c r="P47" s="45"/>
    </row>
    <row r="48" spans="1:16">
      <c r="A48" s="45"/>
      <c r="B48" s="108" t="s">
        <v>290</v>
      </c>
      <c r="C48" s="108" t="s">
        <v>290</v>
      </c>
      <c r="D48" s="45"/>
      <c r="E48" s="45"/>
      <c r="F48" s="45"/>
      <c r="G48" s="45"/>
      <c r="H48" s="45"/>
      <c r="I48" s="45"/>
      <c r="J48" s="45"/>
      <c r="K48" s="45"/>
      <c r="L48" s="45"/>
      <c r="M48" s="45"/>
      <c r="N48" s="45"/>
      <c r="O48" s="45"/>
      <c r="P48" s="45"/>
    </row>
    <row r="49" spans="1:16">
      <c r="A49" s="45"/>
      <c r="B49" s="108" t="s">
        <v>292</v>
      </c>
      <c r="C49" s="108" t="s">
        <v>292</v>
      </c>
      <c r="D49" s="45"/>
      <c r="E49" s="45"/>
      <c r="F49" s="45"/>
      <c r="G49" s="45"/>
      <c r="H49" s="45"/>
      <c r="I49" s="45"/>
      <c r="J49" s="45"/>
      <c r="K49" s="45"/>
      <c r="L49" s="45"/>
      <c r="M49" s="45"/>
      <c r="N49" s="45"/>
      <c r="O49" s="45"/>
      <c r="P49" s="45"/>
    </row>
    <row r="50" spans="1:16">
      <c r="A50" s="106"/>
      <c r="B50" s="107"/>
      <c r="C50" s="107"/>
      <c r="D50" s="106"/>
      <c r="E50" s="106"/>
      <c r="F50" s="106"/>
      <c r="G50" s="106"/>
      <c r="H50" s="106"/>
      <c r="I50" s="106"/>
      <c r="J50" s="106"/>
      <c r="K50" s="106"/>
    </row>
    <row r="51" spans="1:16">
      <c r="A51" s="106"/>
      <c r="B51" s="107"/>
      <c r="C51" s="107"/>
      <c r="D51" s="106"/>
      <c r="E51" s="106"/>
      <c r="F51" s="106"/>
      <c r="G51" s="106"/>
      <c r="H51" s="106"/>
      <c r="I51" s="106"/>
      <c r="J51" s="106"/>
      <c r="K51" s="106"/>
    </row>
    <row r="52" spans="1:16">
      <c r="A52" s="106"/>
      <c r="B52" s="107"/>
      <c r="C52" s="107"/>
      <c r="D52" s="106"/>
      <c r="E52" s="106"/>
      <c r="F52" s="106"/>
      <c r="G52" s="106"/>
      <c r="H52" s="106"/>
      <c r="I52" s="106"/>
      <c r="J52" s="106"/>
      <c r="K52" s="106"/>
    </row>
    <row r="53" spans="1:16">
      <c r="A53" s="106"/>
      <c r="B53" s="107"/>
      <c r="C53" s="107"/>
      <c r="D53" s="106"/>
      <c r="E53" s="106"/>
      <c r="F53" s="106"/>
      <c r="G53" s="106"/>
      <c r="H53" s="106"/>
      <c r="I53" s="106"/>
      <c r="J53" s="106"/>
      <c r="K53" s="106"/>
    </row>
    <row r="54" spans="1:16">
      <c r="A54" s="106"/>
      <c r="B54" s="107"/>
      <c r="C54" s="107"/>
      <c r="D54" s="106"/>
      <c r="E54" s="106"/>
      <c r="F54" s="106"/>
      <c r="G54" s="106"/>
      <c r="H54" s="106"/>
      <c r="I54" s="106"/>
      <c r="J54" s="106"/>
      <c r="K54" s="106"/>
    </row>
    <row r="55" spans="1:16">
      <c r="A55" s="106"/>
      <c r="B55" s="107"/>
      <c r="C55" s="107"/>
      <c r="D55" s="106"/>
      <c r="E55" s="106"/>
      <c r="F55" s="106"/>
      <c r="G55" s="106"/>
      <c r="H55" s="106"/>
      <c r="I55" s="106"/>
      <c r="J55" s="106"/>
      <c r="K55" s="106"/>
    </row>
    <row r="56" spans="1:16">
      <c r="A56" s="106"/>
      <c r="B56" s="107"/>
      <c r="C56" s="106"/>
      <c r="D56" s="106"/>
      <c r="E56" s="106"/>
      <c r="F56" s="106"/>
      <c r="G56" s="106"/>
      <c r="H56" s="106"/>
      <c r="I56" s="106"/>
      <c r="J56" s="106"/>
      <c r="K56" s="106"/>
    </row>
    <row r="57" spans="1:16" ht="30">
      <c r="A57" s="109" t="s">
        <v>33</v>
      </c>
      <c r="B57" s="104" t="s">
        <v>25</v>
      </c>
      <c r="C57" s="104" t="s">
        <v>22</v>
      </c>
      <c r="D57" s="104" t="s">
        <v>259</v>
      </c>
      <c r="E57" s="104" t="s">
        <v>260</v>
      </c>
      <c r="F57" s="104" t="s">
        <v>261</v>
      </c>
      <c r="G57" s="105" t="s">
        <v>262</v>
      </c>
      <c r="H57" s="105" t="s">
        <v>410</v>
      </c>
      <c r="I57" s="104" t="s">
        <v>264</v>
      </c>
      <c r="J57" s="105" t="s">
        <v>265</v>
      </c>
      <c r="K57" s="105" t="s">
        <v>267</v>
      </c>
      <c r="L57" s="105" t="s">
        <v>279</v>
      </c>
    </row>
    <row r="58" spans="1:16">
      <c r="A58" s="45" t="s">
        <v>288</v>
      </c>
      <c r="B58" s="108">
        <v>70</v>
      </c>
      <c r="C58" s="45">
        <v>90</v>
      </c>
      <c r="D58" s="108">
        <v>70</v>
      </c>
      <c r="E58" s="45"/>
      <c r="F58" s="45" t="s">
        <v>289</v>
      </c>
      <c r="G58" s="45" t="s">
        <v>289</v>
      </c>
      <c r="H58" s="45">
        <v>60</v>
      </c>
      <c r="I58" s="45" t="s">
        <v>289</v>
      </c>
      <c r="J58" s="45"/>
      <c r="K58" s="45"/>
      <c r="L58" s="45"/>
    </row>
    <row r="59" spans="1:16">
      <c r="A59" s="45" t="s">
        <v>286</v>
      </c>
      <c r="B59" s="108">
        <v>70</v>
      </c>
      <c r="C59" s="45">
        <v>80</v>
      </c>
      <c r="D59" s="108">
        <v>70</v>
      </c>
      <c r="E59" s="45"/>
      <c r="F59" s="45" t="s">
        <v>289</v>
      </c>
      <c r="G59" s="45" t="s">
        <v>289</v>
      </c>
      <c r="H59" s="45">
        <v>60</v>
      </c>
      <c r="I59" s="45" t="s">
        <v>289</v>
      </c>
      <c r="J59" s="45"/>
      <c r="K59" s="45"/>
      <c r="L59" s="45"/>
    </row>
    <row r="60" spans="1:16">
      <c r="A60" s="45" t="s">
        <v>287</v>
      </c>
      <c r="B60" s="108">
        <v>70</v>
      </c>
      <c r="C60" s="45">
        <v>75</v>
      </c>
      <c r="D60" s="108">
        <v>70</v>
      </c>
      <c r="E60" s="45"/>
      <c r="F60" s="45" t="s">
        <v>289</v>
      </c>
      <c r="G60" s="45" t="s">
        <v>289</v>
      </c>
      <c r="H60" s="45">
        <v>60</v>
      </c>
      <c r="I60" s="45" t="s">
        <v>289</v>
      </c>
      <c r="J60" s="45"/>
      <c r="K60" s="45"/>
      <c r="L60" s="45"/>
    </row>
    <row r="61" spans="1:16">
      <c r="A61" s="45" t="s">
        <v>271</v>
      </c>
      <c r="B61" s="110">
        <v>65</v>
      </c>
      <c r="C61" s="110">
        <v>65</v>
      </c>
      <c r="D61" s="111"/>
      <c r="E61" s="110">
        <v>65</v>
      </c>
      <c r="F61" s="45"/>
      <c r="G61" s="45"/>
      <c r="H61" s="108">
        <v>55</v>
      </c>
      <c r="I61" s="45"/>
      <c r="J61" s="45"/>
      <c r="K61" s="45"/>
      <c r="L61" s="45"/>
    </row>
    <row r="62" spans="1:16">
      <c r="A62" s="45" t="s">
        <v>272</v>
      </c>
      <c r="B62" s="112">
        <v>55</v>
      </c>
      <c r="C62" s="112">
        <v>55</v>
      </c>
      <c r="D62" s="113"/>
      <c r="E62" s="112">
        <v>55</v>
      </c>
      <c r="F62" s="45"/>
      <c r="G62" s="45"/>
      <c r="H62" s="108">
        <v>55</v>
      </c>
      <c r="I62" s="45"/>
      <c r="J62" s="45"/>
      <c r="K62" s="45"/>
      <c r="L62" s="45"/>
    </row>
    <row r="63" spans="1:16">
      <c r="A63" s="45" t="s">
        <v>269</v>
      </c>
      <c r="B63" s="110">
        <v>60</v>
      </c>
      <c r="C63" s="110">
        <v>60</v>
      </c>
      <c r="D63" s="111"/>
      <c r="E63" s="110">
        <v>60</v>
      </c>
      <c r="F63" s="45"/>
      <c r="G63" s="114">
        <v>50</v>
      </c>
      <c r="H63" s="45">
        <v>40</v>
      </c>
      <c r="I63" s="45"/>
      <c r="J63" s="45"/>
      <c r="K63" s="45"/>
      <c r="L63" s="45"/>
    </row>
    <row r="64" spans="1:16">
      <c r="A64" s="45" t="s">
        <v>270</v>
      </c>
      <c r="B64" s="110">
        <v>50</v>
      </c>
      <c r="C64" s="110">
        <v>50</v>
      </c>
      <c r="D64" s="111"/>
      <c r="E64" s="110">
        <v>50</v>
      </c>
      <c r="F64" s="45"/>
      <c r="G64" s="45">
        <v>50</v>
      </c>
      <c r="H64" s="45">
        <v>35</v>
      </c>
      <c r="I64" s="45"/>
      <c r="J64" s="45"/>
      <c r="K64" s="45"/>
      <c r="L64" s="45"/>
    </row>
    <row r="65" spans="1:12">
      <c r="A65" s="45" t="s">
        <v>299</v>
      </c>
      <c r="B65" s="110"/>
      <c r="C65" s="110"/>
      <c r="D65" s="111"/>
      <c r="E65" s="110"/>
      <c r="F65" s="45"/>
      <c r="G65" s="45"/>
      <c r="H65" s="45"/>
      <c r="I65" s="45"/>
      <c r="J65" s="45"/>
      <c r="K65" s="45"/>
      <c r="L65" s="45"/>
    </row>
    <row r="66" spans="1:12">
      <c r="A66" s="108" t="s">
        <v>300</v>
      </c>
      <c r="B66" s="108"/>
      <c r="C66" s="45"/>
      <c r="D66" s="45"/>
      <c r="E66" s="45"/>
      <c r="F66" s="45"/>
      <c r="G66" s="45"/>
      <c r="H66" s="45"/>
      <c r="I66" s="45"/>
      <c r="J66" s="45"/>
      <c r="K66" s="45"/>
      <c r="L66" s="45"/>
    </row>
    <row r="67" spans="1:12">
      <c r="A67" s="108" t="s">
        <v>281</v>
      </c>
      <c r="B67" s="108"/>
      <c r="C67" s="45"/>
      <c r="D67" s="45"/>
      <c r="E67" s="45"/>
      <c r="F67" s="45"/>
      <c r="G67" s="45"/>
      <c r="H67" s="45"/>
      <c r="I67" s="45"/>
      <c r="J67" s="45"/>
      <c r="K67" s="45"/>
      <c r="L67" s="45"/>
    </row>
    <row r="68" spans="1:12">
      <c r="A68" s="108" t="s">
        <v>282</v>
      </c>
      <c r="B68" s="108"/>
      <c r="C68" s="45"/>
      <c r="D68" s="45"/>
      <c r="E68" s="45"/>
      <c r="F68" s="45"/>
      <c r="G68" s="45"/>
      <c r="H68" s="45"/>
      <c r="I68" s="45"/>
      <c r="J68" s="45"/>
      <c r="K68" s="45"/>
      <c r="L68" s="45"/>
    </row>
    <row r="69" spans="1:12">
      <c r="A69" s="108" t="s">
        <v>283</v>
      </c>
      <c r="B69" s="108"/>
      <c r="C69" s="45"/>
      <c r="D69" s="45"/>
      <c r="E69" s="45"/>
      <c r="F69" s="45"/>
      <c r="G69" s="45"/>
      <c r="H69" s="45"/>
      <c r="I69" s="45"/>
      <c r="J69" s="45"/>
      <c r="K69" s="45"/>
      <c r="L69" s="45"/>
    </row>
    <row r="70" spans="1:12">
      <c r="A70" s="108" t="s">
        <v>284</v>
      </c>
      <c r="B70" s="110">
        <v>65</v>
      </c>
      <c r="C70" s="45"/>
      <c r="D70" s="45"/>
      <c r="E70" s="45"/>
      <c r="F70" s="45"/>
      <c r="G70" s="45"/>
      <c r="H70" s="45">
        <v>35</v>
      </c>
      <c r="I70" s="45"/>
      <c r="J70" s="45"/>
      <c r="K70" s="45"/>
      <c r="L70" s="45"/>
    </row>
    <row r="71" spans="1:12">
      <c r="A71" s="45" t="s">
        <v>277</v>
      </c>
      <c r="B71" s="108"/>
      <c r="C71" s="45"/>
      <c r="D71" s="45"/>
      <c r="E71" s="45"/>
      <c r="F71" s="45"/>
      <c r="G71" s="45"/>
      <c r="H71" s="45"/>
      <c r="I71" s="45"/>
      <c r="J71" s="45"/>
      <c r="K71" s="114">
        <v>70</v>
      </c>
      <c r="L71" s="45"/>
    </row>
    <row r="72" spans="1:12">
      <c r="A72" s="45" t="s">
        <v>278</v>
      </c>
      <c r="B72" s="108"/>
      <c r="C72" s="45"/>
      <c r="D72" s="45"/>
      <c r="E72" s="45"/>
      <c r="F72" s="45"/>
      <c r="G72" s="45"/>
      <c r="H72" s="45"/>
      <c r="I72" s="45"/>
      <c r="J72" s="45"/>
      <c r="K72" s="114">
        <v>50</v>
      </c>
      <c r="L72" s="45"/>
    </row>
    <row r="73" spans="1:12">
      <c r="A73" s="108" t="s">
        <v>264</v>
      </c>
      <c r="B73" s="108"/>
      <c r="C73" s="45"/>
      <c r="D73" s="45"/>
      <c r="E73" s="45"/>
      <c r="F73" s="45"/>
      <c r="G73" s="45"/>
      <c r="H73" s="45"/>
      <c r="I73" s="112">
        <v>70</v>
      </c>
      <c r="J73" s="114">
        <v>50</v>
      </c>
      <c r="K73" s="45"/>
      <c r="L73" s="45"/>
    </row>
    <row r="74" spans="1:12">
      <c r="A74" s="108" t="s">
        <v>408</v>
      </c>
      <c r="B74" s="108"/>
      <c r="C74" s="45"/>
      <c r="D74" s="45"/>
      <c r="E74" s="45"/>
      <c r="F74" s="45"/>
      <c r="G74" s="45">
        <v>40</v>
      </c>
      <c r="H74" s="45"/>
      <c r="I74" s="45"/>
      <c r="J74" s="45"/>
      <c r="K74" s="45"/>
      <c r="L74" s="45"/>
    </row>
    <row r="75" spans="1:12">
      <c r="A75" s="108" t="s">
        <v>409</v>
      </c>
      <c r="B75" s="108"/>
      <c r="C75" s="45"/>
      <c r="D75" s="45"/>
      <c r="E75" s="45"/>
      <c r="F75" s="45"/>
      <c r="G75" s="45">
        <v>30</v>
      </c>
      <c r="H75" s="45"/>
      <c r="I75" s="45"/>
      <c r="J75" s="45"/>
      <c r="K75" s="45"/>
      <c r="L75" s="45"/>
    </row>
    <row r="76" spans="1:12">
      <c r="A76" s="107"/>
      <c r="B76" s="107"/>
      <c r="C76" s="106"/>
      <c r="D76" s="106"/>
      <c r="E76" s="106"/>
      <c r="F76" s="106"/>
      <c r="G76" s="106"/>
      <c r="H76" s="106"/>
      <c r="I76" s="106"/>
      <c r="J76" s="106"/>
      <c r="K76" s="106"/>
    </row>
    <row r="77" spans="1:12" ht="30">
      <c r="A77" s="109" t="s">
        <v>55</v>
      </c>
      <c r="B77" s="104" t="s">
        <v>25</v>
      </c>
      <c r="C77" s="104" t="s">
        <v>22</v>
      </c>
      <c r="D77" s="104" t="s">
        <v>259</v>
      </c>
      <c r="E77" s="104" t="s">
        <v>260</v>
      </c>
      <c r="F77" s="104" t="s">
        <v>261</v>
      </c>
      <c r="G77" s="105" t="s">
        <v>262</v>
      </c>
      <c r="H77" s="105" t="s">
        <v>410</v>
      </c>
      <c r="I77" s="104" t="s">
        <v>264</v>
      </c>
      <c r="J77" s="105" t="s">
        <v>265</v>
      </c>
      <c r="K77" s="105" t="s">
        <v>267</v>
      </c>
      <c r="L77" s="105" t="s">
        <v>279</v>
      </c>
    </row>
    <row r="78" spans="1:12">
      <c r="A78" s="45" t="s">
        <v>288</v>
      </c>
      <c r="B78" s="107">
        <v>20</v>
      </c>
      <c r="C78" s="107">
        <v>20</v>
      </c>
      <c r="D78" s="106">
        <v>20</v>
      </c>
      <c r="E78" s="106"/>
      <c r="F78" s="106"/>
      <c r="G78" s="106"/>
      <c r="H78" s="106">
        <v>20</v>
      </c>
      <c r="I78" s="106"/>
      <c r="J78" s="106"/>
      <c r="K78" s="106"/>
    </row>
    <row r="79" spans="1:12">
      <c r="A79" s="45" t="s">
        <v>286</v>
      </c>
      <c r="B79" s="107">
        <v>20</v>
      </c>
      <c r="C79" s="107">
        <v>20</v>
      </c>
      <c r="D79" s="106">
        <v>20</v>
      </c>
      <c r="E79" s="106"/>
      <c r="F79" s="106"/>
      <c r="G79" s="106"/>
      <c r="H79" s="106">
        <v>20</v>
      </c>
      <c r="I79" s="106"/>
      <c r="J79" s="106"/>
      <c r="K79" s="106"/>
    </row>
    <row r="80" spans="1:12">
      <c r="A80" s="45" t="s">
        <v>287</v>
      </c>
      <c r="B80" s="107">
        <v>20</v>
      </c>
      <c r="C80" s="107">
        <v>20</v>
      </c>
      <c r="D80" s="106">
        <v>20</v>
      </c>
      <c r="E80" s="106"/>
      <c r="F80" s="106"/>
      <c r="G80" s="106"/>
      <c r="H80" s="106">
        <v>20</v>
      </c>
      <c r="I80" s="106"/>
      <c r="J80" s="106"/>
      <c r="K80" s="106"/>
    </row>
    <row r="81" spans="1:11">
      <c r="A81" s="45" t="s">
        <v>271</v>
      </c>
      <c r="B81" s="107">
        <v>15</v>
      </c>
      <c r="C81" s="107">
        <v>15</v>
      </c>
      <c r="D81" s="106"/>
      <c r="E81" s="106">
        <v>15</v>
      </c>
      <c r="F81" s="106"/>
      <c r="G81" s="106"/>
      <c r="H81" s="107">
        <v>15</v>
      </c>
      <c r="I81" s="106"/>
      <c r="J81" s="106"/>
      <c r="K81" s="106"/>
    </row>
    <row r="82" spans="1:11">
      <c r="A82" s="45" t="s">
        <v>272</v>
      </c>
      <c r="B82" s="107">
        <v>15</v>
      </c>
      <c r="C82" s="107">
        <v>15</v>
      </c>
      <c r="D82" s="106"/>
      <c r="E82" s="106">
        <v>15</v>
      </c>
      <c r="F82" s="106"/>
      <c r="G82" s="106"/>
      <c r="H82" s="107">
        <v>15</v>
      </c>
      <c r="I82" s="106"/>
      <c r="J82" s="106"/>
      <c r="K82" s="106"/>
    </row>
    <row r="83" spans="1:11">
      <c r="A83" s="45" t="s">
        <v>269</v>
      </c>
      <c r="B83" s="107">
        <v>15</v>
      </c>
      <c r="C83" s="107">
        <v>15</v>
      </c>
      <c r="D83" s="106"/>
      <c r="E83" s="106">
        <v>15</v>
      </c>
      <c r="F83" s="106"/>
      <c r="G83" s="106"/>
      <c r="H83" s="107">
        <v>10</v>
      </c>
      <c r="I83" s="106"/>
      <c r="J83" s="106"/>
      <c r="K83" s="106"/>
    </row>
    <row r="84" spans="1:11">
      <c r="A84" s="45" t="s">
        <v>270</v>
      </c>
      <c r="B84" s="107">
        <v>15</v>
      </c>
      <c r="C84" s="107">
        <v>15</v>
      </c>
      <c r="D84" s="106"/>
      <c r="E84" s="107">
        <v>15</v>
      </c>
      <c r="F84" s="106"/>
      <c r="G84" s="106"/>
      <c r="H84" s="107">
        <v>10</v>
      </c>
      <c r="I84" s="106"/>
      <c r="J84" s="106"/>
      <c r="K84" s="106"/>
    </row>
    <row r="85" spans="1:11">
      <c r="A85" s="108" t="s">
        <v>280</v>
      </c>
      <c r="B85" s="107"/>
      <c r="C85" s="106"/>
      <c r="D85" s="106"/>
      <c r="E85" s="106"/>
      <c r="F85" s="106"/>
      <c r="G85" s="106"/>
      <c r="H85" s="106"/>
      <c r="I85" s="106"/>
      <c r="J85" s="106"/>
      <c r="K85" s="106"/>
    </row>
    <row r="86" spans="1:11">
      <c r="A86" s="108" t="s">
        <v>281</v>
      </c>
      <c r="B86" s="107"/>
      <c r="C86" s="106"/>
      <c r="D86" s="106"/>
      <c r="E86" s="106"/>
      <c r="F86" s="106"/>
      <c r="G86" s="106"/>
      <c r="H86" s="106"/>
      <c r="I86" s="106"/>
      <c r="J86" s="106"/>
      <c r="K86" s="106"/>
    </row>
    <row r="87" spans="1:11">
      <c r="A87" s="108" t="s">
        <v>282</v>
      </c>
      <c r="B87" s="107"/>
      <c r="C87" s="106"/>
      <c r="D87" s="106"/>
      <c r="E87" s="106"/>
      <c r="F87" s="106"/>
      <c r="G87" s="106"/>
      <c r="H87" s="106"/>
      <c r="I87" s="106"/>
      <c r="J87" s="106"/>
      <c r="K87" s="106"/>
    </row>
    <row r="88" spans="1:11">
      <c r="A88" s="108" t="s">
        <v>283</v>
      </c>
      <c r="B88" s="107"/>
      <c r="C88" s="106"/>
      <c r="D88" s="106"/>
      <c r="E88" s="106"/>
      <c r="F88" s="106"/>
      <c r="G88" s="106"/>
      <c r="H88" s="106"/>
      <c r="I88" s="106"/>
      <c r="J88" s="106"/>
      <c r="K88" s="106"/>
    </row>
    <row r="89" spans="1:11">
      <c r="A89" s="108" t="s">
        <v>284</v>
      </c>
      <c r="B89" s="107"/>
      <c r="C89" s="106"/>
      <c r="D89" s="106"/>
      <c r="E89" s="106"/>
      <c r="F89" s="106"/>
      <c r="G89" s="106"/>
      <c r="H89" s="106"/>
      <c r="I89" s="106"/>
      <c r="J89" s="106"/>
      <c r="K89" s="106"/>
    </row>
    <row r="90" spans="1:11">
      <c r="A90" s="45" t="s">
        <v>277</v>
      </c>
      <c r="K90">
        <v>15</v>
      </c>
    </row>
    <row r="91" spans="1:11">
      <c r="A91" s="45" t="s">
        <v>278</v>
      </c>
      <c r="K91">
        <v>10</v>
      </c>
    </row>
    <row r="92" spans="1:11">
      <c r="A92" s="108" t="s">
        <v>264</v>
      </c>
      <c r="I92">
        <v>10</v>
      </c>
      <c r="J92">
        <v>10</v>
      </c>
    </row>
    <row r="93" spans="1:11">
      <c r="A93" t="s">
        <v>255</v>
      </c>
    </row>
    <row r="94" spans="1:11">
      <c r="A94" t="s">
        <v>411</v>
      </c>
      <c r="G94">
        <v>10</v>
      </c>
    </row>
    <row r="96" spans="1:11">
      <c r="A96" t="s">
        <v>256</v>
      </c>
      <c r="B96" t="s">
        <v>257</v>
      </c>
    </row>
    <row r="97" spans="1:2">
      <c r="B97" t="s">
        <v>258</v>
      </c>
    </row>
    <row r="99" spans="1:2">
      <c r="A99" s="44" t="s">
        <v>216</v>
      </c>
      <c r="B99" t="s">
        <v>571</v>
      </c>
    </row>
    <row r="100" spans="1:2">
      <c r="B100" t="s">
        <v>572</v>
      </c>
    </row>
    <row r="101" spans="1:2">
      <c r="B101" t="s">
        <v>573</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filterMode="1"/>
  <dimension ref="A1:K211"/>
  <sheetViews>
    <sheetView workbookViewId="0">
      <pane ySplit="2" topLeftCell="A3" activePane="bottomLeft" state="frozen"/>
      <selection pane="bottomLeft" activeCell="I2" sqref="I2"/>
    </sheetView>
  </sheetViews>
  <sheetFormatPr defaultRowHeight="15"/>
  <cols>
    <col min="1" max="1" width="16.85546875" customWidth="1"/>
    <col min="2" max="2" width="78.85546875" customWidth="1"/>
    <col min="3" max="3" width="7.7109375" style="193" customWidth="1"/>
    <col min="4" max="4" width="9.5703125" style="193" bestFit="1" customWidth="1"/>
    <col min="5" max="10" width="10.42578125" style="193" customWidth="1"/>
    <col min="11" max="11" width="9.140625" style="193"/>
  </cols>
  <sheetData>
    <row r="1" spans="1:11" ht="7.5" customHeight="1"/>
    <row r="2" spans="1:11">
      <c r="A2" s="109" t="s">
        <v>37</v>
      </c>
      <c r="B2" s="109" t="s">
        <v>413</v>
      </c>
      <c r="C2" s="197" t="s">
        <v>423</v>
      </c>
      <c r="D2" s="197" t="s">
        <v>424</v>
      </c>
      <c r="E2" s="194" t="s">
        <v>414</v>
      </c>
      <c r="F2" s="194" t="s">
        <v>415</v>
      </c>
      <c r="G2" s="194" t="s">
        <v>417</v>
      </c>
      <c r="H2" s="194" t="s">
        <v>416</v>
      </c>
      <c r="I2" s="195" t="s">
        <v>418</v>
      </c>
      <c r="J2" s="195" t="s">
        <v>466</v>
      </c>
      <c r="K2" s="200" t="s">
        <v>522</v>
      </c>
    </row>
    <row r="3" spans="1:11" hidden="1">
      <c r="A3" s="211" t="s">
        <v>575</v>
      </c>
      <c r="B3" s="211" t="s">
        <v>662</v>
      </c>
      <c r="C3" s="215">
        <v>0.9</v>
      </c>
      <c r="D3" s="215">
        <v>0</v>
      </c>
      <c r="E3" s="212"/>
      <c r="F3" s="212"/>
      <c r="G3" s="212"/>
      <c r="H3" s="212"/>
      <c r="I3" s="213"/>
      <c r="J3" s="213"/>
      <c r="K3" s="212"/>
    </row>
    <row r="4" spans="1:11" hidden="1">
      <c r="A4" s="211" t="s">
        <v>575</v>
      </c>
      <c r="B4" s="211" t="s">
        <v>663</v>
      </c>
      <c r="C4" s="215">
        <v>0.8</v>
      </c>
      <c r="D4" s="215">
        <v>0</v>
      </c>
      <c r="E4" s="212"/>
      <c r="F4" s="212"/>
      <c r="G4" s="212"/>
      <c r="H4" s="212"/>
      <c r="I4" s="213"/>
      <c r="J4" s="213"/>
      <c r="K4" s="212"/>
    </row>
    <row r="5" spans="1:11" hidden="1">
      <c r="A5" s="211" t="s">
        <v>575</v>
      </c>
      <c r="B5" s="211" t="s">
        <v>664</v>
      </c>
      <c r="C5" s="215">
        <v>0.75</v>
      </c>
      <c r="D5" s="215">
        <v>0</v>
      </c>
      <c r="E5" s="212"/>
      <c r="F5" s="212"/>
      <c r="G5" s="212"/>
      <c r="H5" s="212"/>
      <c r="I5" s="213"/>
      <c r="J5" s="213"/>
      <c r="K5" s="212"/>
    </row>
    <row r="6" spans="1:11" hidden="1">
      <c r="A6" s="211" t="s">
        <v>575</v>
      </c>
      <c r="B6" s="211" t="s">
        <v>665</v>
      </c>
      <c r="C6" s="215">
        <v>1</v>
      </c>
      <c r="D6" s="215">
        <v>0</v>
      </c>
      <c r="E6" s="212"/>
      <c r="F6" s="212"/>
      <c r="G6" s="212"/>
      <c r="H6" s="212"/>
      <c r="I6" s="213"/>
      <c r="J6" s="213"/>
      <c r="K6" s="212"/>
    </row>
    <row r="7" spans="1:11" hidden="1">
      <c r="A7" s="211" t="s">
        <v>575</v>
      </c>
      <c r="B7" s="211" t="s">
        <v>602</v>
      </c>
      <c r="C7" s="215">
        <v>1.3</v>
      </c>
      <c r="D7" s="215">
        <v>0.1</v>
      </c>
      <c r="E7" s="212"/>
      <c r="F7" s="212" t="s">
        <v>38</v>
      </c>
      <c r="G7" s="212"/>
      <c r="H7" s="212"/>
      <c r="I7" s="213"/>
      <c r="J7" s="213"/>
      <c r="K7" s="212"/>
    </row>
    <row r="8" spans="1:11" hidden="1">
      <c r="A8" s="211" t="s">
        <v>575</v>
      </c>
      <c r="B8" s="211" t="s">
        <v>602</v>
      </c>
      <c r="C8" s="215">
        <v>1.3</v>
      </c>
      <c r="D8" s="215">
        <v>0.2</v>
      </c>
      <c r="E8" s="212"/>
      <c r="F8" s="212"/>
      <c r="G8" s="212" t="s">
        <v>38</v>
      </c>
      <c r="H8" s="212"/>
      <c r="I8" s="213"/>
      <c r="J8" s="213"/>
      <c r="K8" s="212"/>
    </row>
    <row r="9" spans="1:11" hidden="1">
      <c r="A9" s="211" t="s">
        <v>575</v>
      </c>
      <c r="B9" s="211" t="s">
        <v>602</v>
      </c>
      <c r="C9" s="215">
        <v>1.3</v>
      </c>
      <c r="D9" s="215" t="s">
        <v>603</v>
      </c>
      <c r="E9" s="212"/>
      <c r="F9" s="212"/>
      <c r="G9" s="212"/>
      <c r="H9" s="212" t="s">
        <v>38</v>
      </c>
      <c r="I9" s="213"/>
      <c r="J9" s="213"/>
      <c r="K9" s="212"/>
    </row>
    <row r="10" spans="1:11" hidden="1">
      <c r="A10" s="211" t="s">
        <v>578</v>
      </c>
      <c r="B10" s="211" t="s">
        <v>666</v>
      </c>
      <c r="C10" s="215">
        <v>0.8</v>
      </c>
      <c r="D10" s="215">
        <v>0</v>
      </c>
      <c r="E10" s="212"/>
      <c r="F10" s="212"/>
      <c r="G10" s="212"/>
      <c r="H10" s="212"/>
      <c r="I10" s="213"/>
      <c r="J10" s="213"/>
      <c r="K10" s="212"/>
    </row>
    <row r="11" spans="1:11" hidden="1">
      <c r="A11" s="211" t="s">
        <v>578</v>
      </c>
      <c r="B11" s="211" t="s">
        <v>667</v>
      </c>
      <c r="C11" s="215">
        <v>0.75</v>
      </c>
      <c r="D11" s="215">
        <v>0</v>
      </c>
      <c r="E11" s="212"/>
      <c r="F11" s="212"/>
      <c r="G11" s="212"/>
      <c r="H11" s="212"/>
      <c r="I11" s="213"/>
      <c r="J11" s="213"/>
      <c r="K11" s="212"/>
    </row>
    <row r="12" spans="1:11" hidden="1">
      <c r="A12" s="211" t="s">
        <v>578</v>
      </c>
      <c r="B12" s="211" t="s">
        <v>668</v>
      </c>
      <c r="C12" s="215">
        <v>0.75</v>
      </c>
      <c r="D12" s="215">
        <v>0</v>
      </c>
      <c r="E12" s="212"/>
      <c r="F12" s="212"/>
      <c r="G12" s="212"/>
      <c r="H12" s="212"/>
      <c r="I12" s="213"/>
      <c r="J12" s="213"/>
      <c r="K12" s="212"/>
    </row>
    <row r="13" spans="1:11" hidden="1">
      <c r="A13" s="211" t="s">
        <v>578</v>
      </c>
      <c r="B13" s="211" t="s">
        <v>669</v>
      </c>
      <c r="C13" s="215">
        <v>0.75</v>
      </c>
      <c r="D13" s="215">
        <v>0</v>
      </c>
      <c r="E13" s="212"/>
      <c r="F13" s="212"/>
      <c r="G13" s="212"/>
      <c r="H13" s="212"/>
      <c r="I13" s="213"/>
      <c r="J13" s="213"/>
      <c r="K13" s="212"/>
    </row>
    <row r="14" spans="1:11" hidden="1">
      <c r="A14" s="211" t="s">
        <v>578</v>
      </c>
      <c r="B14" s="211" t="s">
        <v>665</v>
      </c>
      <c r="C14" s="215">
        <v>1</v>
      </c>
      <c r="D14" s="215">
        <v>0</v>
      </c>
      <c r="E14" s="212"/>
      <c r="F14" s="212"/>
      <c r="G14" s="212"/>
      <c r="H14" s="212"/>
      <c r="I14" s="213"/>
      <c r="J14" s="213"/>
      <c r="K14" s="212"/>
    </row>
    <row r="15" spans="1:11" hidden="1">
      <c r="A15" s="211" t="s">
        <v>578</v>
      </c>
      <c r="B15" s="211" t="s">
        <v>602</v>
      </c>
      <c r="C15" s="215">
        <v>1.3</v>
      </c>
      <c r="D15" s="215">
        <v>0.1</v>
      </c>
      <c r="E15" s="212"/>
      <c r="F15" s="212" t="s">
        <v>38</v>
      </c>
      <c r="G15" s="212"/>
      <c r="H15" s="212"/>
      <c r="I15" s="213"/>
      <c r="J15" s="213"/>
      <c r="K15" s="212"/>
    </row>
    <row r="16" spans="1:11" hidden="1">
      <c r="A16" s="211" t="s">
        <v>578</v>
      </c>
      <c r="B16" s="211" t="s">
        <v>602</v>
      </c>
      <c r="C16" s="215">
        <v>1.3</v>
      </c>
      <c r="D16" s="215">
        <v>0.2</v>
      </c>
      <c r="E16" s="212"/>
      <c r="F16" s="212"/>
      <c r="G16" s="212" t="s">
        <v>38</v>
      </c>
      <c r="H16" s="212"/>
      <c r="I16" s="213"/>
      <c r="J16" s="213"/>
      <c r="K16" s="212"/>
    </row>
    <row r="17" spans="1:11" hidden="1">
      <c r="A17" s="211" t="s">
        <v>578</v>
      </c>
      <c r="B17" s="211" t="s">
        <v>602</v>
      </c>
      <c r="C17" s="215">
        <v>1.3</v>
      </c>
      <c r="D17" s="215" t="s">
        <v>603</v>
      </c>
      <c r="E17" s="212"/>
      <c r="F17" s="212"/>
      <c r="G17" s="212"/>
      <c r="H17" s="212" t="s">
        <v>38</v>
      </c>
      <c r="I17" s="213"/>
      <c r="J17" s="213"/>
      <c r="K17" s="212"/>
    </row>
    <row r="18" spans="1:11" s="214" customFormat="1" hidden="1">
      <c r="A18" s="211" t="s">
        <v>576</v>
      </c>
      <c r="B18" s="211" t="s">
        <v>608</v>
      </c>
      <c r="C18" s="215">
        <v>0.7</v>
      </c>
      <c r="D18" s="215">
        <v>0.05</v>
      </c>
      <c r="E18" s="212"/>
      <c r="F18" s="212"/>
      <c r="G18" s="212" t="s">
        <v>38</v>
      </c>
      <c r="H18" s="212"/>
      <c r="I18" s="213"/>
      <c r="J18" s="213"/>
      <c r="K18" s="212"/>
    </row>
    <row r="19" spans="1:11" s="214" customFormat="1" hidden="1">
      <c r="A19" s="211" t="s">
        <v>576</v>
      </c>
      <c r="B19" s="211" t="s">
        <v>608</v>
      </c>
      <c r="C19" s="215">
        <v>0.7</v>
      </c>
      <c r="D19" s="215">
        <v>0.1</v>
      </c>
      <c r="E19" s="212"/>
      <c r="F19" s="212"/>
      <c r="G19" s="212"/>
      <c r="H19" s="212" t="s">
        <v>38</v>
      </c>
      <c r="I19" s="213"/>
      <c r="J19" s="213"/>
      <c r="K19" s="212"/>
    </row>
    <row r="20" spans="1:11" s="214" customFormat="1" hidden="1">
      <c r="A20" s="211" t="s">
        <v>576</v>
      </c>
      <c r="B20" s="211" t="s">
        <v>609</v>
      </c>
      <c r="C20" s="215">
        <v>0.6</v>
      </c>
      <c r="D20" s="215">
        <v>0.05</v>
      </c>
      <c r="E20" s="212"/>
      <c r="F20" s="212"/>
      <c r="G20" s="212" t="s">
        <v>38</v>
      </c>
      <c r="H20" s="212"/>
      <c r="I20" s="213"/>
      <c r="J20" s="213"/>
      <c r="K20" s="212"/>
    </row>
    <row r="21" spans="1:11" s="214" customFormat="1" hidden="1">
      <c r="A21" s="211" t="s">
        <v>576</v>
      </c>
      <c r="B21" s="211" t="s">
        <v>609</v>
      </c>
      <c r="C21" s="215">
        <v>0.6</v>
      </c>
      <c r="D21" s="215">
        <v>0.1</v>
      </c>
      <c r="E21" s="212"/>
      <c r="F21" s="212"/>
      <c r="G21" s="212"/>
      <c r="H21" s="212" t="s">
        <v>38</v>
      </c>
      <c r="I21" s="213"/>
      <c r="J21" s="213"/>
      <c r="K21" s="212"/>
    </row>
    <row r="22" spans="1:11" s="214" customFormat="1" hidden="1">
      <c r="A22" s="211" t="s">
        <v>576</v>
      </c>
      <c r="B22" s="211" t="s">
        <v>600</v>
      </c>
      <c r="C22" s="215">
        <v>0.85</v>
      </c>
      <c r="D22" s="215">
        <v>0.05</v>
      </c>
      <c r="E22" s="212"/>
      <c r="F22" s="212" t="s">
        <v>38</v>
      </c>
      <c r="G22" s="212"/>
      <c r="H22" s="212"/>
      <c r="I22" s="213"/>
      <c r="J22" s="213"/>
      <c r="K22" s="212"/>
    </row>
    <row r="23" spans="1:11" s="214" customFormat="1" hidden="1">
      <c r="A23" s="211" t="s">
        <v>576</v>
      </c>
      <c r="B23" s="211" t="s">
        <v>601</v>
      </c>
      <c r="C23" s="215">
        <v>0.85</v>
      </c>
      <c r="D23" s="215">
        <v>0.1</v>
      </c>
      <c r="E23" s="212"/>
      <c r="F23" s="212" t="s">
        <v>38</v>
      </c>
      <c r="G23" s="212"/>
      <c r="H23" s="212"/>
      <c r="I23" s="213"/>
      <c r="J23" s="213"/>
      <c r="K23" s="212"/>
    </row>
    <row r="24" spans="1:11" s="214" customFormat="1" hidden="1">
      <c r="A24" s="211" t="s">
        <v>576</v>
      </c>
      <c r="B24" s="211" t="s">
        <v>599</v>
      </c>
      <c r="C24" s="215">
        <v>0.85</v>
      </c>
      <c r="D24" s="215">
        <v>0.1</v>
      </c>
      <c r="E24" s="212"/>
      <c r="F24" s="212"/>
      <c r="G24" s="212" t="s">
        <v>38</v>
      </c>
      <c r="H24" s="212"/>
      <c r="I24" s="213"/>
      <c r="J24" s="213"/>
      <c r="K24" s="212"/>
    </row>
    <row r="25" spans="1:11" s="214" customFormat="1" hidden="1">
      <c r="A25" s="211" t="s">
        <v>576</v>
      </c>
      <c r="B25" s="211" t="s">
        <v>602</v>
      </c>
      <c r="C25" s="215">
        <v>1.2</v>
      </c>
      <c r="D25" s="215">
        <v>0.1</v>
      </c>
      <c r="E25" s="212"/>
      <c r="F25" s="212" t="s">
        <v>38</v>
      </c>
      <c r="G25" s="212"/>
      <c r="H25" s="212"/>
      <c r="I25" s="213"/>
      <c r="J25" s="213"/>
      <c r="K25" s="212"/>
    </row>
    <row r="26" spans="1:11" s="214" customFormat="1" hidden="1">
      <c r="A26" s="211" t="s">
        <v>576</v>
      </c>
      <c r="B26" s="211" t="s">
        <v>602</v>
      </c>
      <c r="C26" s="215">
        <v>1.2</v>
      </c>
      <c r="D26" s="215">
        <v>0.2</v>
      </c>
      <c r="E26" s="212"/>
      <c r="F26" s="212"/>
      <c r="G26" s="212" t="s">
        <v>38</v>
      </c>
      <c r="H26" s="212"/>
      <c r="I26" s="213"/>
      <c r="J26" s="213"/>
      <c r="K26" s="212"/>
    </row>
    <row r="27" spans="1:11" s="214" customFormat="1" hidden="1">
      <c r="A27" s="211" t="s">
        <v>576</v>
      </c>
      <c r="B27" s="211" t="s">
        <v>602</v>
      </c>
      <c r="C27" s="215">
        <v>1.2</v>
      </c>
      <c r="D27" s="215" t="s">
        <v>603</v>
      </c>
      <c r="E27" s="212"/>
      <c r="F27" s="212"/>
      <c r="G27" s="212"/>
      <c r="H27" s="212" t="s">
        <v>38</v>
      </c>
      <c r="I27" s="213"/>
      <c r="J27" s="213"/>
      <c r="K27" s="212"/>
    </row>
    <row r="28" spans="1:11" s="214" customFormat="1" hidden="1">
      <c r="A28" s="211" t="s">
        <v>577</v>
      </c>
      <c r="B28" s="211" t="s">
        <v>598</v>
      </c>
      <c r="C28" s="215">
        <v>0.55000000000000004</v>
      </c>
      <c r="D28" s="215">
        <v>0.05</v>
      </c>
      <c r="E28" s="212"/>
      <c r="F28" s="212"/>
      <c r="G28" s="212" t="s">
        <v>38</v>
      </c>
      <c r="H28" s="212"/>
      <c r="I28" s="213"/>
      <c r="J28" s="213"/>
      <c r="K28" s="212"/>
    </row>
    <row r="29" spans="1:11" s="214" customFormat="1" hidden="1">
      <c r="A29" s="211" t="s">
        <v>577</v>
      </c>
      <c r="B29" s="211" t="s">
        <v>598</v>
      </c>
      <c r="C29" s="215">
        <v>0.55000000000000004</v>
      </c>
      <c r="D29" s="215">
        <v>0.1</v>
      </c>
      <c r="E29" s="212"/>
      <c r="F29" s="212"/>
      <c r="G29" s="212"/>
      <c r="H29" s="212" t="s">
        <v>38</v>
      </c>
      <c r="I29" s="213"/>
      <c r="J29" s="213"/>
      <c r="K29" s="212"/>
    </row>
    <row r="30" spans="1:11" s="214" customFormat="1" hidden="1">
      <c r="A30" s="211" t="s">
        <v>577</v>
      </c>
      <c r="B30" s="211" t="s">
        <v>600</v>
      </c>
      <c r="C30" s="215">
        <v>0.85</v>
      </c>
      <c r="D30" s="215">
        <v>0.05</v>
      </c>
      <c r="E30" s="212"/>
      <c r="F30" s="212" t="s">
        <v>38</v>
      </c>
      <c r="G30" s="212"/>
      <c r="H30" s="212"/>
      <c r="I30" s="213"/>
      <c r="J30" s="213"/>
      <c r="K30" s="212"/>
    </row>
    <row r="31" spans="1:11" s="214" customFormat="1" hidden="1">
      <c r="A31" s="211" t="s">
        <v>577</v>
      </c>
      <c r="B31" s="211" t="s">
        <v>601</v>
      </c>
      <c r="C31" s="215">
        <v>0.85</v>
      </c>
      <c r="D31" s="215">
        <v>0.1</v>
      </c>
      <c r="E31" s="212"/>
      <c r="F31" s="212" t="s">
        <v>38</v>
      </c>
      <c r="G31" s="212"/>
      <c r="H31" s="212"/>
      <c r="I31" s="213"/>
      <c r="J31" s="213"/>
      <c r="K31" s="212"/>
    </row>
    <row r="32" spans="1:11" s="214" customFormat="1" hidden="1">
      <c r="A32" s="211" t="s">
        <v>577</v>
      </c>
      <c r="B32" s="211" t="s">
        <v>599</v>
      </c>
      <c r="C32" s="215">
        <v>0.85</v>
      </c>
      <c r="D32" s="215">
        <v>0.1</v>
      </c>
      <c r="E32" s="212"/>
      <c r="F32" s="212"/>
      <c r="G32" s="212" t="s">
        <v>38</v>
      </c>
      <c r="H32" s="212"/>
      <c r="I32" s="213"/>
      <c r="J32" s="213"/>
      <c r="K32" s="212"/>
    </row>
    <row r="33" spans="1:11" s="214" customFormat="1" hidden="1">
      <c r="A33" s="211" t="s">
        <v>577</v>
      </c>
      <c r="B33" s="211" t="s">
        <v>602</v>
      </c>
      <c r="C33" s="215">
        <v>1.1000000000000001</v>
      </c>
      <c r="D33" s="215">
        <v>0.1</v>
      </c>
      <c r="E33" s="212"/>
      <c r="F33" s="212" t="s">
        <v>38</v>
      </c>
      <c r="G33" s="212"/>
      <c r="H33" s="212"/>
      <c r="I33" s="213"/>
      <c r="J33" s="213"/>
      <c r="K33" s="212"/>
    </row>
    <row r="34" spans="1:11" s="214" customFormat="1" hidden="1">
      <c r="A34" s="211" t="s">
        <v>577</v>
      </c>
      <c r="B34" s="211" t="s">
        <v>602</v>
      </c>
      <c r="C34" s="215">
        <v>1.1000000000000001</v>
      </c>
      <c r="D34" s="215">
        <v>0.2</v>
      </c>
      <c r="E34" s="212"/>
      <c r="F34" s="212"/>
      <c r="G34" s="212" t="s">
        <v>38</v>
      </c>
      <c r="H34" s="212"/>
      <c r="I34" s="213"/>
      <c r="J34" s="213"/>
      <c r="K34" s="212"/>
    </row>
    <row r="35" spans="1:11" s="214" customFormat="1" hidden="1">
      <c r="A35" s="211" t="s">
        <v>577</v>
      </c>
      <c r="B35" s="211" t="s">
        <v>602</v>
      </c>
      <c r="C35" s="215">
        <v>1.1000000000000001</v>
      </c>
      <c r="D35" s="215" t="s">
        <v>603</v>
      </c>
      <c r="E35" s="212"/>
      <c r="F35" s="212"/>
      <c r="G35" s="212"/>
      <c r="H35" s="212" t="s">
        <v>38</v>
      </c>
      <c r="I35" s="213"/>
      <c r="J35" s="213"/>
      <c r="K35" s="212"/>
    </row>
    <row r="36" spans="1:11" s="214" customFormat="1" hidden="1">
      <c r="A36" s="211" t="s">
        <v>557</v>
      </c>
      <c r="B36" s="211" t="s">
        <v>611</v>
      </c>
      <c r="C36" s="215">
        <v>0.9</v>
      </c>
      <c r="D36" s="215">
        <v>0.05</v>
      </c>
      <c r="E36" s="212"/>
      <c r="F36" s="212"/>
      <c r="G36" s="212" t="s">
        <v>38</v>
      </c>
      <c r="H36" s="212"/>
      <c r="I36" s="213"/>
      <c r="J36" s="213"/>
      <c r="K36" s="212"/>
    </row>
    <row r="37" spans="1:11" s="214" customFormat="1" hidden="1">
      <c r="A37" s="211" t="s">
        <v>557</v>
      </c>
      <c r="B37" s="211" t="s">
        <v>612</v>
      </c>
      <c r="C37" s="215">
        <v>0.8</v>
      </c>
      <c r="D37" s="215">
        <v>0.05</v>
      </c>
      <c r="E37" s="212"/>
      <c r="F37" s="212"/>
      <c r="G37" s="212" t="s">
        <v>38</v>
      </c>
      <c r="H37" s="212"/>
      <c r="I37" s="213"/>
      <c r="J37" s="213"/>
      <c r="K37" s="212"/>
    </row>
    <row r="38" spans="1:11" s="214" customFormat="1" hidden="1">
      <c r="A38" s="211" t="s">
        <v>557</v>
      </c>
      <c r="B38" s="211" t="s">
        <v>613</v>
      </c>
      <c r="C38" s="215">
        <v>0.75</v>
      </c>
      <c r="D38" s="215">
        <v>0.05</v>
      </c>
      <c r="E38" s="212"/>
      <c r="F38" s="212"/>
      <c r="G38" s="212" t="s">
        <v>38</v>
      </c>
      <c r="H38" s="212"/>
      <c r="I38" s="213"/>
      <c r="J38" s="213"/>
      <c r="K38" s="212"/>
    </row>
    <row r="39" spans="1:11" s="214" customFormat="1" hidden="1">
      <c r="A39" s="211" t="s">
        <v>557</v>
      </c>
      <c r="B39" s="211" t="s">
        <v>611</v>
      </c>
      <c r="C39" s="215">
        <v>0.9</v>
      </c>
      <c r="D39" s="215">
        <v>0.1</v>
      </c>
      <c r="E39" s="212"/>
      <c r="F39" s="212"/>
      <c r="G39" s="212" t="s">
        <v>38</v>
      </c>
      <c r="H39" s="212" t="s">
        <v>38</v>
      </c>
      <c r="I39" s="213"/>
      <c r="J39" s="213"/>
      <c r="K39" s="212"/>
    </row>
    <row r="40" spans="1:11" s="214" customFormat="1" hidden="1">
      <c r="A40" s="211" t="s">
        <v>557</v>
      </c>
      <c r="B40" s="211" t="s">
        <v>612</v>
      </c>
      <c r="C40" s="215">
        <v>0.8</v>
      </c>
      <c r="D40" s="215">
        <v>0.1</v>
      </c>
      <c r="E40" s="212"/>
      <c r="F40" s="212"/>
      <c r="G40" s="212" t="s">
        <v>38</v>
      </c>
      <c r="H40" s="212" t="s">
        <v>38</v>
      </c>
      <c r="I40" s="213"/>
      <c r="J40" s="213"/>
      <c r="K40" s="212"/>
    </row>
    <row r="41" spans="1:11" s="214" customFormat="1" hidden="1">
      <c r="A41" s="211" t="s">
        <v>557</v>
      </c>
      <c r="B41" s="211" t="s">
        <v>613</v>
      </c>
      <c r="C41" s="215">
        <v>0.75</v>
      </c>
      <c r="D41" s="215">
        <v>0.1</v>
      </c>
      <c r="E41" s="212"/>
      <c r="F41" s="212"/>
      <c r="G41" s="212" t="s">
        <v>38</v>
      </c>
      <c r="H41" s="212" t="s">
        <v>38</v>
      </c>
      <c r="I41" s="213"/>
      <c r="J41" s="213"/>
      <c r="K41" s="212"/>
    </row>
    <row r="42" spans="1:11" s="214" customFormat="1" hidden="1">
      <c r="A42" s="211" t="s">
        <v>557</v>
      </c>
      <c r="B42" s="211" t="s">
        <v>615</v>
      </c>
      <c r="C42" s="215">
        <v>0.75</v>
      </c>
      <c r="D42" s="215">
        <v>0.05</v>
      </c>
      <c r="E42" s="212"/>
      <c r="F42" s="212"/>
      <c r="G42" s="212" t="s">
        <v>38</v>
      </c>
      <c r="H42" s="212"/>
      <c r="I42" s="213"/>
      <c r="J42" s="213"/>
      <c r="K42" s="212"/>
    </row>
    <row r="43" spans="1:11" s="214" customFormat="1" hidden="1">
      <c r="A43" s="211" t="s">
        <v>557</v>
      </c>
      <c r="B43" s="211" t="s">
        <v>615</v>
      </c>
      <c r="C43" s="215">
        <v>0.75</v>
      </c>
      <c r="D43" s="215">
        <v>0.1</v>
      </c>
      <c r="E43" s="212"/>
      <c r="F43" s="212"/>
      <c r="G43" s="212"/>
      <c r="H43" s="212" t="s">
        <v>38</v>
      </c>
      <c r="I43" s="213"/>
      <c r="J43" s="213"/>
      <c r="K43" s="212"/>
    </row>
    <row r="44" spans="1:11" s="214" customFormat="1" hidden="1">
      <c r="A44" s="211" t="s">
        <v>557</v>
      </c>
      <c r="B44" s="211" t="s">
        <v>614</v>
      </c>
      <c r="C44" s="215">
        <v>0.7</v>
      </c>
      <c r="D44" s="215">
        <v>0.05</v>
      </c>
      <c r="E44" s="212"/>
      <c r="F44" s="212"/>
      <c r="G44" s="212" t="s">
        <v>38</v>
      </c>
      <c r="H44" s="212"/>
      <c r="I44" s="213"/>
      <c r="J44" s="213"/>
      <c r="K44" s="212"/>
    </row>
    <row r="45" spans="1:11" s="214" customFormat="1" hidden="1">
      <c r="A45" s="211" t="s">
        <v>557</v>
      </c>
      <c r="B45" s="211" t="s">
        <v>614</v>
      </c>
      <c r="C45" s="215">
        <v>0.7</v>
      </c>
      <c r="D45" s="215">
        <v>0.1</v>
      </c>
      <c r="E45" s="212"/>
      <c r="F45" s="212"/>
      <c r="G45" s="212"/>
      <c r="H45" s="212" t="s">
        <v>38</v>
      </c>
      <c r="I45" s="213"/>
      <c r="J45" s="213"/>
      <c r="K45" s="212"/>
    </row>
    <row r="46" spans="1:11" s="214" customFormat="1" hidden="1">
      <c r="A46" s="211" t="s">
        <v>557</v>
      </c>
      <c r="B46" s="211" t="s">
        <v>610</v>
      </c>
      <c r="C46" s="215">
        <v>0.6</v>
      </c>
      <c r="D46" s="215">
        <v>0.05</v>
      </c>
      <c r="E46" s="212"/>
      <c r="F46" s="212"/>
      <c r="G46" s="212" t="s">
        <v>38</v>
      </c>
      <c r="H46" s="212"/>
      <c r="I46" s="213"/>
      <c r="J46" s="213"/>
      <c r="K46" s="212"/>
    </row>
    <row r="47" spans="1:11" s="214" customFormat="1" hidden="1">
      <c r="A47" s="211" t="s">
        <v>557</v>
      </c>
      <c r="B47" s="211" t="s">
        <v>610</v>
      </c>
      <c r="C47" s="215">
        <v>0.6</v>
      </c>
      <c r="D47" s="215">
        <v>0.1</v>
      </c>
      <c r="E47" s="212"/>
      <c r="F47" s="212"/>
      <c r="G47" s="212"/>
      <c r="H47" s="212" t="s">
        <v>38</v>
      </c>
      <c r="I47" s="213"/>
      <c r="J47" s="213"/>
      <c r="K47" s="212"/>
    </row>
    <row r="48" spans="1:11" s="214" customFormat="1" hidden="1">
      <c r="A48" s="211" t="s">
        <v>557</v>
      </c>
      <c r="B48" s="211" t="s">
        <v>599</v>
      </c>
      <c r="C48" s="215">
        <v>1</v>
      </c>
      <c r="D48" s="215"/>
      <c r="E48" s="212"/>
      <c r="F48" s="212"/>
      <c r="G48" s="212"/>
      <c r="H48" s="212"/>
      <c r="I48" s="213"/>
      <c r="J48" s="213"/>
      <c r="K48" s="212"/>
    </row>
    <row r="49" spans="1:11" s="214" customFormat="1" hidden="1">
      <c r="A49" s="211" t="s">
        <v>557</v>
      </c>
      <c r="B49" s="211" t="s">
        <v>602</v>
      </c>
      <c r="C49" s="215">
        <v>1.3</v>
      </c>
      <c r="D49" s="215">
        <v>0.1</v>
      </c>
      <c r="E49" s="212"/>
      <c r="F49" s="212" t="s">
        <v>38</v>
      </c>
      <c r="G49" s="212"/>
      <c r="H49" s="212"/>
      <c r="I49" s="213"/>
      <c r="J49" s="213"/>
      <c r="K49" s="212"/>
    </row>
    <row r="50" spans="1:11" s="214" customFormat="1" hidden="1">
      <c r="A50" s="211" t="s">
        <v>557</v>
      </c>
      <c r="B50" s="211" t="s">
        <v>602</v>
      </c>
      <c r="C50" s="215">
        <v>1.3</v>
      </c>
      <c r="D50" s="215">
        <v>0.2</v>
      </c>
      <c r="E50" s="212"/>
      <c r="F50" s="212"/>
      <c r="G50" s="212" t="s">
        <v>38</v>
      </c>
      <c r="H50" s="212"/>
      <c r="I50" s="213"/>
      <c r="J50" s="213"/>
      <c r="K50" s="212"/>
    </row>
    <row r="51" spans="1:11" s="214" customFormat="1" hidden="1">
      <c r="A51" s="211" t="s">
        <v>557</v>
      </c>
      <c r="B51" s="211" t="s">
        <v>602</v>
      </c>
      <c r="C51" s="215">
        <v>1.3</v>
      </c>
      <c r="D51" s="215" t="s">
        <v>603</v>
      </c>
      <c r="E51" s="212"/>
      <c r="F51" s="212"/>
      <c r="G51" s="212"/>
      <c r="H51" s="212" t="s">
        <v>38</v>
      </c>
      <c r="I51" s="213"/>
      <c r="J51" s="213"/>
      <c r="K51" s="212"/>
    </row>
    <row r="52" spans="1:11" s="214" customFormat="1" hidden="1">
      <c r="A52" s="211" t="s">
        <v>616</v>
      </c>
      <c r="B52" s="211" t="s">
        <v>628</v>
      </c>
      <c r="C52" s="215">
        <v>0.5</v>
      </c>
      <c r="D52" s="215">
        <v>0.1</v>
      </c>
      <c r="E52" s="212"/>
      <c r="F52" s="212"/>
      <c r="G52" s="212"/>
      <c r="H52" s="212" t="s">
        <v>38</v>
      </c>
      <c r="I52" s="213"/>
      <c r="J52" s="213"/>
      <c r="K52" s="212"/>
    </row>
    <row r="53" spans="1:11" s="214" customFormat="1" hidden="1">
      <c r="A53" s="211" t="s">
        <v>616</v>
      </c>
      <c r="B53" s="211" t="s">
        <v>629</v>
      </c>
      <c r="C53" s="215">
        <v>0.5</v>
      </c>
      <c r="D53" s="215">
        <v>0.1</v>
      </c>
      <c r="E53" s="212"/>
      <c r="F53" s="212"/>
      <c r="G53" s="212"/>
      <c r="H53" s="212" t="s">
        <v>38</v>
      </c>
      <c r="I53" s="213"/>
      <c r="J53" s="213"/>
      <c r="K53" s="212"/>
    </row>
    <row r="54" spans="1:11" s="214" customFormat="1" hidden="1">
      <c r="A54" s="211" t="s">
        <v>616</v>
      </c>
      <c r="B54" s="211" t="s">
        <v>630</v>
      </c>
      <c r="C54" s="215">
        <v>0.5</v>
      </c>
      <c r="D54" s="215">
        <v>0.1</v>
      </c>
      <c r="E54" s="212"/>
      <c r="F54" s="212"/>
      <c r="G54" s="212"/>
      <c r="H54" s="212" t="s">
        <v>38</v>
      </c>
      <c r="I54" s="213"/>
      <c r="J54" s="213"/>
      <c r="K54" s="212"/>
    </row>
    <row r="55" spans="1:11" s="214" customFormat="1" hidden="1">
      <c r="A55" s="211" t="s">
        <v>616</v>
      </c>
      <c r="B55" s="211" t="s">
        <v>631</v>
      </c>
      <c r="C55" s="215">
        <v>0.4</v>
      </c>
      <c r="D55" s="215">
        <v>0.1</v>
      </c>
      <c r="E55" s="212"/>
      <c r="F55" s="212"/>
      <c r="G55" s="212"/>
      <c r="H55" s="212" t="s">
        <v>38</v>
      </c>
      <c r="I55" s="213"/>
      <c r="J55" s="213"/>
      <c r="K55" s="212"/>
    </row>
    <row r="56" spans="1:11" s="214" customFormat="1" hidden="1">
      <c r="A56" s="211" t="s">
        <v>616</v>
      </c>
      <c r="B56" s="211" t="s">
        <v>632</v>
      </c>
      <c r="C56" s="215">
        <v>0.5</v>
      </c>
      <c r="D56" s="215">
        <v>0.1</v>
      </c>
      <c r="E56" s="212"/>
      <c r="F56" s="212"/>
      <c r="G56" s="212"/>
      <c r="H56" s="212" t="s">
        <v>38</v>
      </c>
      <c r="I56" s="213"/>
      <c r="J56" s="213"/>
      <c r="K56" s="212"/>
    </row>
    <row r="57" spans="1:11" s="214" customFormat="1" hidden="1">
      <c r="A57" s="211" t="s">
        <v>616</v>
      </c>
      <c r="B57" s="211" t="s">
        <v>633</v>
      </c>
      <c r="C57" s="215">
        <v>0.5</v>
      </c>
      <c r="D57" s="215">
        <v>0.1</v>
      </c>
      <c r="E57" s="212"/>
      <c r="F57" s="212"/>
      <c r="G57" s="212"/>
      <c r="H57" s="212" t="s">
        <v>38</v>
      </c>
      <c r="I57" s="213"/>
      <c r="J57" s="213"/>
      <c r="K57" s="212"/>
    </row>
    <row r="58" spans="1:11" s="214" customFormat="1" hidden="1">
      <c r="A58" s="211" t="s">
        <v>616</v>
      </c>
      <c r="B58" s="211" t="s">
        <v>634</v>
      </c>
      <c r="C58" s="215">
        <v>0.3</v>
      </c>
      <c r="D58" s="215">
        <v>0.1</v>
      </c>
      <c r="E58" s="212"/>
      <c r="F58" s="212"/>
      <c r="G58" s="212"/>
      <c r="H58" s="212" t="s">
        <v>38</v>
      </c>
      <c r="I58" s="213"/>
      <c r="J58" s="213"/>
      <c r="K58" s="212"/>
    </row>
    <row r="59" spans="1:11" s="214" customFormat="1" hidden="1">
      <c r="A59" s="211" t="s">
        <v>616</v>
      </c>
      <c r="B59" s="211" t="s">
        <v>599</v>
      </c>
      <c r="C59" s="215">
        <v>0.85</v>
      </c>
      <c r="D59" s="215">
        <v>0.1</v>
      </c>
      <c r="E59" s="212"/>
      <c r="F59" s="212"/>
      <c r="G59" s="212" t="s">
        <v>38</v>
      </c>
      <c r="H59" s="212"/>
      <c r="I59" s="213"/>
      <c r="J59" s="213"/>
      <c r="K59" s="212"/>
    </row>
    <row r="60" spans="1:11" s="214" customFormat="1" hidden="1">
      <c r="A60" s="211" t="s">
        <v>616</v>
      </c>
      <c r="B60" s="211" t="s">
        <v>602</v>
      </c>
      <c r="C60" s="215">
        <v>1.1000000000000001</v>
      </c>
      <c r="D60" s="215">
        <v>0.1</v>
      </c>
      <c r="E60" s="212"/>
      <c r="F60" s="212" t="s">
        <v>38</v>
      </c>
      <c r="G60" s="212"/>
      <c r="H60" s="212"/>
      <c r="I60" s="213"/>
      <c r="J60" s="213"/>
      <c r="K60" s="212"/>
    </row>
    <row r="61" spans="1:11" s="214" customFormat="1" hidden="1">
      <c r="A61" s="211" t="s">
        <v>616</v>
      </c>
      <c r="B61" s="211" t="s">
        <v>602</v>
      </c>
      <c r="C61" s="215">
        <v>1.1000000000000001</v>
      </c>
      <c r="D61" s="215">
        <v>0.2</v>
      </c>
      <c r="E61" s="212"/>
      <c r="F61" s="212"/>
      <c r="G61" s="212" t="s">
        <v>38</v>
      </c>
      <c r="H61" s="212"/>
      <c r="I61" s="213"/>
      <c r="J61" s="213"/>
      <c r="K61" s="212"/>
    </row>
    <row r="62" spans="1:11" s="214" customFormat="1" hidden="1">
      <c r="A62" s="211" t="s">
        <v>616</v>
      </c>
      <c r="B62" s="211" t="s">
        <v>602</v>
      </c>
      <c r="C62" s="215">
        <v>1.1000000000000001</v>
      </c>
      <c r="D62" s="215" t="s">
        <v>603</v>
      </c>
      <c r="E62" s="212"/>
      <c r="F62" s="212"/>
      <c r="G62" s="212"/>
      <c r="H62" s="212" t="s">
        <v>38</v>
      </c>
      <c r="I62" s="213"/>
      <c r="J62" s="213"/>
      <c r="K62" s="212"/>
    </row>
    <row r="63" spans="1:11" hidden="1">
      <c r="A63" t="s">
        <v>412</v>
      </c>
      <c r="B63" t="s">
        <v>419</v>
      </c>
      <c r="C63" s="196">
        <v>0.65</v>
      </c>
      <c r="D63" s="196">
        <v>0.1</v>
      </c>
      <c r="H63" s="193" t="s">
        <v>38</v>
      </c>
    </row>
    <row r="64" spans="1:11" hidden="1">
      <c r="A64" t="s">
        <v>412</v>
      </c>
      <c r="B64" t="s">
        <v>431</v>
      </c>
      <c r="C64" s="198">
        <v>30</v>
      </c>
      <c r="D64" s="193">
        <v>10</v>
      </c>
      <c r="H64" s="193" t="s">
        <v>38</v>
      </c>
    </row>
    <row r="65" spans="1:10" hidden="1">
      <c r="A65" t="s">
        <v>412</v>
      </c>
      <c r="B65" t="s">
        <v>432</v>
      </c>
      <c r="C65" s="198">
        <v>40</v>
      </c>
      <c r="D65" s="193">
        <v>10</v>
      </c>
      <c r="I65" s="193" t="s">
        <v>38</v>
      </c>
    </row>
    <row r="66" spans="1:10" hidden="1">
      <c r="A66" t="s">
        <v>412</v>
      </c>
      <c r="B66" t="s">
        <v>421</v>
      </c>
      <c r="C66" s="199">
        <v>0.6</v>
      </c>
      <c r="D66" s="196">
        <v>0.05</v>
      </c>
      <c r="H66" s="193" t="s">
        <v>38</v>
      </c>
    </row>
    <row r="67" spans="1:10" hidden="1">
      <c r="A67" t="s">
        <v>412</v>
      </c>
      <c r="B67" t="s">
        <v>422</v>
      </c>
      <c r="C67" s="199">
        <v>0.55000000000000004</v>
      </c>
      <c r="D67" s="196">
        <v>0.05</v>
      </c>
      <c r="H67" s="193" t="s">
        <v>38</v>
      </c>
    </row>
    <row r="68" spans="1:10" hidden="1">
      <c r="A68" t="s">
        <v>412</v>
      </c>
      <c r="B68" t="s">
        <v>425</v>
      </c>
      <c r="C68" s="196">
        <v>0.65</v>
      </c>
      <c r="D68" s="196">
        <v>0.05</v>
      </c>
      <c r="H68" s="193" t="s">
        <v>38</v>
      </c>
    </row>
    <row r="69" spans="1:10" hidden="1">
      <c r="A69" t="s">
        <v>412</v>
      </c>
      <c r="B69" t="s">
        <v>426</v>
      </c>
      <c r="C69" s="196">
        <v>0.55000000000000004</v>
      </c>
      <c r="D69" s="196">
        <v>0.05</v>
      </c>
      <c r="H69" s="193" t="s">
        <v>38</v>
      </c>
    </row>
    <row r="70" spans="1:10" hidden="1">
      <c r="A70" t="s">
        <v>412</v>
      </c>
      <c r="B70" t="s">
        <v>427</v>
      </c>
      <c r="C70" s="196">
        <v>0.65</v>
      </c>
      <c r="D70" s="196"/>
      <c r="I70" s="193" t="s">
        <v>38</v>
      </c>
    </row>
    <row r="71" spans="1:10" hidden="1">
      <c r="A71" t="s">
        <v>412</v>
      </c>
      <c r="B71" t="s">
        <v>428</v>
      </c>
      <c r="C71" s="196">
        <v>0.6</v>
      </c>
      <c r="D71" s="196"/>
      <c r="I71" s="193" t="s">
        <v>38</v>
      </c>
    </row>
    <row r="72" spans="1:10" hidden="1">
      <c r="A72" t="s">
        <v>412</v>
      </c>
      <c r="B72" t="s">
        <v>429</v>
      </c>
      <c r="C72" s="196">
        <v>0.7</v>
      </c>
      <c r="D72" s="196"/>
      <c r="I72" s="193" t="s">
        <v>38</v>
      </c>
    </row>
    <row r="73" spans="1:10" hidden="1">
      <c r="A73" t="s">
        <v>412</v>
      </c>
      <c r="B73" t="s">
        <v>430</v>
      </c>
      <c r="C73" s="196">
        <v>0.6</v>
      </c>
      <c r="D73" s="196"/>
      <c r="I73" s="193" t="s">
        <v>38</v>
      </c>
    </row>
    <row r="74" spans="1:10" hidden="1">
      <c r="A74" t="s">
        <v>412</v>
      </c>
      <c r="B74" t="s">
        <v>434</v>
      </c>
      <c r="C74" s="193">
        <v>2.5</v>
      </c>
      <c r="D74" s="193">
        <v>0.5</v>
      </c>
      <c r="H74" s="193" t="s">
        <v>38</v>
      </c>
    </row>
    <row r="75" spans="1:10" hidden="1">
      <c r="A75" t="s">
        <v>412</v>
      </c>
      <c r="B75" t="s">
        <v>435</v>
      </c>
      <c r="C75" s="193">
        <v>1.5</v>
      </c>
      <c r="H75" s="193" t="s">
        <v>38</v>
      </c>
    </row>
    <row r="76" spans="1:10" hidden="1">
      <c r="A76" t="s">
        <v>412</v>
      </c>
      <c r="B76" t="s">
        <v>420</v>
      </c>
      <c r="C76" s="193">
        <v>3</v>
      </c>
      <c r="I76" s="193" t="s">
        <v>38</v>
      </c>
    </row>
    <row r="77" spans="1:10" hidden="1">
      <c r="A77" t="s">
        <v>412</v>
      </c>
      <c r="B77" t="s">
        <v>480</v>
      </c>
      <c r="C77" s="193">
        <v>20</v>
      </c>
      <c r="J77" s="193" t="s">
        <v>38</v>
      </c>
    </row>
    <row r="78" spans="1:10" hidden="1">
      <c r="A78" t="s">
        <v>412</v>
      </c>
      <c r="B78" t="s">
        <v>433</v>
      </c>
      <c r="C78" s="193">
        <v>15</v>
      </c>
      <c r="J78" s="193" t="s">
        <v>38</v>
      </c>
    </row>
    <row r="79" spans="1:10" hidden="1">
      <c r="A79" t="s">
        <v>412</v>
      </c>
      <c r="B79" t="s">
        <v>437</v>
      </c>
      <c r="C79" s="196">
        <v>0.1</v>
      </c>
      <c r="J79" s="193" t="s">
        <v>38</v>
      </c>
    </row>
    <row r="80" spans="1:10" hidden="1">
      <c r="A80" t="s">
        <v>412</v>
      </c>
      <c r="B80" t="s">
        <v>436</v>
      </c>
      <c r="C80" s="196">
        <v>7.0000000000000007E-2</v>
      </c>
      <c r="J80" s="193" t="s">
        <v>38</v>
      </c>
    </row>
    <row r="81" spans="1:10" hidden="1">
      <c r="A81" t="s">
        <v>412</v>
      </c>
      <c r="B81" t="s">
        <v>438</v>
      </c>
      <c r="C81" s="196">
        <v>0.1</v>
      </c>
      <c r="H81" s="193" t="s">
        <v>38</v>
      </c>
    </row>
    <row r="82" spans="1:10" hidden="1">
      <c r="A82" t="s">
        <v>412</v>
      </c>
      <c r="B82" t="s">
        <v>439</v>
      </c>
      <c r="C82" s="193">
        <v>6</v>
      </c>
      <c r="J82" s="193" t="s">
        <v>38</v>
      </c>
    </row>
    <row r="83" spans="1:10" hidden="1">
      <c r="A83" t="s">
        <v>457</v>
      </c>
      <c r="B83" t="s">
        <v>440</v>
      </c>
      <c r="C83" s="196">
        <v>1.3</v>
      </c>
      <c r="D83" s="196">
        <v>0.2</v>
      </c>
      <c r="H83" s="193" t="s">
        <v>38</v>
      </c>
    </row>
    <row r="84" spans="1:10" hidden="1">
      <c r="A84" t="s">
        <v>457</v>
      </c>
      <c r="B84" t="s">
        <v>431</v>
      </c>
      <c r="C84" s="198">
        <v>30</v>
      </c>
      <c r="D84" s="193">
        <v>10</v>
      </c>
      <c r="H84" s="193" t="s">
        <v>38</v>
      </c>
    </row>
    <row r="85" spans="1:10" hidden="1">
      <c r="A85" t="s">
        <v>457</v>
      </c>
      <c r="B85" t="s">
        <v>432</v>
      </c>
      <c r="C85" s="198">
        <v>40</v>
      </c>
      <c r="D85" s="193">
        <v>10</v>
      </c>
      <c r="I85" s="193" t="s">
        <v>38</v>
      </c>
    </row>
    <row r="86" spans="1:10" hidden="1">
      <c r="A86" t="s">
        <v>457</v>
      </c>
      <c r="B86" t="s">
        <v>441</v>
      </c>
      <c r="C86" s="199">
        <v>0.6</v>
      </c>
      <c r="D86" s="196">
        <v>0.05</v>
      </c>
      <c r="H86" s="193" t="s">
        <v>38</v>
      </c>
    </row>
    <row r="87" spans="1:10" hidden="1">
      <c r="A87" t="s">
        <v>457</v>
      </c>
      <c r="B87" t="s">
        <v>458</v>
      </c>
      <c r="C87" s="199">
        <v>0.5</v>
      </c>
      <c r="D87" s="196">
        <v>0.05</v>
      </c>
      <c r="H87" s="193" t="s">
        <v>38</v>
      </c>
    </row>
    <row r="88" spans="1:10" hidden="1">
      <c r="A88" t="s">
        <v>457</v>
      </c>
      <c r="B88" t="s">
        <v>446</v>
      </c>
      <c r="C88" s="196">
        <v>0.65</v>
      </c>
      <c r="D88" s="196">
        <v>0.05</v>
      </c>
      <c r="H88" s="193" t="s">
        <v>38</v>
      </c>
    </row>
    <row r="89" spans="1:10" hidden="1">
      <c r="A89" t="s">
        <v>457</v>
      </c>
      <c r="B89" t="s">
        <v>447</v>
      </c>
      <c r="C89" s="196">
        <v>0.55000000000000004</v>
      </c>
      <c r="D89" s="196">
        <v>0.05</v>
      </c>
      <c r="H89" s="193" t="s">
        <v>38</v>
      </c>
    </row>
    <row r="90" spans="1:10" hidden="1">
      <c r="A90" t="s">
        <v>457</v>
      </c>
      <c r="B90" t="s">
        <v>443</v>
      </c>
      <c r="C90" s="196">
        <v>0.65</v>
      </c>
      <c r="D90" s="196"/>
      <c r="I90" s="193" t="s">
        <v>38</v>
      </c>
    </row>
    <row r="91" spans="1:10" hidden="1">
      <c r="A91" t="s">
        <v>457</v>
      </c>
      <c r="B91" t="s">
        <v>459</v>
      </c>
      <c r="C91" s="196">
        <v>0.55000000000000004</v>
      </c>
      <c r="D91" s="196"/>
      <c r="I91" s="193" t="s">
        <v>38</v>
      </c>
    </row>
    <row r="92" spans="1:10" hidden="1">
      <c r="A92" t="s">
        <v>457</v>
      </c>
      <c r="B92" t="s">
        <v>444</v>
      </c>
      <c r="C92" s="196">
        <v>0.7</v>
      </c>
      <c r="D92" s="196"/>
      <c r="I92" s="193" t="s">
        <v>38</v>
      </c>
    </row>
    <row r="93" spans="1:10" hidden="1">
      <c r="A93" t="s">
        <v>457</v>
      </c>
      <c r="B93" t="s">
        <v>445</v>
      </c>
      <c r="C93" s="196">
        <v>0.6</v>
      </c>
      <c r="D93" s="196"/>
      <c r="I93" s="193" t="s">
        <v>38</v>
      </c>
    </row>
    <row r="94" spans="1:10" hidden="1">
      <c r="A94" t="s">
        <v>457</v>
      </c>
      <c r="B94" t="s">
        <v>442</v>
      </c>
      <c r="C94" s="199">
        <v>0.6</v>
      </c>
      <c r="D94" s="196">
        <v>0.05</v>
      </c>
      <c r="G94" s="193" t="s">
        <v>38</v>
      </c>
    </row>
    <row r="95" spans="1:10" hidden="1">
      <c r="A95" t="s">
        <v>457</v>
      </c>
      <c r="B95" t="s">
        <v>460</v>
      </c>
      <c r="C95" s="199">
        <v>0.5</v>
      </c>
      <c r="D95" s="196">
        <v>0.05</v>
      </c>
      <c r="G95" s="193" t="s">
        <v>38</v>
      </c>
    </row>
    <row r="96" spans="1:10" hidden="1">
      <c r="A96" t="s">
        <v>457</v>
      </c>
      <c r="B96" t="s">
        <v>448</v>
      </c>
      <c r="C96" s="196">
        <v>0.65</v>
      </c>
      <c r="D96" s="196">
        <v>0.05</v>
      </c>
      <c r="G96" s="193" t="s">
        <v>38</v>
      </c>
    </row>
    <row r="97" spans="1:10" hidden="1">
      <c r="A97" t="s">
        <v>457</v>
      </c>
      <c r="B97" t="s">
        <v>449</v>
      </c>
      <c r="C97" s="196">
        <v>0.55000000000000004</v>
      </c>
      <c r="D97" s="196">
        <v>0.05</v>
      </c>
      <c r="G97" s="193" t="s">
        <v>38</v>
      </c>
    </row>
    <row r="98" spans="1:10" hidden="1">
      <c r="A98" t="s">
        <v>457</v>
      </c>
      <c r="B98" t="s">
        <v>452</v>
      </c>
      <c r="C98" s="199">
        <v>0.65</v>
      </c>
      <c r="D98" s="196">
        <v>0.05</v>
      </c>
      <c r="H98" s="193" t="s">
        <v>38</v>
      </c>
    </row>
    <row r="99" spans="1:10" hidden="1">
      <c r="A99" t="s">
        <v>457</v>
      </c>
      <c r="B99" t="s">
        <v>461</v>
      </c>
      <c r="C99" s="199">
        <v>0.55000000000000004</v>
      </c>
      <c r="D99" s="196">
        <v>0.05</v>
      </c>
      <c r="H99" s="193" t="s">
        <v>38</v>
      </c>
    </row>
    <row r="100" spans="1:10" hidden="1">
      <c r="A100" t="s">
        <v>457</v>
      </c>
      <c r="B100" t="s">
        <v>450</v>
      </c>
      <c r="C100" s="196">
        <v>0.7</v>
      </c>
      <c r="D100" s="196">
        <v>0.05</v>
      </c>
      <c r="H100" s="193" t="s">
        <v>38</v>
      </c>
    </row>
    <row r="101" spans="1:10" hidden="1">
      <c r="A101" t="s">
        <v>457</v>
      </c>
      <c r="B101" t="s">
        <v>451</v>
      </c>
      <c r="C101" s="196">
        <v>0.6</v>
      </c>
      <c r="D101" s="196">
        <v>0.05</v>
      </c>
      <c r="H101" s="193" t="s">
        <v>38</v>
      </c>
    </row>
    <row r="102" spans="1:10" hidden="1">
      <c r="A102" t="s">
        <v>457</v>
      </c>
      <c r="B102" t="s">
        <v>454</v>
      </c>
      <c r="C102" s="199">
        <v>0.7</v>
      </c>
      <c r="D102" s="196">
        <v>0.05</v>
      </c>
      <c r="I102" s="193" t="s">
        <v>38</v>
      </c>
    </row>
    <row r="103" spans="1:10" hidden="1">
      <c r="A103" t="s">
        <v>457</v>
      </c>
      <c r="B103" t="s">
        <v>453</v>
      </c>
      <c r="C103" s="199">
        <v>0.6</v>
      </c>
      <c r="D103" s="196">
        <v>0.05</v>
      </c>
      <c r="I103" s="193" t="s">
        <v>38</v>
      </c>
    </row>
    <row r="104" spans="1:10" hidden="1">
      <c r="A104" t="s">
        <v>457</v>
      </c>
      <c r="B104" t="s">
        <v>455</v>
      </c>
      <c r="C104" s="196">
        <v>0.75</v>
      </c>
      <c r="D104" s="196">
        <v>0.05</v>
      </c>
      <c r="I104" s="193" t="s">
        <v>38</v>
      </c>
    </row>
    <row r="105" spans="1:10" hidden="1">
      <c r="A105" t="s">
        <v>457</v>
      </c>
      <c r="B105" t="s">
        <v>456</v>
      </c>
      <c r="C105" s="196">
        <v>0.65</v>
      </c>
      <c r="D105" s="196">
        <v>0.05</v>
      </c>
      <c r="I105" s="193" t="s">
        <v>38</v>
      </c>
    </row>
    <row r="106" spans="1:10" hidden="1">
      <c r="A106" t="s">
        <v>457</v>
      </c>
      <c r="B106" t="s">
        <v>462</v>
      </c>
      <c r="C106" s="193">
        <v>4</v>
      </c>
      <c r="H106" s="193" t="s">
        <v>38</v>
      </c>
    </row>
    <row r="107" spans="1:10" hidden="1">
      <c r="A107" t="s">
        <v>481</v>
      </c>
      <c r="B107" t="s">
        <v>482</v>
      </c>
      <c r="C107" s="196">
        <v>1.3</v>
      </c>
      <c r="J107" s="193" t="s">
        <v>38</v>
      </c>
    </row>
    <row r="108" spans="1:10" hidden="1">
      <c r="A108" t="s">
        <v>481</v>
      </c>
      <c r="B108" t="s">
        <v>484</v>
      </c>
      <c r="C108" s="196">
        <v>1.1000000000000001</v>
      </c>
      <c r="J108" s="193" t="s">
        <v>38</v>
      </c>
    </row>
    <row r="109" spans="1:10" hidden="1">
      <c r="A109" t="s">
        <v>481</v>
      </c>
      <c r="B109" t="s">
        <v>483</v>
      </c>
      <c r="C109" s="196">
        <v>1</v>
      </c>
      <c r="J109" s="193" t="s">
        <v>38</v>
      </c>
    </row>
    <row r="110" spans="1:10" hidden="1">
      <c r="A110" t="s">
        <v>481</v>
      </c>
      <c r="B110" t="s">
        <v>485</v>
      </c>
      <c r="C110" s="196">
        <v>1</v>
      </c>
      <c r="J110" s="193" t="s">
        <v>38</v>
      </c>
    </row>
    <row r="111" spans="1:10" hidden="1">
      <c r="A111" t="s">
        <v>481</v>
      </c>
      <c r="B111" t="s">
        <v>486</v>
      </c>
      <c r="C111" s="196">
        <v>1.2</v>
      </c>
      <c r="J111" s="193" t="s">
        <v>38</v>
      </c>
    </row>
    <row r="112" spans="1:10" hidden="1">
      <c r="A112" t="s">
        <v>481</v>
      </c>
      <c r="B112" t="s">
        <v>487</v>
      </c>
      <c r="C112" s="196">
        <v>1.3</v>
      </c>
      <c r="J112" s="193" t="s">
        <v>38</v>
      </c>
    </row>
    <row r="113" spans="1:10" hidden="1">
      <c r="A113" t="s">
        <v>481</v>
      </c>
      <c r="B113" t="s">
        <v>488</v>
      </c>
      <c r="C113" s="196">
        <v>1.1499999999999999</v>
      </c>
      <c r="J113" s="193" t="s">
        <v>38</v>
      </c>
    </row>
    <row r="114" spans="1:10" hidden="1">
      <c r="A114" t="s">
        <v>481</v>
      </c>
      <c r="B114" t="s">
        <v>489</v>
      </c>
      <c r="C114" s="196">
        <v>1.25</v>
      </c>
      <c r="J114" s="193" t="s">
        <v>38</v>
      </c>
    </row>
    <row r="115" spans="1:10" hidden="1">
      <c r="A115" t="s">
        <v>481</v>
      </c>
      <c r="B115" t="s">
        <v>433</v>
      </c>
      <c r="C115" s="193">
        <v>20</v>
      </c>
      <c r="J115" s="193" t="s">
        <v>38</v>
      </c>
    </row>
    <row r="116" spans="1:10" hidden="1">
      <c r="A116" t="s">
        <v>481</v>
      </c>
      <c r="B116" t="s">
        <v>480</v>
      </c>
      <c r="C116" s="193">
        <v>15</v>
      </c>
      <c r="J116" s="193" t="s">
        <v>38</v>
      </c>
    </row>
    <row r="117" spans="1:10" hidden="1">
      <c r="A117" t="s">
        <v>481</v>
      </c>
      <c r="B117" t="s">
        <v>490</v>
      </c>
      <c r="C117" s="193">
        <v>12</v>
      </c>
      <c r="J117" s="193" t="s">
        <v>38</v>
      </c>
    </row>
    <row r="118" spans="1:10" hidden="1">
      <c r="A118" t="s">
        <v>481</v>
      </c>
      <c r="B118" t="s">
        <v>431</v>
      </c>
      <c r="C118" s="198">
        <v>30</v>
      </c>
      <c r="D118" s="193">
        <v>10</v>
      </c>
      <c r="H118" s="193" t="s">
        <v>38</v>
      </c>
    </row>
    <row r="119" spans="1:10" hidden="1">
      <c r="A119" t="s">
        <v>481</v>
      </c>
      <c r="B119" t="s">
        <v>432</v>
      </c>
      <c r="C119" s="198">
        <v>40</v>
      </c>
      <c r="D119" s="193">
        <v>10</v>
      </c>
      <c r="I119" s="193" t="s">
        <v>38</v>
      </c>
    </row>
    <row r="120" spans="1:10" hidden="1">
      <c r="A120" t="s">
        <v>481</v>
      </c>
      <c r="B120" t="s">
        <v>491</v>
      </c>
      <c r="C120" s="199">
        <v>0.9</v>
      </c>
      <c r="D120" s="196">
        <v>0.05</v>
      </c>
      <c r="H120" s="193" t="s">
        <v>38</v>
      </c>
    </row>
    <row r="121" spans="1:10" hidden="1">
      <c r="A121" t="s">
        <v>481</v>
      </c>
      <c r="B121" t="s">
        <v>492</v>
      </c>
      <c r="C121" s="199">
        <v>0.8</v>
      </c>
      <c r="D121" s="196">
        <v>0.05</v>
      </c>
      <c r="H121" s="193" t="s">
        <v>38</v>
      </c>
    </row>
    <row r="122" spans="1:10" hidden="1">
      <c r="A122" t="s">
        <v>481</v>
      </c>
      <c r="B122" t="s">
        <v>493</v>
      </c>
      <c r="C122" s="196">
        <v>0.75</v>
      </c>
      <c r="D122" s="196">
        <v>0.05</v>
      </c>
      <c r="H122" s="193" t="s">
        <v>38</v>
      </c>
    </row>
    <row r="123" spans="1:10" hidden="1">
      <c r="A123" t="s">
        <v>481</v>
      </c>
      <c r="B123" t="s">
        <v>494</v>
      </c>
      <c r="C123" s="196">
        <v>0.8</v>
      </c>
      <c r="D123" s="196">
        <v>0.05</v>
      </c>
      <c r="H123" s="193" t="s">
        <v>38</v>
      </c>
    </row>
    <row r="124" spans="1:10" hidden="1">
      <c r="A124" t="s">
        <v>481</v>
      </c>
      <c r="B124" t="s">
        <v>495</v>
      </c>
      <c r="C124" s="196">
        <v>0.75</v>
      </c>
      <c r="D124" s="196">
        <v>0.05</v>
      </c>
      <c r="H124" s="193" t="s">
        <v>38</v>
      </c>
    </row>
    <row r="125" spans="1:10" hidden="1">
      <c r="A125" t="s">
        <v>481</v>
      </c>
      <c r="B125" t="s">
        <v>496</v>
      </c>
      <c r="C125" s="196">
        <v>0.75</v>
      </c>
      <c r="D125" s="196">
        <v>0.05</v>
      </c>
      <c r="H125" s="193" t="s">
        <v>38</v>
      </c>
    </row>
    <row r="126" spans="1:10" hidden="1">
      <c r="A126" t="s">
        <v>481</v>
      </c>
      <c r="B126" t="s">
        <v>497</v>
      </c>
      <c r="C126" s="196">
        <v>0.7</v>
      </c>
      <c r="D126" s="196">
        <v>0.05</v>
      </c>
      <c r="H126" s="193" t="s">
        <v>38</v>
      </c>
    </row>
    <row r="127" spans="1:10" hidden="1">
      <c r="A127" t="s">
        <v>481</v>
      </c>
      <c r="B127" t="s">
        <v>498</v>
      </c>
      <c r="C127" s="199">
        <v>0.95</v>
      </c>
      <c r="D127" s="196"/>
      <c r="I127" s="193" t="s">
        <v>38</v>
      </c>
    </row>
    <row r="128" spans="1:10" hidden="1">
      <c r="A128" t="s">
        <v>481</v>
      </c>
      <c r="B128" t="s">
        <v>499</v>
      </c>
      <c r="C128" s="199">
        <v>0.85</v>
      </c>
      <c r="D128" s="196"/>
      <c r="I128" s="193" t="s">
        <v>38</v>
      </c>
    </row>
    <row r="129" spans="1:10" hidden="1">
      <c r="A129" t="s">
        <v>481</v>
      </c>
      <c r="B129" t="s">
        <v>500</v>
      </c>
      <c r="C129" s="196">
        <v>0.8</v>
      </c>
      <c r="D129" s="196"/>
      <c r="I129" s="193" t="s">
        <v>38</v>
      </c>
    </row>
    <row r="130" spans="1:10" hidden="1">
      <c r="A130" t="s">
        <v>481</v>
      </c>
      <c r="B130" t="s">
        <v>501</v>
      </c>
      <c r="C130" s="196">
        <v>0.85</v>
      </c>
      <c r="D130" s="196"/>
      <c r="I130" s="193" t="s">
        <v>38</v>
      </c>
    </row>
    <row r="131" spans="1:10" hidden="1">
      <c r="A131" t="s">
        <v>481</v>
      </c>
      <c r="B131" t="s">
        <v>502</v>
      </c>
      <c r="C131" s="196">
        <v>0.8</v>
      </c>
      <c r="D131" s="196"/>
    </row>
    <row r="132" spans="1:10" hidden="1">
      <c r="A132" t="s">
        <v>481</v>
      </c>
      <c r="B132" t="s">
        <v>503</v>
      </c>
      <c r="C132" s="196">
        <v>0.8</v>
      </c>
      <c r="D132" s="196"/>
    </row>
    <row r="133" spans="1:10" hidden="1">
      <c r="A133" t="s">
        <v>481</v>
      </c>
      <c r="B133" t="s">
        <v>504</v>
      </c>
      <c r="C133" s="196">
        <v>0.75</v>
      </c>
      <c r="D133" s="196"/>
    </row>
    <row r="134" spans="1:10" hidden="1">
      <c r="A134" t="s">
        <v>463</v>
      </c>
      <c r="B134" t="s">
        <v>639</v>
      </c>
      <c r="C134" s="193">
        <v>3</v>
      </c>
    </row>
    <row r="135" spans="1:10" hidden="1">
      <c r="A135" t="s">
        <v>463</v>
      </c>
      <c r="B135" t="s">
        <v>639</v>
      </c>
      <c r="C135" s="193">
        <v>1.5</v>
      </c>
    </row>
    <row r="136" spans="1:10" hidden="1">
      <c r="A136" t="s">
        <v>463</v>
      </c>
      <c r="B136" t="s">
        <v>639</v>
      </c>
      <c r="C136" s="193">
        <v>3</v>
      </c>
      <c r="D136" s="193" t="s">
        <v>640</v>
      </c>
      <c r="J136" s="193" t="s">
        <v>38</v>
      </c>
    </row>
    <row r="137" spans="1:10" hidden="1">
      <c r="A137" t="s">
        <v>463</v>
      </c>
      <c r="B137" t="s">
        <v>464</v>
      </c>
      <c r="C137" s="193">
        <v>2</v>
      </c>
      <c r="H137" s="193" t="s">
        <v>38</v>
      </c>
    </row>
    <row r="138" spans="1:10" hidden="1">
      <c r="A138" t="s">
        <v>463</v>
      </c>
      <c r="B138" t="s">
        <v>465</v>
      </c>
      <c r="C138" s="193">
        <v>1</v>
      </c>
      <c r="H138" s="193" t="s">
        <v>38</v>
      </c>
    </row>
    <row r="139" spans="1:10" hidden="1">
      <c r="A139" t="s">
        <v>463</v>
      </c>
      <c r="B139" t="s">
        <v>641</v>
      </c>
      <c r="C139" s="196">
        <v>0.7</v>
      </c>
    </row>
    <row r="140" spans="1:10" hidden="1">
      <c r="A140" t="s">
        <v>463</v>
      </c>
      <c r="B140" t="s">
        <v>470</v>
      </c>
      <c r="C140" s="196">
        <v>0.7</v>
      </c>
      <c r="D140" s="196">
        <v>0.05</v>
      </c>
      <c r="H140" s="193" t="s">
        <v>38</v>
      </c>
    </row>
    <row r="141" spans="1:10" hidden="1">
      <c r="A141" t="s">
        <v>463</v>
      </c>
      <c r="B141" t="s">
        <v>642</v>
      </c>
      <c r="C141" s="196">
        <v>0.7</v>
      </c>
      <c r="D141" s="196">
        <v>0.1</v>
      </c>
      <c r="I141" s="193" t="s">
        <v>38</v>
      </c>
    </row>
    <row r="142" spans="1:10" hidden="1">
      <c r="A142" t="s">
        <v>463</v>
      </c>
      <c r="B142" t="s">
        <v>643</v>
      </c>
      <c r="C142" s="196">
        <v>0.6</v>
      </c>
    </row>
    <row r="143" spans="1:10" hidden="1">
      <c r="A143" t="s">
        <v>463</v>
      </c>
      <c r="B143" t="s">
        <v>471</v>
      </c>
      <c r="C143" s="196">
        <v>0.6</v>
      </c>
      <c r="D143" s="196">
        <v>0.05</v>
      </c>
      <c r="H143" s="193" t="s">
        <v>38</v>
      </c>
    </row>
    <row r="144" spans="1:10" hidden="1">
      <c r="A144" t="s">
        <v>463</v>
      </c>
      <c r="B144" t="s">
        <v>644</v>
      </c>
      <c r="C144" s="196">
        <v>0.6</v>
      </c>
      <c r="D144" s="196">
        <v>0.1</v>
      </c>
      <c r="I144" s="193" t="s">
        <v>38</v>
      </c>
    </row>
    <row r="145" spans="1:9" hidden="1">
      <c r="A145" t="s">
        <v>463</v>
      </c>
      <c r="B145" t="s">
        <v>646</v>
      </c>
      <c r="C145" s="196">
        <v>0.55000000000000004</v>
      </c>
    </row>
    <row r="146" spans="1:9" hidden="1">
      <c r="A146" t="s">
        <v>463</v>
      </c>
      <c r="B146" t="s">
        <v>472</v>
      </c>
      <c r="C146" s="196">
        <v>0.5</v>
      </c>
      <c r="D146" s="196">
        <v>0.05</v>
      </c>
      <c r="H146" s="193" t="s">
        <v>38</v>
      </c>
    </row>
    <row r="147" spans="1:9" hidden="1">
      <c r="A147" t="s">
        <v>463</v>
      </c>
      <c r="B147" t="s">
        <v>645</v>
      </c>
      <c r="C147" s="196">
        <v>0.5</v>
      </c>
      <c r="D147" s="196">
        <v>0.1</v>
      </c>
      <c r="I147" s="193" t="s">
        <v>38</v>
      </c>
    </row>
    <row r="148" spans="1:9" hidden="1">
      <c r="A148" t="s">
        <v>463</v>
      </c>
      <c r="B148" t="s">
        <v>647</v>
      </c>
      <c r="C148" s="196">
        <v>0.65</v>
      </c>
    </row>
    <row r="149" spans="1:9" hidden="1">
      <c r="A149" t="s">
        <v>463</v>
      </c>
      <c r="B149" t="s">
        <v>648</v>
      </c>
      <c r="C149" s="196">
        <v>0.65</v>
      </c>
      <c r="D149" s="196">
        <v>0.05</v>
      </c>
      <c r="H149" s="193" t="s">
        <v>38</v>
      </c>
    </row>
    <row r="150" spans="1:9" hidden="1">
      <c r="A150" t="s">
        <v>463</v>
      </c>
      <c r="B150" t="s">
        <v>649</v>
      </c>
      <c r="C150" s="196">
        <v>0.65</v>
      </c>
      <c r="D150" s="196">
        <v>0.1</v>
      </c>
      <c r="I150" s="193" t="s">
        <v>38</v>
      </c>
    </row>
    <row r="151" spans="1:9" hidden="1">
      <c r="A151" t="s">
        <v>463</v>
      </c>
      <c r="B151" t="s">
        <v>468</v>
      </c>
      <c r="C151" s="196">
        <v>0.7</v>
      </c>
      <c r="I151" s="193" t="s">
        <v>38</v>
      </c>
    </row>
    <row r="152" spans="1:9" hidden="1">
      <c r="A152" t="s">
        <v>463</v>
      </c>
      <c r="B152" t="s">
        <v>431</v>
      </c>
      <c r="C152" s="198">
        <v>30</v>
      </c>
      <c r="D152" s="193">
        <v>10</v>
      </c>
      <c r="H152" s="193" t="s">
        <v>38</v>
      </c>
    </row>
    <row r="153" spans="1:9" hidden="1">
      <c r="A153" t="s">
        <v>463</v>
      </c>
      <c r="B153" t="s">
        <v>432</v>
      </c>
      <c r="C153" s="198">
        <v>40</v>
      </c>
      <c r="D153" s="193">
        <v>10</v>
      </c>
      <c r="I153" s="193" t="s">
        <v>38</v>
      </c>
    </row>
    <row r="154" spans="1:9" hidden="1">
      <c r="A154" t="s">
        <v>463</v>
      </c>
      <c r="B154" t="s">
        <v>469</v>
      </c>
      <c r="C154" s="193">
        <v>36</v>
      </c>
      <c r="I154" s="193" t="s">
        <v>38</v>
      </c>
    </row>
    <row r="155" spans="1:9" hidden="1">
      <c r="A155" t="s">
        <v>463</v>
      </c>
      <c r="B155" t="s">
        <v>474</v>
      </c>
      <c r="C155" s="193">
        <v>3</v>
      </c>
      <c r="D155" s="193">
        <v>2</v>
      </c>
      <c r="H155" s="193" t="s">
        <v>38</v>
      </c>
    </row>
    <row r="156" spans="1:9" hidden="1">
      <c r="A156" t="s">
        <v>463</v>
      </c>
      <c r="B156" t="s">
        <v>475</v>
      </c>
      <c r="C156" s="193">
        <v>1</v>
      </c>
      <c r="H156" s="193" t="s">
        <v>38</v>
      </c>
    </row>
    <row r="157" spans="1:9" hidden="1">
      <c r="A157" t="s">
        <v>463</v>
      </c>
      <c r="B157" t="s">
        <v>476</v>
      </c>
      <c r="C157" s="193">
        <v>3</v>
      </c>
      <c r="H157" s="193" t="s">
        <v>38</v>
      </c>
    </row>
    <row r="158" spans="1:9" hidden="1">
      <c r="A158" t="s">
        <v>463</v>
      </c>
      <c r="B158" t="s">
        <v>477</v>
      </c>
      <c r="C158" s="193">
        <v>2</v>
      </c>
      <c r="G158" s="193" t="s">
        <v>38</v>
      </c>
    </row>
    <row r="159" spans="1:9" hidden="1">
      <c r="A159" t="s">
        <v>463</v>
      </c>
      <c r="B159" t="s">
        <v>478</v>
      </c>
      <c r="C159" s="193">
        <v>1</v>
      </c>
      <c r="F159" s="193" t="s">
        <v>38</v>
      </c>
    </row>
    <row r="160" spans="1:9" hidden="1">
      <c r="A160" t="s">
        <v>463</v>
      </c>
      <c r="B160" t="s">
        <v>479</v>
      </c>
      <c r="C160" s="193">
        <v>0</v>
      </c>
    </row>
    <row r="161" spans="1:10" hidden="1">
      <c r="A161" t="s">
        <v>463</v>
      </c>
      <c r="B161" t="s">
        <v>433</v>
      </c>
      <c r="C161" s="193">
        <v>15</v>
      </c>
      <c r="J161" s="193" t="s">
        <v>38</v>
      </c>
    </row>
    <row r="162" spans="1:10" hidden="1">
      <c r="A162" t="s">
        <v>463</v>
      </c>
      <c r="B162" t="s">
        <v>480</v>
      </c>
      <c r="C162" s="193">
        <v>20</v>
      </c>
      <c r="J162" s="193" t="s">
        <v>38</v>
      </c>
    </row>
    <row r="163" spans="1:10" hidden="1">
      <c r="A163" t="s">
        <v>463</v>
      </c>
      <c r="B163" t="s">
        <v>462</v>
      </c>
      <c r="C163" s="193">
        <v>4</v>
      </c>
      <c r="J163" s="193" t="s">
        <v>38</v>
      </c>
    </row>
    <row r="164" spans="1:10">
      <c r="A164" t="s">
        <v>542</v>
      </c>
      <c r="B164" t="s">
        <v>543</v>
      </c>
      <c r="C164" s="193">
        <v>3</v>
      </c>
      <c r="I164" s="193" t="s">
        <v>38</v>
      </c>
    </row>
    <row r="165" spans="1:10">
      <c r="A165" t="s">
        <v>542</v>
      </c>
      <c r="B165" t="s">
        <v>544</v>
      </c>
      <c r="C165" s="196">
        <v>0.5</v>
      </c>
      <c r="I165" s="193" t="s">
        <v>38</v>
      </c>
    </row>
    <row r="166" spans="1:10">
      <c r="A166" t="s">
        <v>542</v>
      </c>
      <c r="B166" t="s">
        <v>545</v>
      </c>
      <c r="C166" s="193">
        <v>5</v>
      </c>
      <c r="I166" s="193" t="s">
        <v>38</v>
      </c>
    </row>
    <row r="167" spans="1:10" hidden="1">
      <c r="A167" t="s">
        <v>410</v>
      </c>
      <c r="B167" t="s">
        <v>505</v>
      </c>
      <c r="C167" s="193">
        <v>15</v>
      </c>
      <c r="J167" s="193" t="s">
        <v>38</v>
      </c>
    </row>
    <row r="168" spans="1:10" hidden="1">
      <c r="A168" t="s">
        <v>410</v>
      </c>
      <c r="B168" t="s">
        <v>480</v>
      </c>
      <c r="C168" s="193">
        <v>20</v>
      </c>
      <c r="J168" s="193" t="s">
        <v>38</v>
      </c>
    </row>
    <row r="169" spans="1:10" hidden="1">
      <c r="A169" t="s">
        <v>410</v>
      </c>
      <c r="B169" t="s">
        <v>506</v>
      </c>
      <c r="C169" s="193">
        <v>10</v>
      </c>
      <c r="J169" s="193" t="s">
        <v>38</v>
      </c>
    </row>
    <row r="170" spans="1:10" hidden="1">
      <c r="A170" t="s">
        <v>410</v>
      </c>
      <c r="B170" t="s">
        <v>507</v>
      </c>
      <c r="C170" s="193">
        <v>1.5</v>
      </c>
      <c r="J170" s="193" t="s">
        <v>38</v>
      </c>
    </row>
    <row r="171" spans="1:10" hidden="1">
      <c r="A171" t="s">
        <v>410</v>
      </c>
      <c r="B171" t="s">
        <v>508</v>
      </c>
      <c r="C171" s="193">
        <v>1.5</v>
      </c>
      <c r="J171" s="193" t="s">
        <v>38</v>
      </c>
    </row>
    <row r="172" spans="1:10" hidden="1">
      <c r="A172" t="s">
        <v>410</v>
      </c>
      <c r="B172" t="s">
        <v>509</v>
      </c>
      <c r="C172" s="193">
        <v>1.5</v>
      </c>
      <c r="J172" s="193" t="s">
        <v>38</v>
      </c>
    </row>
    <row r="173" spans="1:10" hidden="1">
      <c r="A173" t="s">
        <v>410</v>
      </c>
      <c r="B173" t="s">
        <v>510</v>
      </c>
      <c r="C173" s="193">
        <v>2</v>
      </c>
      <c r="J173" s="193" t="s">
        <v>38</v>
      </c>
    </row>
    <row r="174" spans="1:10" hidden="1">
      <c r="A174" t="s">
        <v>410</v>
      </c>
      <c r="B174" t="s">
        <v>511</v>
      </c>
      <c r="C174" s="193">
        <v>12</v>
      </c>
      <c r="J174" s="193" t="s">
        <v>38</v>
      </c>
    </row>
    <row r="175" spans="1:10" hidden="1">
      <c r="A175" t="s">
        <v>410</v>
      </c>
      <c r="B175" t="s">
        <v>512</v>
      </c>
      <c r="C175" s="193">
        <v>6</v>
      </c>
      <c r="J175" s="193" t="s">
        <v>38</v>
      </c>
    </row>
    <row r="176" spans="1:10" hidden="1">
      <c r="A176" t="s">
        <v>410</v>
      </c>
      <c r="B176" t="s">
        <v>470</v>
      </c>
      <c r="C176" s="196">
        <v>0.7</v>
      </c>
      <c r="D176" s="196">
        <v>0.05</v>
      </c>
      <c r="H176" s="193" t="s">
        <v>38</v>
      </c>
    </row>
    <row r="177" spans="1:11" hidden="1">
      <c r="A177" t="s">
        <v>410</v>
      </c>
      <c r="B177" t="s">
        <v>473</v>
      </c>
      <c r="C177" s="196">
        <v>0.65</v>
      </c>
      <c r="D177" s="196">
        <v>0.05</v>
      </c>
      <c r="H177" s="193" t="s">
        <v>38</v>
      </c>
    </row>
    <row r="178" spans="1:11" hidden="1">
      <c r="A178" t="s">
        <v>410</v>
      </c>
      <c r="B178" t="s">
        <v>467</v>
      </c>
      <c r="C178" s="196">
        <v>0.75</v>
      </c>
      <c r="I178" s="193" t="s">
        <v>38</v>
      </c>
    </row>
    <row r="179" spans="1:11" hidden="1">
      <c r="A179" t="s">
        <v>410</v>
      </c>
      <c r="B179" t="s">
        <v>468</v>
      </c>
      <c r="C179" s="196">
        <v>0.7</v>
      </c>
      <c r="I179" s="193" t="s">
        <v>38</v>
      </c>
    </row>
    <row r="180" spans="1:11" hidden="1">
      <c r="A180" t="s">
        <v>410</v>
      </c>
      <c r="B180" t="s">
        <v>513</v>
      </c>
      <c r="C180" s="198">
        <v>30</v>
      </c>
      <c r="D180" s="193">
        <v>10</v>
      </c>
      <c r="H180" s="193" t="s">
        <v>38</v>
      </c>
    </row>
    <row r="181" spans="1:11" hidden="1">
      <c r="A181" t="s">
        <v>410</v>
      </c>
      <c r="B181" t="s">
        <v>514</v>
      </c>
      <c r="C181" s="198">
        <v>40</v>
      </c>
      <c r="D181" s="193">
        <v>10</v>
      </c>
      <c r="I181" s="193" t="s">
        <v>38</v>
      </c>
    </row>
    <row r="182" spans="1:11" hidden="1">
      <c r="A182" t="s">
        <v>410</v>
      </c>
      <c r="B182" t="s">
        <v>515</v>
      </c>
      <c r="C182" s="193">
        <v>3</v>
      </c>
      <c r="D182" s="193">
        <v>2</v>
      </c>
      <c r="H182" s="193" t="s">
        <v>38</v>
      </c>
    </row>
    <row r="183" spans="1:11" hidden="1">
      <c r="A183" t="s">
        <v>410</v>
      </c>
      <c r="B183" t="s">
        <v>516</v>
      </c>
      <c r="C183" s="193">
        <v>1</v>
      </c>
      <c r="H183" s="193" t="s">
        <v>38</v>
      </c>
    </row>
    <row r="184" spans="1:11" hidden="1">
      <c r="A184" t="s">
        <v>410</v>
      </c>
      <c r="B184" t="s">
        <v>517</v>
      </c>
      <c r="C184" s="193">
        <v>3</v>
      </c>
      <c r="H184" s="193" t="s">
        <v>38</v>
      </c>
    </row>
    <row r="185" spans="1:11" hidden="1">
      <c r="A185" t="s">
        <v>410</v>
      </c>
      <c r="B185" t="s">
        <v>518</v>
      </c>
      <c r="C185" s="193">
        <v>2</v>
      </c>
      <c r="G185" s="193" t="s">
        <v>38</v>
      </c>
    </row>
    <row r="186" spans="1:11" hidden="1">
      <c r="A186" t="s">
        <v>410</v>
      </c>
      <c r="B186" t="s">
        <v>519</v>
      </c>
      <c r="C186" s="193">
        <v>1</v>
      </c>
      <c r="F186" s="193" t="s">
        <v>38</v>
      </c>
    </row>
    <row r="187" spans="1:11" hidden="1">
      <c r="A187" t="s">
        <v>520</v>
      </c>
      <c r="B187" t="s">
        <v>521</v>
      </c>
      <c r="C187" s="198">
        <v>10</v>
      </c>
      <c r="D187" s="193">
        <v>20</v>
      </c>
      <c r="H187" s="193" t="s">
        <v>38</v>
      </c>
    </row>
    <row r="188" spans="1:11" hidden="1">
      <c r="A188" t="s">
        <v>520</v>
      </c>
      <c r="B188" t="s">
        <v>523</v>
      </c>
      <c r="C188" s="198">
        <v>10</v>
      </c>
      <c r="H188" s="193" t="s">
        <v>38</v>
      </c>
      <c r="K188" s="193" t="s">
        <v>38</v>
      </c>
    </row>
    <row r="189" spans="1:11" hidden="1">
      <c r="A189" t="s">
        <v>524</v>
      </c>
      <c r="B189" t="s">
        <v>525</v>
      </c>
      <c r="C189" s="193">
        <v>0.5</v>
      </c>
      <c r="F189" s="193" t="s">
        <v>38</v>
      </c>
    </row>
    <row r="190" spans="1:11" hidden="1">
      <c r="A190" t="s">
        <v>524</v>
      </c>
      <c r="B190" t="s">
        <v>526</v>
      </c>
      <c r="C190" s="193">
        <v>5</v>
      </c>
      <c r="D190" s="193">
        <v>0.5</v>
      </c>
      <c r="F190" s="193" t="s">
        <v>38</v>
      </c>
    </row>
    <row r="191" spans="1:11" hidden="1">
      <c r="A191" t="s">
        <v>524</v>
      </c>
      <c r="B191" t="s">
        <v>527</v>
      </c>
      <c r="C191" s="196">
        <v>0.45</v>
      </c>
      <c r="D191" s="196">
        <v>0.05</v>
      </c>
      <c r="F191" s="193" t="s">
        <v>38</v>
      </c>
    </row>
    <row r="192" spans="1:11" hidden="1">
      <c r="A192" t="s">
        <v>524</v>
      </c>
      <c r="B192" t="s">
        <v>528</v>
      </c>
      <c r="C192" s="196">
        <v>0.5</v>
      </c>
      <c r="D192" s="196">
        <v>0.05</v>
      </c>
      <c r="F192" s="193" t="s">
        <v>38</v>
      </c>
    </row>
    <row r="193" spans="1:11" hidden="1">
      <c r="A193" t="s">
        <v>524</v>
      </c>
      <c r="B193" t="s">
        <v>529</v>
      </c>
      <c r="C193" s="196">
        <v>0.55000000000000004</v>
      </c>
      <c r="D193" s="196">
        <v>0.05</v>
      </c>
      <c r="F193" s="193" t="s">
        <v>38</v>
      </c>
    </row>
    <row r="194" spans="1:11" hidden="1">
      <c r="A194" t="s">
        <v>524</v>
      </c>
      <c r="B194" t="s">
        <v>530</v>
      </c>
      <c r="C194" s="196">
        <v>0.5</v>
      </c>
      <c r="D194" s="196">
        <v>0.05</v>
      </c>
      <c r="F194" s="193" t="s">
        <v>38</v>
      </c>
    </row>
    <row r="195" spans="1:11" hidden="1">
      <c r="A195" t="s">
        <v>524</v>
      </c>
      <c r="B195" t="s">
        <v>531</v>
      </c>
      <c r="C195" s="196">
        <v>0.55000000000000004</v>
      </c>
      <c r="D195" s="196">
        <v>0.05</v>
      </c>
      <c r="F195" s="193" t="s">
        <v>38</v>
      </c>
    </row>
    <row r="196" spans="1:11" hidden="1">
      <c r="A196" t="s">
        <v>524</v>
      </c>
      <c r="B196" t="s">
        <v>532</v>
      </c>
      <c r="C196" s="196">
        <v>0.6</v>
      </c>
      <c r="D196" s="196">
        <v>0.05</v>
      </c>
      <c r="F196" s="193" t="s">
        <v>38</v>
      </c>
    </row>
    <row r="197" spans="1:11" hidden="1">
      <c r="A197" t="s">
        <v>524</v>
      </c>
      <c r="B197" t="s">
        <v>533</v>
      </c>
      <c r="C197" s="196">
        <v>0.65</v>
      </c>
      <c r="D197" s="196">
        <v>0.05</v>
      </c>
      <c r="F197" s="193" t="s">
        <v>38</v>
      </c>
    </row>
    <row r="198" spans="1:11" hidden="1">
      <c r="A198" t="s">
        <v>524</v>
      </c>
      <c r="B198" t="s">
        <v>534</v>
      </c>
      <c r="C198" s="196">
        <v>1</v>
      </c>
      <c r="D198" s="196">
        <v>0.05</v>
      </c>
      <c r="F198" s="193" t="s">
        <v>38</v>
      </c>
    </row>
    <row r="199" spans="1:11" hidden="1">
      <c r="A199" t="s">
        <v>524</v>
      </c>
      <c r="B199" t="s">
        <v>535</v>
      </c>
      <c r="C199" s="193">
        <v>12</v>
      </c>
      <c r="D199" s="193">
        <v>6</v>
      </c>
      <c r="F199" s="193" t="s">
        <v>38</v>
      </c>
    </row>
    <row r="200" spans="1:11" hidden="1">
      <c r="A200" t="s">
        <v>536</v>
      </c>
      <c r="B200" t="s">
        <v>537</v>
      </c>
      <c r="C200" s="193">
        <v>30</v>
      </c>
      <c r="D200" s="193">
        <v>20</v>
      </c>
      <c r="K200" s="193" t="s">
        <v>38</v>
      </c>
    </row>
    <row r="201" spans="1:11" hidden="1">
      <c r="A201" t="s">
        <v>536</v>
      </c>
      <c r="B201" t="s">
        <v>556</v>
      </c>
      <c r="C201" s="193">
        <v>5</v>
      </c>
      <c r="I201" s="193" t="s">
        <v>38</v>
      </c>
    </row>
    <row r="202" spans="1:11" hidden="1">
      <c r="A202" t="s">
        <v>538</v>
      </c>
      <c r="B202" t="s">
        <v>539</v>
      </c>
      <c r="C202" s="193">
        <v>20</v>
      </c>
      <c r="H202" s="193" t="s">
        <v>38</v>
      </c>
    </row>
    <row r="203" spans="1:11" hidden="1">
      <c r="A203" t="s">
        <v>538</v>
      </c>
      <c r="B203" t="s">
        <v>540</v>
      </c>
      <c r="C203" s="193">
        <v>10</v>
      </c>
      <c r="H203" s="193" t="s">
        <v>38</v>
      </c>
    </row>
    <row r="204" spans="1:11" hidden="1">
      <c r="A204" t="s">
        <v>538</v>
      </c>
      <c r="B204" t="s">
        <v>541</v>
      </c>
      <c r="C204" s="193">
        <v>30</v>
      </c>
      <c r="H204" s="193" t="s">
        <v>38</v>
      </c>
    </row>
    <row r="205" spans="1:11" hidden="1">
      <c r="A205" t="s">
        <v>546</v>
      </c>
      <c r="B205" t="s">
        <v>547</v>
      </c>
      <c r="C205" s="193">
        <v>7.5</v>
      </c>
      <c r="D205" s="193">
        <v>2.5</v>
      </c>
      <c r="I205" s="193" t="s">
        <v>38</v>
      </c>
    </row>
    <row r="206" spans="1:11" hidden="1">
      <c r="A206" t="s">
        <v>548</v>
      </c>
      <c r="B206" t="s">
        <v>549</v>
      </c>
      <c r="C206" s="193">
        <v>15</v>
      </c>
      <c r="H206" s="193" t="s">
        <v>38</v>
      </c>
    </row>
    <row r="207" spans="1:11" hidden="1">
      <c r="A207" t="s">
        <v>550</v>
      </c>
      <c r="B207" t="s">
        <v>551</v>
      </c>
      <c r="C207" s="196">
        <v>0.5</v>
      </c>
      <c r="D207" s="196">
        <v>0.05</v>
      </c>
      <c r="H207" s="193" t="s">
        <v>38</v>
      </c>
    </row>
    <row r="208" spans="1:11" hidden="1">
      <c r="A208" t="s">
        <v>550</v>
      </c>
      <c r="B208" t="s">
        <v>552</v>
      </c>
      <c r="C208" s="196">
        <v>0.55000000000000004</v>
      </c>
      <c r="I208" s="193" t="s">
        <v>38</v>
      </c>
    </row>
    <row r="209" spans="1:10" hidden="1">
      <c r="A209" t="s">
        <v>550</v>
      </c>
      <c r="B209" t="s">
        <v>554</v>
      </c>
      <c r="C209" s="201">
        <v>100</v>
      </c>
      <c r="J209" s="193" t="s">
        <v>38</v>
      </c>
    </row>
    <row r="210" spans="1:10" hidden="1">
      <c r="A210" t="s">
        <v>550</v>
      </c>
      <c r="B210" t="s">
        <v>555</v>
      </c>
      <c r="C210" s="201">
        <v>50</v>
      </c>
      <c r="D210" s="193">
        <v>50</v>
      </c>
      <c r="I210" s="193" t="s">
        <v>38</v>
      </c>
    </row>
    <row r="211" spans="1:10" hidden="1">
      <c r="A211" t="s">
        <v>550</v>
      </c>
      <c r="B211" t="s">
        <v>553</v>
      </c>
      <c r="C211" s="193">
        <v>10</v>
      </c>
      <c r="H211" s="193" t="s">
        <v>38</v>
      </c>
    </row>
  </sheetData>
  <autoFilter ref="A2:J211" xr:uid="{00000000-0009-0000-0000-000007000000}">
    <filterColumn colId="0">
      <filters>
        <filter val="GST"/>
      </filters>
    </filterColumn>
  </autoFilter>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4"/>
  <dimension ref="A1:N139"/>
  <sheetViews>
    <sheetView showGridLines="0" workbookViewId="0">
      <pane xSplit="2" ySplit="2" topLeftCell="F3" activePane="bottomRight" state="frozen"/>
      <selection pane="topRight" activeCell="C1" sqref="C1"/>
      <selection pane="bottomLeft" activeCell="A3" sqref="A3"/>
      <selection pane="bottomRight" activeCell="N7" sqref="N7"/>
    </sheetView>
  </sheetViews>
  <sheetFormatPr defaultRowHeight="15"/>
  <cols>
    <col min="1" max="1" width="9.140625" style="253"/>
    <col min="2" max="2" width="42.28515625" style="286" customWidth="1"/>
    <col min="3" max="3" width="21" style="287" hidden="1" customWidth="1"/>
    <col min="4" max="4" width="19.5703125" style="287" hidden="1" customWidth="1"/>
    <col min="5" max="5" width="1.140625" style="287" hidden="1" customWidth="1"/>
    <col min="6" max="6" width="9.140625" style="287"/>
    <col min="7" max="7" width="10.42578125" style="287" customWidth="1"/>
    <col min="8" max="8" width="20.140625" style="287" bestFit="1" customWidth="1"/>
    <col min="9" max="9" width="16.85546875" style="287" customWidth="1"/>
    <col min="10" max="10" width="0.85546875" customWidth="1"/>
    <col min="12" max="12" width="10.5703125" customWidth="1"/>
    <col min="13" max="13" width="12" bestFit="1" customWidth="1"/>
  </cols>
  <sheetData>
    <row r="1" spans="1:14">
      <c r="A1" s="762" t="s">
        <v>676</v>
      </c>
      <c r="B1" s="762" t="s">
        <v>677</v>
      </c>
      <c r="C1" s="763" t="s">
        <v>678</v>
      </c>
      <c r="D1" s="763" t="s">
        <v>679</v>
      </c>
      <c r="E1" s="764"/>
      <c r="F1" s="756" t="s">
        <v>680</v>
      </c>
      <c r="G1" s="757"/>
      <c r="H1" s="757"/>
      <c r="I1" s="757"/>
      <c r="K1" s="756" t="s">
        <v>681</v>
      </c>
      <c r="L1" s="757"/>
      <c r="M1" s="757"/>
      <c r="N1" s="757"/>
    </row>
    <row r="2" spans="1:14">
      <c r="A2" s="762" t="s">
        <v>676</v>
      </c>
      <c r="B2" s="762"/>
      <c r="C2" s="763"/>
      <c r="D2" s="763"/>
      <c r="E2" s="764"/>
      <c r="F2" s="220" t="s">
        <v>682</v>
      </c>
      <c r="G2" s="220" t="s">
        <v>673</v>
      </c>
      <c r="H2" s="220" t="s">
        <v>683</v>
      </c>
      <c r="I2" s="220" t="s">
        <v>684</v>
      </c>
      <c r="K2" s="220" t="s">
        <v>682</v>
      </c>
      <c r="L2" s="220" t="s">
        <v>673</v>
      </c>
      <c r="M2" s="220" t="s">
        <v>675</v>
      </c>
      <c r="N2" s="220" t="s">
        <v>684</v>
      </c>
    </row>
    <row r="3" spans="1:14">
      <c r="A3" s="221">
        <v>1</v>
      </c>
      <c r="B3" s="222" t="s">
        <v>685</v>
      </c>
      <c r="C3" s="223"/>
      <c r="D3" s="223"/>
      <c r="E3" s="224"/>
      <c r="F3" s="223"/>
      <c r="G3" s="223"/>
      <c r="H3" s="225"/>
      <c r="I3" s="225"/>
      <c r="K3" s="226">
        <v>0.02</v>
      </c>
      <c r="L3" s="226">
        <v>0</v>
      </c>
      <c r="M3" s="226">
        <v>0.03</v>
      </c>
      <c r="N3" s="226">
        <v>0.06</v>
      </c>
    </row>
    <row r="4" spans="1:14">
      <c r="A4" s="221">
        <v>2</v>
      </c>
      <c r="B4" s="222" t="s">
        <v>686</v>
      </c>
      <c r="C4" s="227"/>
      <c r="D4" s="227"/>
      <c r="E4" s="224"/>
      <c r="F4" s="227"/>
      <c r="G4" s="227"/>
      <c r="H4" s="225"/>
      <c r="I4" s="225"/>
      <c r="K4" s="226">
        <v>0</v>
      </c>
      <c r="L4" s="226">
        <v>0</v>
      </c>
      <c r="M4" s="226">
        <v>0.03</v>
      </c>
      <c r="N4" s="226">
        <v>0.06</v>
      </c>
    </row>
    <row r="5" spans="1:14">
      <c r="A5" s="221">
        <v>3</v>
      </c>
      <c r="B5" s="222" t="s">
        <v>687</v>
      </c>
      <c r="C5" s="227"/>
      <c r="D5" s="227"/>
      <c r="E5" s="224"/>
      <c r="F5" s="227"/>
      <c r="G5" s="227"/>
      <c r="H5" s="225"/>
      <c r="I5" s="225"/>
      <c r="K5" s="226">
        <v>0</v>
      </c>
      <c r="L5" s="226">
        <v>0</v>
      </c>
      <c r="M5" s="226">
        <v>0.03</v>
      </c>
      <c r="N5" s="226">
        <v>0.06</v>
      </c>
    </row>
    <row r="6" spans="1:14">
      <c r="A6" s="221">
        <v>4</v>
      </c>
      <c r="B6" s="222" t="s">
        <v>688</v>
      </c>
      <c r="C6" s="227"/>
      <c r="D6" s="223"/>
      <c r="E6" s="224"/>
      <c r="F6" s="223"/>
      <c r="G6" s="223"/>
      <c r="H6" s="225"/>
      <c r="I6" s="225"/>
      <c r="K6" s="226">
        <v>0.02</v>
      </c>
      <c r="L6" s="226">
        <v>0</v>
      </c>
      <c r="M6" s="226">
        <v>0.03</v>
      </c>
      <c r="N6" s="226">
        <v>0.06</v>
      </c>
    </row>
    <row r="7" spans="1:14" ht="27">
      <c r="A7" s="221">
        <v>5</v>
      </c>
      <c r="B7" s="222" t="s">
        <v>689</v>
      </c>
      <c r="C7" s="223"/>
      <c r="D7" s="223"/>
      <c r="E7" s="224"/>
      <c r="F7" s="223"/>
      <c r="G7" s="223"/>
      <c r="H7" s="225"/>
      <c r="I7" s="228"/>
      <c r="K7" s="226">
        <v>0.02</v>
      </c>
      <c r="L7" s="226">
        <v>0</v>
      </c>
      <c r="M7" s="226">
        <v>0.03</v>
      </c>
      <c r="N7" s="226">
        <v>0.06</v>
      </c>
    </row>
    <row r="8" spans="1:14">
      <c r="A8" s="221">
        <v>6</v>
      </c>
      <c r="B8" s="222" t="s">
        <v>690</v>
      </c>
      <c r="C8" s="223"/>
      <c r="D8" s="223"/>
      <c r="E8" s="224"/>
      <c r="F8" s="223"/>
      <c r="G8" s="223"/>
      <c r="H8" s="225"/>
      <c r="I8" s="225"/>
      <c r="K8" s="226">
        <v>0.02</v>
      </c>
      <c r="L8" s="226">
        <v>0</v>
      </c>
      <c r="M8" s="226">
        <v>0.03</v>
      </c>
      <c r="N8" s="226">
        <v>0.06</v>
      </c>
    </row>
    <row r="9" spans="1:14">
      <c r="A9" s="221">
        <v>7</v>
      </c>
      <c r="B9" s="222" t="s">
        <v>691</v>
      </c>
      <c r="C9" s="227"/>
      <c r="D9" s="225"/>
      <c r="E9" s="224"/>
      <c r="F9" s="225"/>
      <c r="G9" s="225"/>
      <c r="H9" s="225"/>
      <c r="I9" s="225"/>
      <c r="K9" s="226">
        <v>0.05</v>
      </c>
      <c r="L9" s="226">
        <v>0</v>
      </c>
      <c r="M9" s="226">
        <v>0.03</v>
      </c>
      <c r="N9" s="226">
        <v>0.06</v>
      </c>
    </row>
    <row r="10" spans="1:14">
      <c r="A10" s="221">
        <v>8</v>
      </c>
      <c r="B10" s="222" t="s">
        <v>692</v>
      </c>
      <c r="C10" s="229"/>
      <c r="D10" s="230"/>
      <c r="E10" s="224"/>
      <c r="F10" s="225"/>
      <c r="G10" s="225"/>
      <c r="H10" s="224" t="s">
        <v>289</v>
      </c>
      <c r="I10" s="224" t="s">
        <v>289</v>
      </c>
      <c r="K10" s="226">
        <v>0.05</v>
      </c>
      <c r="L10" s="226">
        <v>0.06</v>
      </c>
      <c r="M10" s="226">
        <v>0</v>
      </c>
      <c r="N10" s="226">
        <v>0</v>
      </c>
    </row>
    <row r="11" spans="1:14">
      <c r="A11" s="221">
        <v>9</v>
      </c>
      <c r="B11" s="222" t="s">
        <v>693</v>
      </c>
      <c r="C11" s="227"/>
      <c r="D11" s="225"/>
      <c r="E11" s="224"/>
      <c r="F11" s="225"/>
      <c r="G11" s="225"/>
      <c r="H11" s="225"/>
      <c r="I11" s="225"/>
      <c r="K11" s="226">
        <v>0.05</v>
      </c>
      <c r="L11" s="226">
        <v>0.06</v>
      </c>
      <c r="M11" s="226">
        <v>0.03</v>
      </c>
      <c r="N11" s="226">
        <v>0.06</v>
      </c>
    </row>
    <row r="12" spans="1:14">
      <c r="A12" s="221">
        <v>10</v>
      </c>
      <c r="B12" s="222" t="s">
        <v>694</v>
      </c>
      <c r="C12" s="223"/>
      <c r="D12" s="223"/>
      <c r="E12" s="224"/>
      <c r="F12" s="223"/>
      <c r="G12" s="223"/>
      <c r="H12" s="224" t="s">
        <v>289</v>
      </c>
      <c r="I12" s="225"/>
      <c r="K12" s="226">
        <v>0.02</v>
      </c>
      <c r="L12" s="226">
        <v>0.01</v>
      </c>
      <c r="M12" s="226">
        <v>0</v>
      </c>
      <c r="N12" s="226">
        <v>0.06</v>
      </c>
    </row>
    <row r="13" spans="1:14" ht="27">
      <c r="A13" s="221">
        <v>11</v>
      </c>
      <c r="B13" s="222" t="s">
        <v>695</v>
      </c>
      <c r="C13" s="227"/>
      <c r="D13" s="225"/>
      <c r="E13" s="224"/>
      <c r="F13" s="225"/>
      <c r="G13" s="225"/>
      <c r="H13" s="224" t="s">
        <v>289</v>
      </c>
      <c r="I13" s="225"/>
      <c r="K13" s="226">
        <v>0.05</v>
      </c>
      <c r="L13" s="226">
        <v>0.06</v>
      </c>
      <c r="M13" s="226">
        <v>0</v>
      </c>
      <c r="N13" s="226">
        <v>0.06</v>
      </c>
    </row>
    <row r="14" spans="1:14">
      <c r="A14" s="221">
        <v>12</v>
      </c>
      <c r="B14" s="222" t="s">
        <v>696</v>
      </c>
      <c r="C14" s="227"/>
      <c r="D14" s="227"/>
      <c r="E14" s="224"/>
      <c r="F14" s="223"/>
      <c r="G14" s="223"/>
      <c r="H14" s="223"/>
      <c r="I14" s="227" t="s">
        <v>697</v>
      </c>
      <c r="K14" s="226">
        <v>0.02</v>
      </c>
      <c r="L14" s="226">
        <v>0.01</v>
      </c>
      <c r="M14" s="226">
        <v>0.02</v>
      </c>
      <c r="N14" s="226">
        <v>0.02</v>
      </c>
    </row>
    <row r="15" spans="1:14">
      <c r="A15" s="221">
        <v>13</v>
      </c>
      <c r="B15" s="222" t="s">
        <v>698</v>
      </c>
      <c r="C15" s="231" t="s">
        <v>699</v>
      </c>
      <c r="D15" s="231"/>
      <c r="E15" s="231"/>
      <c r="F15" s="231"/>
      <c r="G15" s="231"/>
      <c r="H15" s="231"/>
      <c r="I15" s="231"/>
      <c r="K15" s="226"/>
      <c r="L15" s="226"/>
      <c r="M15" s="226"/>
      <c r="N15" s="226"/>
    </row>
    <row r="16" spans="1:14">
      <c r="A16" s="232" t="s">
        <v>700</v>
      </c>
      <c r="B16" s="233" t="s">
        <v>701</v>
      </c>
      <c r="C16" s="227"/>
      <c r="D16" s="223"/>
      <c r="E16" s="224"/>
      <c r="F16" s="223"/>
      <c r="G16" s="223"/>
      <c r="H16" s="223"/>
      <c r="I16" s="223"/>
      <c r="K16" s="226">
        <v>0.02</v>
      </c>
      <c r="L16" s="226">
        <v>0.01</v>
      </c>
      <c r="M16" s="226">
        <v>0.02</v>
      </c>
      <c r="N16" s="226">
        <v>0.02</v>
      </c>
    </row>
    <row r="17" spans="1:14">
      <c r="A17" s="232" t="s">
        <v>702</v>
      </c>
      <c r="B17" s="233" t="s">
        <v>703</v>
      </c>
      <c r="C17" s="227"/>
      <c r="D17" s="223"/>
      <c r="E17" s="224"/>
      <c r="F17" s="223"/>
      <c r="G17" s="223"/>
      <c r="H17" s="223"/>
      <c r="I17" s="223"/>
      <c r="K17" s="226">
        <v>0.02</v>
      </c>
      <c r="L17" s="226">
        <v>0.01</v>
      </c>
      <c r="M17" s="226">
        <v>0.02</v>
      </c>
      <c r="N17" s="226">
        <v>0.02</v>
      </c>
    </row>
    <row r="18" spans="1:14">
      <c r="A18" s="232" t="s">
        <v>704</v>
      </c>
      <c r="B18" s="233" t="s">
        <v>705</v>
      </c>
      <c r="C18" s="227"/>
      <c r="D18" s="225"/>
      <c r="E18" s="224"/>
      <c r="F18" s="223"/>
      <c r="G18" s="223"/>
      <c r="H18" s="223"/>
      <c r="I18" s="223"/>
      <c r="K18" s="226">
        <v>0.02</v>
      </c>
      <c r="L18" s="226">
        <v>0.01</v>
      </c>
      <c r="M18" s="226">
        <v>0.02</v>
      </c>
      <c r="N18" s="226">
        <v>0.02</v>
      </c>
    </row>
    <row r="19" spans="1:14">
      <c r="A19" s="221">
        <v>14</v>
      </c>
      <c r="B19" s="222" t="s">
        <v>706</v>
      </c>
      <c r="C19" s="223"/>
      <c r="D19" s="225"/>
      <c r="E19" s="234"/>
      <c r="F19" s="225"/>
      <c r="G19" s="225"/>
      <c r="H19" s="225"/>
      <c r="I19" s="225"/>
      <c r="K19" s="226">
        <v>0.05</v>
      </c>
      <c r="L19" s="226">
        <v>0.06</v>
      </c>
      <c r="M19" s="226">
        <v>0.03</v>
      </c>
      <c r="N19" s="226">
        <v>0.06</v>
      </c>
    </row>
    <row r="20" spans="1:14">
      <c r="A20" s="221">
        <v>15</v>
      </c>
      <c r="B20" s="222" t="s">
        <v>707</v>
      </c>
      <c r="C20" s="223"/>
      <c r="D20" s="225"/>
      <c r="E20" s="234"/>
      <c r="F20" s="225"/>
      <c r="G20" s="225"/>
      <c r="H20" s="225"/>
      <c r="I20" s="225"/>
      <c r="K20" s="226">
        <v>0.05</v>
      </c>
      <c r="L20" s="226">
        <v>0.06</v>
      </c>
      <c r="M20" s="226">
        <v>0.03</v>
      </c>
      <c r="N20" s="226">
        <v>0.06</v>
      </c>
    </row>
    <row r="21" spans="1:14" ht="27">
      <c r="A21" s="221">
        <v>16</v>
      </c>
      <c r="B21" s="222" t="s">
        <v>708</v>
      </c>
      <c r="C21" s="223"/>
      <c r="D21" s="225"/>
      <c r="E21" s="224"/>
      <c r="F21" s="234" t="s">
        <v>289</v>
      </c>
      <c r="G21" s="234"/>
      <c r="H21" s="234" t="s">
        <v>289</v>
      </c>
      <c r="I21" s="225"/>
      <c r="K21" s="226">
        <v>0</v>
      </c>
      <c r="L21" s="226">
        <v>0</v>
      </c>
      <c r="M21" s="226">
        <v>0</v>
      </c>
      <c r="N21" s="226">
        <v>0.06</v>
      </c>
    </row>
    <row r="22" spans="1:14">
      <c r="A22" s="221">
        <v>17</v>
      </c>
      <c r="B22" s="222" t="s">
        <v>709</v>
      </c>
      <c r="C22" s="223"/>
      <c r="D22" s="223"/>
      <c r="E22" s="224"/>
      <c r="F22" s="223"/>
      <c r="G22" s="223"/>
      <c r="H22" s="223"/>
      <c r="I22" s="223"/>
      <c r="K22" s="226">
        <v>0.02</v>
      </c>
      <c r="L22" s="226">
        <v>0.01</v>
      </c>
      <c r="M22" s="226">
        <v>0.02</v>
      </c>
      <c r="N22" s="226">
        <v>0.02</v>
      </c>
    </row>
    <row r="23" spans="1:14">
      <c r="A23" s="221">
        <v>18</v>
      </c>
      <c r="B23" s="222" t="s">
        <v>710</v>
      </c>
      <c r="C23" s="223"/>
      <c r="D23" s="223"/>
      <c r="E23" s="224"/>
      <c r="F23" s="225"/>
      <c r="G23" s="225"/>
      <c r="H23" s="225"/>
      <c r="I23" s="228"/>
      <c r="K23" s="226">
        <v>0.05</v>
      </c>
      <c r="L23" s="226">
        <v>0.06</v>
      </c>
      <c r="M23" s="226">
        <v>0.03</v>
      </c>
      <c r="N23" s="226">
        <v>0.06</v>
      </c>
    </row>
    <row r="24" spans="1:14">
      <c r="A24" s="221">
        <v>19</v>
      </c>
      <c r="B24" s="222" t="s">
        <v>711</v>
      </c>
      <c r="C24" s="228"/>
      <c r="D24" s="228"/>
      <c r="E24" s="224"/>
      <c r="F24" s="224" t="s">
        <v>289</v>
      </c>
      <c r="G24" s="224"/>
      <c r="H24" s="224" t="s">
        <v>289</v>
      </c>
      <c r="I24" s="235" t="s">
        <v>712</v>
      </c>
      <c r="K24" s="226">
        <v>0</v>
      </c>
      <c r="L24" s="226">
        <v>0.06</v>
      </c>
      <c r="M24" s="226">
        <v>0</v>
      </c>
      <c r="N24" s="226">
        <v>0.06</v>
      </c>
    </row>
    <row r="25" spans="1:14" ht="27">
      <c r="A25" s="221">
        <v>20</v>
      </c>
      <c r="B25" s="222" t="s">
        <v>713</v>
      </c>
      <c r="C25" s="223"/>
      <c r="D25" s="225"/>
      <c r="E25" s="224"/>
      <c r="F25" s="224" t="s">
        <v>289</v>
      </c>
      <c r="G25" s="224"/>
      <c r="H25" s="225"/>
      <c r="I25" s="225"/>
      <c r="K25" s="226">
        <v>0</v>
      </c>
      <c r="L25" s="226">
        <v>0.06</v>
      </c>
      <c r="M25" s="226">
        <v>0.03</v>
      </c>
      <c r="N25" s="226">
        <v>0.06</v>
      </c>
    </row>
    <row r="26" spans="1:14">
      <c r="A26" s="221">
        <v>21</v>
      </c>
      <c r="B26" s="222" t="s">
        <v>714</v>
      </c>
      <c r="C26" s="223"/>
      <c r="D26" s="225"/>
      <c r="E26" s="224"/>
      <c r="F26" s="224" t="s">
        <v>289</v>
      </c>
      <c r="G26" s="224"/>
      <c r="H26" s="225"/>
      <c r="I26" s="224" t="s">
        <v>289</v>
      </c>
      <c r="K26" s="226">
        <v>0</v>
      </c>
      <c r="L26" s="226">
        <v>0.06</v>
      </c>
      <c r="M26" s="226">
        <v>0.03</v>
      </c>
      <c r="N26" s="226">
        <v>0</v>
      </c>
    </row>
    <row r="27" spans="1:14">
      <c r="A27" s="221">
        <v>22</v>
      </c>
      <c r="B27" s="222" t="s">
        <v>715</v>
      </c>
      <c r="C27" s="223"/>
      <c r="D27" s="223"/>
      <c r="E27" s="224"/>
      <c r="F27" s="224" t="s">
        <v>289</v>
      </c>
      <c r="G27" s="224"/>
      <c r="H27" s="224" t="s">
        <v>289</v>
      </c>
      <c r="I27" s="224" t="s">
        <v>289</v>
      </c>
      <c r="K27" s="226">
        <v>0</v>
      </c>
      <c r="L27" s="226">
        <v>0</v>
      </c>
      <c r="M27" s="226">
        <v>0</v>
      </c>
      <c r="N27" s="226">
        <v>0</v>
      </c>
    </row>
    <row r="28" spans="1:14">
      <c r="A28" s="221">
        <v>23</v>
      </c>
      <c r="B28" s="222" t="s">
        <v>716</v>
      </c>
      <c r="C28" s="223"/>
      <c r="D28" s="223"/>
      <c r="E28" s="224"/>
      <c r="F28" s="223"/>
      <c r="G28" s="223"/>
      <c r="H28" s="225"/>
      <c r="I28" s="225"/>
      <c r="K28" s="226">
        <v>0.02</v>
      </c>
      <c r="L28" s="226">
        <v>0</v>
      </c>
      <c r="M28" s="226">
        <v>0.03</v>
      </c>
      <c r="N28" s="226">
        <v>0.06</v>
      </c>
    </row>
    <row r="29" spans="1:14">
      <c r="A29" s="221">
        <v>24</v>
      </c>
      <c r="B29" s="222" t="s">
        <v>717</v>
      </c>
      <c r="C29" s="223"/>
      <c r="D29" s="223"/>
      <c r="E29" s="224"/>
      <c r="F29" s="223"/>
      <c r="G29" s="223"/>
      <c r="H29" s="225"/>
      <c r="I29" s="225"/>
      <c r="K29" s="226">
        <v>0.02</v>
      </c>
      <c r="L29" s="226">
        <v>0</v>
      </c>
      <c r="M29" s="226">
        <v>0.03</v>
      </c>
      <c r="N29" s="226">
        <v>0.06</v>
      </c>
    </row>
    <row r="30" spans="1:14">
      <c r="A30" s="221">
        <v>25</v>
      </c>
      <c r="B30" s="222" t="s">
        <v>718</v>
      </c>
      <c r="C30" s="223"/>
      <c r="D30" s="223"/>
      <c r="E30" s="224"/>
      <c r="F30" s="223"/>
      <c r="G30" s="223"/>
      <c r="H30" s="225"/>
      <c r="I30" s="225"/>
      <c r="K30" s="226">
        <v>0.02</v>
      </c>
      <c r="L30" s="226">
        <v>0</v>
      </c>
      <c r="M30" s="226">
        <v>0.03</v>
      </c>
      <c r="N30" s="226">
        <v>0.06</v>
      </c>
    </row>
    <row r="31" spans="1:14" ht="27">
      <c r="A31" s="221">
        <v>26</v>
      </c>
      <c r="B31" s="222" t="s">
        <v>719</v>
      </c>
      <c r="C31" s="223"/>
      <c r="D31" s="223"/>
      <c r="E31" s="224"/>
      <c r="F31" s="223"/>
      <c r="G31" s="223"/>
      <c r="H31" s="224" t="s">
        <v>289</v>
      </c>
      <c r="I31" s="224" t="s">
        <v>289</v>
      </c>
      <c r="K31" s="226">
        <v>0.02</v>
      </c>
      <c r="L31" s="226">
        <v>0</v>
      </c>
      <c r="M31" s="226">
        <v>0</v>
      </c>
      <c r="N31" s="226">
        <v>0</v>
      </c>
    </row>
    <row r="32" spans="1:14" ht="27">
      <c r="A32" s="221">
        <v>27</v>
      </c>
      <c r="B32" s="222" t="s">
        <v>720</v>
      </c>
      <c r="C32" s="223"/>
      <c r="D32" s="223"/>
      <c r="E32" s="224"/>
      <c r="F32" s="224" t="s">
        <v>289</v>
      </c>
      <c r="G32" s="224"/>
      <c r="H32" s="225"/>
      <c r="I32" s="225"/>
      <c r="K32" s="226">
        <v>0</v>
      </c>
      <c r="L32" s="226">
        <v>0</v>
      </c>
      <c r="M32" s="226">
        <v>0.03</v>
      </c>
      <c r="N32" s="226">
        <v>0.06</v>
      </c>
    </row>
    <row r="33" spans="1:14">
      <c r="A33" s="221">
        <v>28</v>
      </c>
      <c r="B33" s="222" t="s">
        <v>721</v>
      </c>
      <c r="C33" s="228"/>
      <c r="D33" s="235"/>
      <c r="E33" s="234"/>
      <c r="F33" s="235"/>
      <c r="G33" s="235"/>
      <c r="H33" s="235"/>
      <c r="I33" s="235"/>
      <c r="K33" s="226">
        <v>0.05</v>
      </c>
      <c r="L33" s="226">
        <v>0</v>
      </c>
      <c r="M33" s="226">
        <v>0.03</v>
      </c>
      <c r="N33" s="226">
        <v>0.06</v>
      </c>
    </row>
    <row r="34" spans="1:14">
      <c r="A34" s="221">
        <v>29</v>
      </c>
      <c r="B34" s="222" t="s">
        <v>722</v>
      </c>
      <c r="C34" s="228"/>
      <c r="D34" s="235"/>
      <c r="E34" s="234"/>
      <c r="F34" s="235"/>
      <c r="G34" s="235"/>
      <c r="H34" s="235"/>
      <c r="I34" s="235"/>
      <c r="K34" s="226">
        <v>0.05</v>
      </c>
      <c r="L34" s="226">
        <v>0</v>
      </c>
      <c r="M34" s="226">
        <v>0.03</v>
      </c>
      <c r="N34" s="226">
        <v>0.06</v>
      </c>
    </row>
    <row r="35" spans="1:14">
      <c r="A35" s="221">
        <v>30</v>
      </c>
      <c r="B35" s="222" t="s">
        <v>723</v>
      </c>
      <c r="C35" s="230"/>
      <c r="D35" s="235"/>
      <c r="E35" s="234"/>
      <c r="F35" s="235"/>
      <c r="G35" s="235"/>
      <c r="H35" s="235"/>
      <c r="I35" s="235"/>
      <c r="K35" s="226">
        <v>0.05</v>
      </c>
      <c r="L35" s="226">
        <v>0</v>
      </c>
      <c r="M35" s="226">
        <v>0.03</v>
      </c>
      <c r="N35" s="226">
        <v>0.06</v>
      </c>
    </row>
    <row r="36" spans="1:14">
      <c r="A36" s="221">
        <v>31</v>
      </c>
      <c r="B36" s="222" t="s">
        <v>724</v>
      </c>
      <c r="C36" s="236"/>
      <c r="D36" s="235"/>
      <c r="E36" s="234"/>
      <c r="F36" s="230"/>
      <c r="G36" s="230"/>
      <c r="H36" s="230"/>
      <c r="I36" s="230"/>
      <c r="K36" s="226">
        <v>0.05</v>
      </c>
      <c r="L36" s="226">
        <v>0</v>
      </c>
      <c r="M36" s="226">
        <v>0.03</v>
      </c>
      <c r="N36" s="226">
        <v>0.06</v>
      </c>
    </row>
    <row r="37" spans="1:14" ht="27">
      <c r="A37" s="221">
        <v>32</v>
      </c>
      <c r="B37" s="222" t="s">
        <v>725</v>
      </c>
      <c r="C37" s="230" t="s">
        <v>726</v>
      </c>
      <c r="D37" s="235"/>
      <c r="E37" s="234"/>
      <c r="F37" s="235"/>
      <c r="G37" s="235"/>
      <c r="H37" s="235"/>
      <c r="I37" s="235"/>
      <c r="K37" s="226">
        <v>0.05</v>
      </c>
      <c r="L37" s="226">
        <v>0</v>
      </c>
      <c r="M37" s="226">
        <v>0.03</v>
      </c>
      <c r="N37" s="226">
        <v>0.06</v>
      </c>
    </row>
    <row r="38" spans="1:14">
      <c r="A38" s="221">
        <v>33</v>
      </c>
      <c r="B38" s="222" t="s">
        <v>727</v>
      </c>
      <c r="C38" s="230"/>
      <c r="D38" s="235"/>
      <c r="E38" s="234"/>
      <c r="F38" s="235"/>
      <c r="G38" s="235"/>
      <c r="H38" s="230"/>
      <c r="I38" s="235"/>
      <c r="K38" s="226">
        <v>0.05</v>
      </c>
      <c r="L38" s="226">
        <v>0</v>
      </c>
      <c r="M38" s="226">
        <v>0.03</v>
      </c>
      <c r="N38" s="226">
        <v>0.06</v>
      </c>
    </row>
    <row r="39" spans="1:14">
      <c r="A39" s="221">
        <v>34</v>
      </c>
      <c r="B39" s="222" t="s">
        <v>728</v>
      </c>
      <c r="C39" s="237"/>
      <c r="D39" s="235"/>
      <c r="E39" s="224"/>
      <c r="F39" s="230"/>
      <c r="G39" s="230"/>
      <c r="H39" s="230"/>
      <c r="I39" s="230"/>
      <c r="K39" s="226">
        <v>0.05</v>
      </c>
      <c r="L39" s="226">
        <v>0</v>
      </c>
      <c r="M39" s="226">
        <v>0.03</v>
      </c>
      <c r="N39" s="226">
        <v>0.06</v>
      </c>
    </row>
    <row r="40" spans="1:14">
      <c r="A40" s="221">
        <v>35</v>
      </c>
      <c r="B40" s="222" t="s">
        <v>729</v>
      </c>
      <c r="C40" s="228"/>
      <c r="D40" s="235"/>
      <c r="E40" s="224"/>
      <c r="F40" s="230"/>
      <c r="G40" s="230"/>
      <c r="H40" s="235"/>
      <c r="I40" s="235"/>
      <c r="K40" s="226">
        <v>0.05</v>
      </c>
      <c r="L40" s="226">
        <v>0</v>
      </c>
      <c r="M40" s="226">
        <v>0.03</v>
      </c>
      <c r="N40" s="226">
        <v>0.06</v>
      </c>
    </row>
    <row r="41" spans="1:14">
      <c r="A41" s="221">
        <v>36</v>
      </c>
      <c r="B41" s="222" t="s">
        <v>730</v>
      </c>
      <c r="C41" s="236"/>
      <c r="D41" s="237"/>
      <c r="E41" s="234"/>
      <c r="F41" s="235"/>
      <c r="G41" s="235"/>
      <c r="H41" s="237"/>
      <c r="I41" s="237"/>
      <c r="K41" s="226">
        <v>0.05</v>
      </c>
      <c r="L41" s="226">
        <v>0</v>
      </c>
      <c r="M41" s="226">
        <v>0.03</v>
      </c>
      <c r="N41" s="226">
        <v>0.06</v>
      </c>
    </row>
    <row r="42" spans="1:14">
      <c r="A42" s="221">
        <v>37</v>
      </c>
      <c r="B42" s="222" t="s">
        <v>731</v>
      </c>
      <c r="C42" s="236"/>
      <c r="D42" s="235"/>
      <c r="E42" s="224"/>
      <c r="F42" s="237"/>
      <c r="G42" s="237"/>
      <c r="H42" s="237"/>
      <c r="I42" s="237"/>
      <c r="K42" s="226">
        <v>0.05</v>
      </c>
      <c r="L42" s="226">
        <v>0</v>
      </c>
      <c r="M42" s="226">
        <v>0.03</v>
      </c>
      <c r="N42" s="226">
        <v>0.06</v>
      </c>
    </row>
    <row r="43" spans="1:14">
      <c r="A43" s="221">
        <v>38</v>
      </c>
      <c r="B43" s="222" t="s">
        <v>732</v>
      </c>
      <c r="C43" s="238"/>
      <c r="D43" s="237"/>
      <c r="E43" s="224"/>
      <c r="F43" s="229"/>
      <c r="G43" s="229"/>
      <c r="H43" s="229"/>
      <c r="I43" s="229"/>
      <c r="K43" s="226">
        <v>0.02</v>
      </c>
      <c r="L43" s="226">
        <v>0</v>
      </c>
      <c r="M43" s="226">
        <v>0.02</v>
      </c>
      <c r="N43" s="226">
        <v>0.02</v>
      </c>
    </row>
    <row r="44" spans="1:14">
      <c r="A44" s="221">
        <v>39</v>
      </c>
      <c r="B44" s="222" t="s">
        <v>733</v>
      </c>
      <c r="C44" s="237"/>
      <c r="D44" s="237"/>
      <c r="E44" s="224"/>
      <c r="F44" s="230"/>
      <c r="G44" s="230"/>
      <c r="H44" s="230"/>
      <c r="I44" s="230"/>
      <c r="K44" s="226">
        <v>0.05</v>
      </c>
      <c r="L44" s="226">
        <v>0</v>
      </c>
      <c r="M44" s="226">
        <v>0.03</v>
      </c>
      <c r="N44" s="226">
        <v>0.06</v>
      </c>
    </row>
    <row r="45" spans="1:14">
      <c r="A45" s="221">
        <v>40</v>
      </c>
      <c r="B45" s="222" t="s">
        <v>734</v>
      </c>
      <c r="C45" s="238"/>
      <c r="D45" s="237"/>
      <c r="E45" s="224"/>
      <c r="F45" s="237"/>
      <c r="G45" s="237"/>
      <c r="H45" s="238"/>
      <c r="I45" s="238"/>
      <c r="K45" s="226">
        <v>0.05</v>
      </c>
      <c r="L45" s="226">
        <v>0</v>
      </c>
      <c r="M45" s="226">
        <v>0.02</v>
      </c>
      <c r="N45" s="226">
        <v>0.02</v>
      </c>
    </row>
    <row r="46" spans="1:14">
      <c r="A46" s="221">
        <v>41</v>
      </c>
      <c r="B46" s="222" t="s">
        <v>735</v>
      </c>
      <c r="C46" s="237"/>
      <c r="D46" s="235"/>
      <c r="E46" s="224"/>
      <c r="F46" s="239" t="s">
        <v>289</v>
      </c>
      <c r="G46" s="239"/>
      <c r="H46" s="239" t="s">
        <v>289</v>
      </c>
      <c r="I46" s="239" t="s">
        <v>289</v>
      </c>
      <c r="K46" s="226">
        <v>0</v>
      </c>
      <c r="L46" s="226">
        <v>0</v>
      </c>
      <c r="M46" s="226">
        <v>0</v>
      </c>
      <c r="N46" s="226">
        <v>0</v>
      </c>
    </row>
    <row r="47" spans="1:14" ht="27">
      <c r="A47" s="221">
        <v>42</v>
      </c>
      <c r="B47" s="222" t="s">
        <v>736</v>
      </c>
      <c r="C47" s="237"/>
      <c r="D47" s="240"/>
      <c r="E47" s="224"/>
      <c r="F47" s="230"/>
      <c r="G47" s="230"/>
      <c r="H47" s="230"/>
      <c r="I47" s="230"/>
      <c r="K47" s="226">
        <v>0.05</v>
      </c>
      <c r="L47" s="226">
        <v>0</v>
      </c>
      <c r="M47" s="226">
        <v>0.03</v>
      </c>
      <c r="N47" s="226">
        <v>0.06</v>
      </c>
    </row>
    <row r="48" spans="1:14" ht="27">
      <c r="A48" s="221">
        <v>43</v>
      </c>
      <c r="B48" s="222" t="s">
        <v>737</v>
      </c>
      <c r="C48" s="228"/>
      <c r="D48" s="228"/>
      <c r="E48" s="224"/>
      <c r="F48" s="228"/>
      <c r="G48" s="228"/>
      <c r="H48" s="228"/>
      <c r="I48" s="228"/>
      <c r="K48" s="226">
        <v>0.05</v>
      </c>
      <c r="L48" s="226">
        <v>0</v>
      </c>
      <c r="M48" s="226">
        <v>0.03</v>
      </c>
      <c r="N48" s="226">
        <v>0.06</v>
      </c>
    </row>
    <row r="49" spans="1:14" ht="54">
      <c r="A49" s="221">
        <v>44</v>
      </c>
      <c r="B49" s="222" t="s">
        <v>738</v>
      </c>
      <c r="C49" s="241"/>
      <c r="D49" s="241"/>
      <c r="E49" s="224"/>
      <c r="F49" s="241"/>
      <c r="G49" s="241"/>
      <c r="H49" s="241"/>
      <c r="I49" s="241"/>
      <c r="K49" s="226">
        <v>0.02</v>
      </c>
      <c r="L49" s="226">
        <v>0</v>
      </c>
      <c r="M49" s="226">
        <v>0.02</v>
      </c>
      <c r="N49" s="226">
        <v>0.02</v>
      </c>
    </row>
    <row r="50" spans="1:14">
      <c r="A50" s="232" t="s">
        <v>739</v>
      </c>
      <c r="B50" s="222" t="s">
        <v>740</v>
      </c>
      <c r="C50" s="241"/>
      <c r="D50" s="241"/>
      <c r="E50" s="224"/>
      <c r="F50" s="242"/>
      <c r="G50" s="242"/>
      <c r="H50" s="242"/>
      <c r="I50" s="242"/>
      <c r="K50" s="226">
        <v>0.05</v>
      </c>
      <c r="L50" s="226">
        <v>0</v>
      </c>
      <c r="M50" s="226">
        <v>0.03</v>
      </c>
      <c r="N50" s="226">
        <v>0.06</v>
      </c>
    </row>
    <row r="51" spans="1:14">
      <c r="A51" s="232" t="s">
        <v>741</v>
      </c>
      <c r="B51" s="222" t="s">
        <v>742</v>
      </c>
      <c r="C51" s="241"/>
      <c r="D51" s="241"/>
      <c r="E51" s="224"/>
      <c r="F51" s="242"/>
      <c r="G51" s="242"/>
      <c r="H51" s="242"/>
      <c r="I51" s="242"/>
      <c r="K51" s="226">
        <v>0.05</v>
      </c>
      <c r="L51" s="226">
        <v>0</v>
      </c>
      <c r="M51" s="226">
        <v>0.03</v>
      </c>
      <c r="N51" s="226">
        <v>0.06</v>
      </c>
    </row>
    <row r="52" spans="1:14">
      <c r="A52" s="221">
        <v>45</v>
      </c>
      <c r="B52" s="222" t="s">
        <v>743</v>
      </c>
      <c r="C52" s="241"/>
      <c r="D52" s="243"/>
      <c r="E52" s="244"/>
      <c r="F52" s="243"/>
      <c r="G52" s="243"/>
      <c r="H52" s="245"/>
      <c r="I52" s="245"/>
      <c r="K52" s="226">
        <v>0.05</v>
      </c>
      <c r="L52" s="226">
        <v>0</v>
      </c>
      <c r="M52" s="226">
        <v>0.03</v>
      </c>
      <c r="N52" s="226">
        <v>0.06</v>
      </c>
    </row>
    <row r="53" spans="1:14">
      <c r="A53" s="221">
        <v>46</v>
      </c>
      <c r="B53" s="222" t="s">
        <v>744</v>
      </c>
      <c r="C53" s="225"/>
      <c r="D53" s="225"/>
      <c r="E53" s="224"/>
      <c r="F53" s="225"/>
      <c r="G53" s="225"/>
      <c r="H53" s="225"/>
      <c r="I53" s="225"/>
      <c r="K53" s="226">
        <v>0.05</v>
      </c>
      <c r="L53" s="226">
        <v>0.06</v>
      </c>
      <c r="M53" s="226">
        <v>0.03</v>
      </c>
      <c r="N53" s="226">
        <v>0.06</v>
      </c>
    </row>
    <row r="54" spans="1:14">
      <c r="A54" s="221">
        <v>47</v>
      </c>
      <c r="B54" s="222" t="s">
        <v>745</v>
      </c>
      <c r="C54" s="225"/>
      <c r="D54" s="225"/>
      <c r="E54" s="224"/>
      <c r="F54" s="225"/>
      <c r="G54" s="225"/>
      <c r="H54" s="225"/>
      <c r="I54" s="225"/>
      <c r="K54" s="226">
        <v>0.05</v>
      </c>
      <c r="L54" s="226">
        <v>0.06</v>
      </c>
      <c r="M54" s="226">
        <v>0.03</v>
      </c>
      <c r="N54" s="226">
        <v>0.06</v>
      </c>
    </row>
    <row r="55" spans="1:14">
      <c r="A55" s="232" t="s">
        <v>746</v>
      </c>
      <c r="B55" s="233" t="s">
        <v>747</v>
      </c>
      <c r="C55" s="225"/>
      <c r="D55" s="225"/>
      <c r="E55" s="224"/>
      <c r="F55" s="223"/>
      <c r="G55" s="223"/>
      <c r="H55" s="223"/>
      <c r="I55" s="223"/>
      <c r="K55" s="226">
        <v>0.02</v>
      </c>
      <c r="L55" s="226">
        <v>0.01</v>
      </c>
      <c r="M55" s="226">
        <v>0.02</v>
      </c>
      <c r="N55" s="226">
        <v>0.02</v>
      </c>
    </row>
    <row r="56" spans="1:14">
      <c r="A56" s="221">
        <v>48</v>
      </c>
      <c r="B56" s="222" t="s">
        <v>748</v>
      </c>
      <c r="C56" s="224" t="s">
        <v>699</v>
      </c>
      <c r="D56" s="224"/>
      <c r="E56" s="224"/>
      <c r="F56" s="224"/>
      <c r="G56" s="224"/>
      <c r="H56" s="224"/>
      <c r="I56" s="224"/>
      <c r="K56" s="226"/>
      <c r="L56" s="226"/>
      <c r="M56" s="226"/>
      <c r="N56" s="226"/>
    </row>
    <row r="57" spans="1:14">
      <c r="A57" s="232" t="s">
        <v>749</v>
      </c>
      <c r="B57" s="233" t="s">
        <v>750</v>
      </c>
      <c r="C57" s="225"/>
      <c r="D57" s="228"/>
      <c r="E57" s="224"/>
      <c r="F57" s="228"/>
      <c r="G57" s="228"/>
      <c r="H57" s="228"/>
      <c r="I57" s="228"/>
      <c r="K57" s="226">
        <v>0.05</v>
      </c>
      <c r="L57" s="226">
        <v>0</v>
      </c>
      <c r="M57" s="226">
        <v>0.03</v>
      </c>
      <c r="N57" s="226">
        <v>0.06</v>
      </c>
    </row>
    <row r="58" spans="1:14">
      <c r="A58" s="232" t="s">
        <v>751</v>
      </c>
      <c r="B58" s="233" t="s">
        <v>752</v>
      </c>
      <c r="C58" s="225"/>
      <c r="D58" s="228"/>
      <c r="E58" s="224"/>
      <c r="F58" s="228"/>
      <c r="G58" s="228"/>
      <c r="H58" s="228"/>
      <c r="I58" s="228"/>
      <c r="K58" s="226">
        <v>0.05</v>
      </c>
      <c r="L58" s="226">
        <v>0</v>
      </c>
      <c r="M58" s="226">
        <v>0.03</v>
      </c>
      <c r="N58" s="226">
        <v>0.06</v>
      </c>
    </row>
    <row r="59" spans="1:14">
      <c r="A59" s="232" t="s">
        <v>753</v>
      </c>
      <c r="B59" s="233" t="s">
        <v>754</v>
      </c>
      <c r="C59" s="228"/>
      <c r="D59" s="228"/>
      <c r="E59" s="224"/>
      <c r="F59" s="228"/>
      <c r="G59" s="228"/>
      <c r="H59" s="246" t="s">
        <v>289</v>
      </c>
      <c r="I59" s="246" t="s">
        <v>289</v>
      </c>
      <c r="K59" s="226">
        <v>0.05</v>
      </c>
      <c r="L59" s="226">
        <v>0</v>
      </c>
      <c r="M59" s="226">
        <v>0.02</v>
      </c>
      <c r="N59" s="226">
        <v>0</v>
      </c>
    </row>
    <row r="60" spans="1:14">
      <c r="A60" s="232" t="s">
        <v>755</v>
      </c>
      <c r="B60" s="233" t="s">
        <v>756</v>
      </c>
      <c r="C60" s="225"/>
      <c r="D60" s="228"/>
      <c r="E60" s="224"/>
      <c r="F60" s="228"/>
      <c r="G60" s="228"/>
      <c r="H60" s="246" t="s">
        <v>289</v>
      </c>
      <c r="I60" s="246" t="s">
        <v>289</v>
      </c>
      <c r="K60" s="226">
        <v>0.05</v>
      </c>
      <c r="L60" s="226">
        <v>0.06</v>
      </c>
      <c r="M60" s="226">
        <v>0.02</v>
      </c>
      <c r="N60" s="226">
        <v>0</v>
      </c>
    </row>
    <row r="61" spans="1:14">
      <c r="A61" s="221">
        <v>49</v>
      </c>
      <c r="B61" s="222" t="s">
        <v>757</v>
      </c>
      <c r="C61" s="224" t="s">
        <v>699</v>
      </c>
      <c r="D61" s="224"/>
      <c r="E61" s="224"/>
      <c r="F61" s="224"/>
      <c r="G61" s="224"/>
      <c r="H61" s="224"/>
      <c r="I61" s="224"/>
      <c r="K61" s="226"/>
      <c r="L61" s="226"/>
      <c r="M61" s="226"/>
      <c r="N61" s="226"/>
    </row>
    <row r="62" spans="1:14">
      <c r="A62" s="232" t="s">
        <v>758</v>
      </c>
      <c r="B62" s="233" t="s">
        <v>759</v>
      </c>
      <c r="C62" s="223"/>
      <c r="D62" s="225"/>
      <c r="E62" s="224"/>
      <c r="F62" s="223"/>
      <c r="G62" s="223"/>
      <c r="H62" s="223"/>
      <c r="I62" s="223"/>
      <c r="K62" s="226">
        <v>0.02</v>
      </c>
      <c r="L62" s="226">
        <v>0</v>
      </c>
      <c r="M62" s="226">
        <v>0.02</v>
      </c>
      <c r="N62" s="226">
        <v>0.02</v>
      </c>
    </row>
    <row r="63" spans="1:14">
      <c r="A63" s="232" t="s">
        <v>760</v>
      </c>
      <c r="B63" s="233" t="s">
        <v>761</v>
      </c>
      <c r="C63" s="223"/>
      <c r="D63" s="223"/>
      <c r="E63" s="224"/>
      <c r="F63" s="223"/>
      <c r="G63" s="223"/>
      <c r="H63" s="223"/>
      <c r="I63" s="223"/>
      <c r="K63" s="226">
        <v>0.02</v>
      </c>
      <c r="L63" s="226">
        <v>0</v>
      </c>
      <c r="M63" s="226">
        <v>0.02</v>
      </c>
      <c r="N63" s="226">
        <v>0.02</v>
      </c>
    </row>
    <row r="64" spans="1:14">
      <c r="A64" s="221">
        <v>50</v>
      </c>
      <c r="B64" s="222" t="s">
        <v>762</v>
      </c>
      <c r="C64" s="225"/>
      <c r="D64" s="228"/>
      <c r="E64" s="224"/>
      <c r="F64" s="225"/>
      <c r="G64" s="225"/>
      <c r="H64" s="225"/>
      <c r="I64" s="225"/>
      <c r="K64" s="226">
        <v>0.05</v>
      </c>
      <c r="L64" s="226">
        <v>0</v>
      </c>
      <c r="M64" s="226">
        <v>0.03</v>
      </c>
      <c r="N64" s="226">
        <v>0.06</v>
      </c>
    </row>
    <row r="65" spans="1:14">
      <c r="A65" s="221">
        <v>51</v>
      </c>
      <c r="B65" s="222" t="s">
        <v>763</v>
      </c>
      <c r="C65" s="223"/>
      <c r="D65" s="225"/>
      <c r="E65" s="224"/>
      <c r="F65" s="225"/>
      <c r="G65" s="225"/>
      <c r="H65" s="225"/>
      <c r="I65" s="225"/>
      <c r="K65" s="226">
        <v>0.05</v>
      </c>
      <c r="L65" s="226">
        <v>0</v>
      </c>
      <c r="M65" s="226">
        <v>0.03</v>
      </c>
      <c r="N65" s="226">
        <v>0.06</v>
      </c>
    </row>
    <row r="66" spans="1:14">
      <c r="A66" s="221">
        <v>52</v>
      </c>
      <c r="B66" s="222" t="s">
        <v>764</v>
      </c>
      <c r="C66" s="224" t="s">
        <v>699</v>
      </c>
      <c r="D66" s="224"/>
      <c r="E66" s="224"/>
      <c r="F66" s="224"/>
      <c r="G66" s="224"/>
      <c r="H66" s="224"/>
      <c r="I66" s="224"/>
      <c r="K66" s="226"/>
      <c r="L66" s="226"/>
      <c r="M66" s="226"/>
      <c r="N66" s="226"/>
    </row>
    <row r="67" spans="1:14">
      <c r="A67" s="247" t="s">
        <v>765</v>
      </c>
      <c r="B67" s="233" t="s">
        <v>766</v>
      </c>
      <c r="C67" s="228"/>
      <c r="D67" s="228"/>
      <c r="E67" s="224"/>
      <c r="F67" s="228"/>
      <c r="G67" s="228"/>
      <c r="H67" s="246" t="s">
        <v>289</v>
      </c>
      <c r="I67" s="246" t="s">
        <v>289</v>
      </c>
      <c r="K67" s="226">
        <v>0.05</v>
      </c>
      <c r="L67" s="226">
        <v>0</v>
      </c>
      <c r="M67" s="226">
        <v>0</v>
      </c>
      <c r="N67" s="226">
        <v>0</v>
      </c>
    </row>
    <row r="68" spans="1:14">
      <c r="A68" s="232" t="s">
        <v>767</v>
      </c>
      <c r="B68" s="233" t="s">
        <v>768</v>
      </c>
      <c r="C68" s="223"/>
      <c r="D68" s="228"/>
      <c r="E68" s="224"/>
      <c r="F68" s="225"/>
      <c r="G68" s="225"/>
      <c r="H68" s="246" t="s">
        <v>289</v>
      </c>
      <c r="I68" s="246" t="s">
        <v>289</v>
      </c>
      <c r="K68" s="226">
        <v>0.05</v>
      </c>
      <c r="L68" s="226">
        <v>0</v>
      </c>
      <c r="M68" s="226">
        <v>0</v>
      </c>
      <c r="N68" s="226">
        <v>0</v>
      </c>
    </row>
    <row r="69" spans="1:14">
      <c r="A69" s="221">
        <v>53</v>
      </c>
      <c r="B69" s="222" t="s">
        <v>769</v>
      </c>
      <c r="C69" s="223"/>
      <c r="D69" s="225"/>
      <c r="E69" s="224"/>
      <c r="F69" s="225"/>
      <c r="G69" s="225"/>
      <c r="H69" s="225"/>
      <c r="I69" s="225"/>
      <c r="K69" s="226">
        <v>0.05</v>
      </c>
      <c r="L69" s="226">
        <v>0</v>
      </c>
      <c r="M69" s="226">
        <v>0.03</v>
      </c>
      <c r="N69" s="226">
        <v>0.06</v>
      </c>
    </row>
    <row r="70" spans="1:14" ht="27">
      <c r="A70" s="221">
        <v>54</v>
      </c>
      <c r="B70" s="222" t="s">
        <v>770</v>
      </c>
      <c r="C70" s="225"/>
      <c r="D70" s="225"/>
      <c r="E70" s="224"/>
      <c r="F70" s="225"/>
      <c r="G70" s="225"/>
      <c r="H70" s="225"/>
      <c r="I70" s="228"/>
      <c r="K70" s="226">
        <v>0.05</v>
      </c>
      <c r="L70" s="226">
        <v>0</v>
      </c>
      <c r="M70" s="226">
        <v>0.03</v>
      </c>
      <c r="N70" s="226">
        <v>0.06</v>
      </c>
    </row>
    <row r="71" spans="1:14">
      <c r="A71" s="221">
        <v>55</v>
      </c>
      <c r="B71" s="222" t="s">
        <v>771</v>
      </c>
      <c r="C71" s="225"/>
      <c r="D71" s="225"/>
      <c r="E71" s="224"/>
      <c r="F71" s="225"/>
      <c r="G71" s="225"/>
      <c r="H71" s="225"/>
      <c r="I71" s="228"/>
      <c r="K71" s="226">
        <v>0.05</v>
      </c>
      <c r="L71" s="226">
        <v>0</v>
      </c>
      <c r="M71" s="226">
        <v>0.03</v>
      </c>
      <c r="N71" s="226">
        <v>0.06</v>
      </c>
    </row>
    <row r="72" spans="1:14">
      <c r="A72" s="221">
        <v>56</v>
      </c>
      <c r="B72" s="222" t="s">
        <v>772</v>
      </c>
      <c r="C72" s="223"/>
      <c r="D72" s="225"/>
      <c r="E72" s="224"/>
      <c r="F72" s="225"/>
      <c r="G72" s="225"/>
      <c r="H72" s="225"/>
      <c r="I72" s="225"/>
      <c r="K72" s="226">
        <v>0.05</v>
      </c>
      <c r="L72" s="226">
        <v>0</v>
      </c>
      <c r="M72" s="226">
        <v>0.03</v>
      </c>
      <c r="N72" s="226">
        <v>0.06</v>
      </c>
    </row>
    <row r="73" spans="1:14">
      <c r="A73" s="221">
        <v>57</v>
      </c>
      <c r="B73" s="222" t="s">
        <v>773</v>
      </c>
      <c r="C73" s="248"/>
      <c r="D73" s="225"/>
      <c r="E73" s="224"/>
      <c r="F73" s="225"/>
      <c r="G73" s="225"/>
      <c r="H73" s="225"/>
      <c r="I73" s="225"/>
      <c r="K73" s="226">
        <v>0.05</v>
      </c>
      <c r="L73" s="226">
        <v>0</v>
      </c>
      <c r="M73" s="226">
        <v>0.03</v>
      </c>
      <c r="N73" s="226">
        <v>0.06</v>
      </c>
    </row>
    <row r="74" spans="1:14">
      <c r="A74" s="221">
        <v>58</v>
      </c>
      <c r="B74" s="222" t="s">
        <v>774</v>
      </c>
      <c r="C74" s="223"/>
      <c r="D74" s="225"/>
      <c r="E74" s="224"/>
      <c r="F74" s="223"/>
      <c r="G74" s="223"/>
      <c r="H74" s="228"/>
      <c r="I74" s="228"/>
      <c r="K74" s="226">
        <v>0.02</v>
      </c>
      <c r="L74" s="226">
        <v>0</v>
      </c>
      <c r="M74" s="226">
        <v>0.03</v>
      </c>
      <c r="N74" s="226">
        <v>0.06</v>
      </c>
    </row>
    <row r="75" spans="1:14">
      <c r="A75" s="221">
        <v>59</v>
      </c>
      <c r="B75" s="222" t="s">
        <v>775</v>
      </c>
      <c r="C75" s="231" t="s">
        <v>699</v>
      </c>
      <c r="D75" s="231"/>
      <c r="E75" s="231"/>
      <c r="F75" s="231"/>
      <c r="G75" s="231"/>
      <c r="H75" s="231"/>
      <c r="I75" s="231"/>
      <c r="K75" s="226"/>
      <c r="L75" s="226"/>
      <c r="M75" s="226"/>
      <c r="N75" s="226"/>
    </row>
    <row r="76" spans="1:14">
      <c r="A76" s="232" t="s">
        <v>776</v>
      </c>
      <c r="B76" s="233" t="s">
        <v>777</v>
      </c>
      <c r="C76" s="223"/>
      <c r="D76" s="228"/>
      <c r="E76" s="224"/>
      <c r="F76" s="246" t="s">
        <v>289</v>
      </c>
      <c r="G76" s="246"/>
      <c r="H76" s="237"/>
      <c r="I76" s="237"/>
      <c r="K76" s="226">
        <v>0</v>
      </c>
      <c r="L76" s="226">
        <v>0</v>
      </c>
      <c r="M76" s="226">
        <v>0.03</v>
      </c>
      <c r="N76" s="226">
        <v>0.06</v>
      </c>
    </row>
    <row r="77" spans="1:14">
      <c r="A77" s="232" t="s">
        <v>778</v>
      </c>
      <c r="B77" s="233" t="s">
        <v>779</v>
      </c>
      <c r="C77" s="228"/>
      <c r="D77" s="228"/>
      <c r="E77" s="224"/>
      <c r="F77" s="246" t="s">
        <v>289</v>
      </c>
      <c r="G77" s="246"/>
      <c r="H77" s="228"/>
      <c r="I77" s="228"/>
      <c r="K77" s="226">
        <v>0</v>
      </c>
      <c r="L77" s="226">
        <v>0</v>
      </c>
      <c r="M77" s="226">
        <v>0.03</v>
      </c>
      <c r="N77" s="226">
        <v>0.06</v>
      </c>
    </row>
    <row r="78" spans="1:14" ht="27">
      <c r="A78" s="232" t="s">
        <v>780</v>
      </c>
      <c r="B78" s="233" t="s">
        <v>781</v>
      </c>
      <c r="C78" s="231" t="s">
        <v>782</v>
      </c>
      <c r="D78" s="231"/>
      <c r="E78" s="231"/>
      <c r="F78" s="231"/>
      <c r="G78" s="231"/>
      <c r="H78" s="231"/>
      <c r="I78" s="231"/>
      <c r="K78" s="226"/>
      <c r="L78" s="226"/>
      <c r="M78" s="226"/>
      <c r="N78" s="226"/>
    </row>
    <row r="79" spans="1:14">
      <c r="A79" s="232" t="s">
        <v>783</v>
      </c>
      <c r="B79" s="233" t="s">
        <v>784</v>
      </c>
      <c r="C79" s="228"/>
      <c r="D79" s="228"/>
      <c r="E79" s="224"/>
      <c r="F79" s="246" t="s">
        <v>289</v>
      </c>
      <c r="G79" s="246"/>
      <c r="H79" s="228"/>
      <c r="I79" s="246" t="s">
        <v>289</v>
      </c>
      <c r="K79" s="226">
        <v>0</v>
      </c>
      <c r="L79" s="226">
        <v>0</v>
      </c>
      <c r="M79" s="226">
        <v>0.03</v>
      </c>
      <c r="N79" s="226">
        <v>0</v>
      </c>
    </row>
    <row r="80" spans="1:14">
      <c r="A80" s="232" t="s">
        <v>785</v>
      </c>
      <c r="B80" s="233" t="s">
        <v>786</v>
      </c>
      <c r="C80" s="223"/>
      <c r="D80" s="228"/>
      <c r="E80" s="224"/>
      <c r="F80" s="246" t="s">
        <v>289</v>
      </c>
      <c r="G80" s="246"/>
      <c r="H80" s="228"/>
      <c r="I80" s="246" t="s">
        <v>289</v>
      </c>
      <c r="K80" s="226">
        <v>0</v>
      </c>
      <c r="L80" s="226">
        <v>0</v>
      </c>
      <c r="M80" s="226">
        <v>0.03</v>
      </c>
      <c r="N80" s="226">
        <v>0</v>
      </c>
    </row>
    <row r="81" spans="1:14" ht="27">
      <c r="A81" s="232" t="s">
        <v>787</v>
      </c>
      <c r="B81" s="233" t="s">
        <v>788</v>
      </c>
      <c r="C81" s="223"/>
      <c r="D81" s="228"/>
      <c r="E81" s="224"/>
      <c r="F81" s="246" t="s">
        <v>289</v>
      </c>
      <c r="G81" s="246"/>
      <c r="H81" s="246" t="s">
        <v>289</v>
      </c>
      <c r="I81" s="225"/>
      <c r="K81" s="226">
        <v>0</v>
      </c>
      <c r="L81" s="226">
        <v>0</v>
      </c>
      <c r="M81" s="226">
        <v>0</v>
      </c>
      <c r="N81" s="226">
        <v>0.06</v>
      </c>
    </row>
    <row r="82" spans="1:14">
      <c r="A82" s="232" t="s">
        <v>789</v>
      </c>
      <c r="B82" s="233" t="s">
        <v>790</v>
      </c>
      <c r="C82" s="223"/>
      <c r="D82" s="228"/>
      <c r="E82" s="224"/>
      <c r="F82" s="246" t="s">
        <v>289</v>
      </c>
      <c r="G82" s="246"/>
      <c r="H82" s="223"/>
      <c r="I82" s="225"/>
      <c r="K82" s="226">
        <v>0</v>
      </c>
      <c r="L82" s="226">
        <v>0</v>
      </c>
      <c r="M82" s="226">
        <v>0.02</v>
      </c>
      <c r="N82" s="226">
        <v>0.06</v>
      </c>
    </row>
    <row r="83" spans="1:14">
      <c r="A83" s="232" t="s">
        <v>791</v>
      </c>
      <c r="B83" s="233" t="s">
        <v>792</v>
      </c>
      <c r="C83" s="225"/>
      <c r="D83" s="228"/>
      <c r="E83" s="224"/>
      <c r="F83" s="246" t="s">
        <v>289</v>
      </c>
      <c r="G83" s="246"/>
      <c r="H83" s="225"/>
      <c r="I83" s="246" t="s">
        <v>289</v>
      </c>
      <c r="K83" s="226">
        <v>0</v>
      </c>
      <c r="L83" s="226">
        <v>0</v>
      </c>
      <c r="M83" s="226">
        <v>0.03</v>
      </c>
      <c r="N83" s="226">
        <v>0</v>
      </c>
    </row>
    <row r="84" spans="1:14">
      <c r="A84" s="221">
        <v>61</v>
      </c>
      <c r="B84" s="249" t="s">
        <v>793</v>
      </c>
      <c r="C84" s="250"/>
      <c r="D84" s="251"/>
      <c r="E84" s="231"/>
      <c r="F84" s="246" t="s">
        <v>289</v>
      </c>
      <c r="G84" s="246"/>
      <c r="H84" s="246" t="s">
        <v>289</v>
      </c>
      <c r="I84" s="252" t="s">
        <v>794</v>
      </c>
      <c r="K84" s="226">
        <v>0</v>
      </c>
      <c r="L84" s="226">
        <v>0.06</v>
      </c>
      <c r="M84" s="226">
        <v>0</v>
      </c>
      <c r="N84" s="226">
        <v>0.06</v>
      </c>
    </row>
    <row r="85" spans="1:14">
      <c r="A85" s="253">
        <v>62</v>
      </c>
      <c r="B85" s="249" t="s">
        <v>795</v>
      </c>
      <c r="C85" s="254"/>
      <c r="D85" s="251"/>
      <c r="E85" s="231"/>
      <c r="F85" s="246" t="s">
        <v>289</v>
      </c>
      <c r="G85" s="246"/>
      <c r="H85" s="246" t="s">
        <v>289</v>
      </c>
      <c r="I85" s="255"/>
      <c r="K85" s="226">
        <v>0</v>
      </c>
      <c r="L85" s="226">
        <v>0.06</v>
      </c>
      <c r="M85" s="226">
        <v>0</v>
      </c>
      <c r="N85" s="226">
        <v>0.06</v>
      </c>
    </row>
    <row r="86" spans="1:14">
      <c r="A86" s="221">
        <v>63</v>
      </c>
      <c r="B86" s="249" t="s">
        <v>796</v>
      </c>
      <c r="C86" s="254"/>
      <c r="D86" s="254"/>
      <c r="E86" s="231"/>
      <c r="F86" s="246" t="s">
        <v>289</v>
      </c>
      <c r="G86" s="246"/>
      <c r="H86" s="246" t="s">
        <v>289</v>
      </c>
      <c r="I86" s="255"/>
      <c r="K86" s="226">
        <v>0</v>
      </c>
      <c r="L86" s="226">
        <v>0.06</v>
      </c>
      <c r="M86" s="226">
        <v>0</v>
      </c>
      <c r="N86" s="226">
        <v>0.06</v>
      </c>
    </row>
    <row r="87" spans="1:14">
      <c r="A87" s="221">
        <v>64</v>
      </c>
      <c r="B87" s="249" t="s">
        <v>797</v>
      </c>
      <c r="C87" s="250"/>
      <c r="D87" s="250"/>
      <c r="E87" s="231"/>
      <c r="F87" s="250"/>
      <c r="G87" s="250"/>
      <c r="H87" s="250"/>
      <c r="I87" s="251"/>
      <c r="K87" s="226">
        <v>0.02</v>
      </c>
      <c r="L87" s="226">
        <v>0.01</v>
      </c>
      <c r="M87" s="226">
        <v>0.02</v>
      </c>
      <c r="N87" s="226">
        <v>0.06</v>
      </c>
    </row>
    <row r="88" spans="1:14">
      <c r="A88" s="221">
        <v>65</v>
      </c>
      <c r="B88" s="249" t="s">
        <v>798</v>
      </c>
      <c r="C88" s="251"/>
      <c r="D88" s="256"/>
      <c r="E88" s="231"/>
      <c r="F88" s="255"/>
      <c r="G88" s="255"/>
      <c r="H88" s="255"/>
      <c r="I88" s="256"/>
      <c r="K88" s="226">
        <v>0.05</v>
      </c>
      <c r="L88" s="226">
        <v>0</v>
      </c>
      <c r="M88" s="226">
        <v>0.03</v>
      </c>
      <c r="N88" s="226">
        <v>0.06</v>
      </c>
    </row>
    <row r="89" spans="1:14" ht="26.25">
      <c r="A89" s="221">
        <v>66</v>
      </c>
      <c r="B89" s="249" t="s">
        <v>799</v>
      </c>
      <c r="C89" s="255"/>
      <c r="D89" s="256"/>
      <c r="E89" s="231"/>
      <c r="F89" s="246" t="s">
        <v>289</v>
      </c>
      <c r="G89" s="246"/>
      <c r="H89" s="246" t="s">
        <v>289</v>
      </c>
      <c r="I89" s="257" t="s">
        <v>800</v>
      </c>
      <c r="K89" s="226">
        <v>0</v>
      </c>
      <c r="L89" s="226">
        <v>0.06</v>
      </c>
      <c r="M89" s="226">
        <v>0</v>
      </c>
      <c r="N89" s="226">
        <v>0.06</v>
      </c>
    </row>
    <row r="90" spans="1:14" ht="26.25">
      <c r="A90" s="221">
        <v>67</v>
      </c>
      <c r="B90" s="249" t="s">
        <v>801</v>
      </c>
      <c r="C90" s="250"/>
      <c r="D90" s="255"/>
      <c r="E90" s="231"/>
      <c r="F90" s="246" t="s">
        <v>289</v>
      </c>
      <c r="G90" s="246"/>
      <c r="H90" s="246" t="s">
        <v>289</v>
      </c>
      <c r="I90" s="258" t="s">
        <v>802</v>
      </c>
      <c r="K90" s="226">
        <v>0</v>
      </c>
      <c r="L90" s="226">
        <v>0</v>
      </c>
      <c r="M90" s="226">
        <v>0</v>
      </c>
      <c r="N90" s="226">
        <v>0.06</v>
      </c>
    </row>
    <row r="91" spans="1:14">
      <c r="A91" s="221">
        <v>68</v>
      </c>
      <c r="B91" s="249" t="s">
        <v>803</v>
      </c>
      <c r="C91" s="255"/>
      <c r="D91" s="255"/>
      <c r="E91" s="231"/>
      <c r="F91" s="246" t="s">
        <v>289</v>
      </c>
      <c r="G91" s="246"/>
      <c r="H91" s="246" t="s">
        <v>289</v>
      </c>
      <c r="I91" s="258" t="s">
        <v>804</v>
      </c>
      <c r="K91" s="226">
        <v>0</v>
      </c>
      <c r="L91" s="226">
        <v>0.06</v>
      </c>
      <c r="M91" s="226">
        <v>0</v>
      </c>
      <c r="N91" s="226">
        <v>0.06</v>
      </c>
    </row>
    <row r="92" spans="1:14">
      <c r="A92" s="221">
        <v>69</v>
      </c>
      <c r="B92" s="249" t="s">
        <v>805</v>
      </c>
      <c r="C92" s="255"/>
      <c r="D92" s="256"/>
      <c r="E92" s="231"/>
      <c r="F92" s="246" t="s">
        <v>289</v>
      </c>
      <c r="G92" s="246"/>
      <c r="H92" s="246" t="s">
        <v>289</v>
      </c>
      <c r="I92" s="255" t="s">
        <v>806</v>
      </c>
      <c r="K92" s="226">
        <v>0</v>
      </c>
      <c r="L92" s="226">
        <v>0.06</v>
      </c>
      <c r="M92" s="226">
        <v>0</v>
      </c>
      <c r="N92" s="226">
        <v>0.06</v>
      </c>
    </row>
    <row r="93" spans="1:14">
      <c r="A93" s="221">
        <v>70</v>
      </c>
      <c r="B93" s="249" t="s">
        <v>807</v>
      </c>
      <c r="C93" s="250"/>
      <c r="D93" s="250"/>
      <c r="E93" s="231"/>
      <c r="F93" s="251"/>
      <c r="G93" s="251"/>
      <c r="H93" s="255"/>
      <c r="I93" s="255"/>
      <c r="K93" s="226">
        <v>0.05</v>
      </c>
      <c r="L93" s="226">
        <v>0</v>
      </c>
      <c r="M93" s="226">
        <v>0.03</v>
      </c>
      <c r="N93" s="226">
        <v>0.06</v>
      </c>
    </row>
    <row r="94" spans="1:14">
      <c r="A94" s="221">
        <v>71</v>
      </c>
      <c r="B94" s="222" t="s">
        <v>808</v>
      </c>
      <c r="C94" s="223"/>
      <c r="D94" s="255"/>
      <c r="E94" s="231"/>
      <c r="F94" s="255"/>
      <c r="G94" s="255"/>
      <c r="H94" s="255"/>
      <c r="I94" s="255"/>
      <c r="K94" s="226">
        <v>0.05</v>
      </c>
      <c r="L94" s="226">
        <v>0</v>
      </c>
      <c r="M94" s="226">
        <v>0.03</v>
      </c>
      <c r="N94" s="226">
        <v>0.06</v>
      </c>
    </row>
    <row r="95" spans="1:14">
      <c r="A95" s="221">
        <v>72</v>
      </c>
      <c r="B95" s="249" t="s">
        <v>809</v>
      </c>
      <c r="C95" s="250"/>
      <c r="D95" s="250"/>
      <c r="E95" s="231"/>
      <c r="F95" s="255"/>
      <c r="G95" s="255"/>
      <c r="H95" s="225"/>
      <c r="I95" s="228"/>
      <c r="K95" s="226">
        <v>0.05</v>
      </c>
      <c r="L95" s="226">
        <v>0</v>
      </c>
      <c r="M95" s="226">
        <v>0.03</v>
      </c>
      <c r="N95" s="226">
        <v>0.06</v>
      </c>
    </row>
    <row r="96" spans="1:14">
      <c r="A96" s="221">
        <v>73</v>
      </c>
      <c r="B96" s="249" t="s">
        <v>810</v>
      </c>
      <c r="C96" s="250"/>
      <c r="D96" s="250"/>
      <c r="E96" s="231"/>
      <c r="F96" s="250"/>
      <c r="G96" s="250"/>
      <c r="H96" s="250"/>
      <c r="I96" s="251"/>
      <c r="K96" s="226">
        <v>0.02</v>
      </c>
      <c r="L96" s="226">
        <v>0</v>
      </c>
      <c r="M96" s="226">
        <v>0.02</v>
      </c>
      <c r="N96" s="226">
        <v>0.06</v>
      </c>
    </row>
    <row r="97" spans="1:14" ht="54">
      <c r="A97" s="221">
        <v>74</v>
      </c>
      <c r="B97" s="249" t="s">
        <v>811</v>
      </c>
      <c r="C97" s="250"/>
      <c r="D97" s="256"/>
      <c r="E97" s="231"/>
      <c r="F97" s="246" t="s">
        <v>289</v>
      </c>
      <c r="G97" s="246"/>
      <c r="H97" s="246" t="s">
        <v>289</v>
      </c>
      <c r="I97" s="251"/>
      <c r="K97" s="226">
        <v>0</v>
      </c>
      <c r="L97" s="226">
        <v>0.06</v>
      </c>
      <c r="M97" s="226">
        <v>0</v>
      </c>
      <c r="N97" s="226">
        <v>0.06</v>
      </c>
    </row>
    <row r="98" spans="1:14">
      <c r="A98" s="221">
        <v>75</v>
      </c>
      <c r="B98" s="249" t="s">
        <v>812</v>
      </c>
      <c r="C98" s="250"/>
      <c r="D98" s="251"/>
      <c r="E98" s="224"/>
      <c r="F98" s="246" t="s">
        <v>289</v>
      </c>
      <c r="G98" s="246"/>
      <c r="H98" s="246" t="s">
        <v>289</v>
      </c>
      <c r="I98" s="251"/>
      <c r="K98" s="226">
        <v>0</v>
      </c>
      <c r="L98" s="226">
        <v>0.06</v>
      </c>
      <c r="M98" s="226">
        <v>0</v>
      </c>
      <c r="N98" s="226">
        <v>0.06</v>
      </c>
    </row>
    <row r="99" spans="1:14">
      <c r="A99" s="221">
        <v>76</v>
      </c>
      <c r="B99" s="249" t="s">
        <v>813</v>
      </c>
      <c r="C99" s="255"/>
      <c r="D99" s="255"/>
      <c r="E99" s="231"/>
      <c r="F99" s="246" t="s">
        <v>289</v>
      </c>
      <c r="G99" s="246"/>
      <c r="H99" s="246" t="s">
        <v>289</v>
      </c>
      <c r="I99" s="256"/>
      <c r="K99" s="226">
        <v>0</v>
      </c>
      <c r="L99" s="226">
        <v>0.06</v>
      </c>
      <c r="M99" s="226">
        <v>0</v>
      </c>
      <c r="N99" s="226">
        <v>0.06</v>
      </c>
    </row>
    <row r="100" spans="1:14">
      <c r="A100" s="221">
        <v>77</v>
      </c>
      <c r="B100" s="249" t="s">
        <v>814</v>
      </c>
      <c r="C100" s="228"/>
      <c r="D100" s="256"/>
      <c r="E100" s="231"/>
      <c r="F100" s="246" t="s">
        <v>289</v>
      </c>
      <c r="G100" s="246"/>
      <c r="H100" s="246" t="s">
        <v>289</v>
      </c>
      <c r="I100" s="256"/>
      <c r="K100" s="226">
        <v>0</v>
      </c>
      <c r="L100" s="226">
        <v>0.06</v>
      </c>
      <c r="M100" s="226">
        <v>0</v>
      </c>
      <c r="N100" s="226">
        <v>0.06</v>
      </c>
    </row>
    <row r="101" spans="1:14" ht="57.75">
      <c r="A101" s="259">
        <v>78</v>
      </c>
      <c r="B101" s="260" t="s">
        <v>815</v>
      </c>
      <c r="C101" s="228"/>
      <c r="D101" s="261"/>
      <c r="E101" s="262"/>
      <c r="F101" s="261"/>
      <c r="G101" s="261"/>
      <c r="H101" s="261"/>
      <c r="I101" s="261"/>
      <c r="K101" s="226">
        <v>0.05</v>
      </c>
      <c r="L101" s="226">
        <v>0.06</v>
      </c>
      <c r="M101" s="226">
        <v>0.03</v>
      </c>
      <c r="N101" s="226">
        <v>0.06</v>
      </c>
    </row>
    <row r="102" spans="1:14">
      <c r="A102" s="259">
        <v>79</v>
      </c>
      <c r="B102" s="263" t="s">
        <v>816</v>
      </c>
      <c r="C102" s="258"/>
      <c r="D102" s="257"/>
      <c r="E102" s="264"/>
      <c r="F102" s="256"/>
      <c r="G102" s="256"/>
      <c r="H102" s="231" t="s">
        <v>289</v>
      </c>
      <c r="I102" s="231" t="s">
        <v>289</v>
      </c>
      <c r="K102" s="226">
        <v>0.05</v>
      </c>
      <c r="L102" s="226">
        <v>0.06</v>
      </c>
      <c r="M102" s="226">
        <v>0</v>
      </c>
      <c r="N102" s="226">
        <v>0</v>
      </c>
    </row>
    <row r="103" spans="1:14">
      <c r="A103" s="259">
        <v>80</v>
      </c>
      <c r="B103" s="263" t="s">
        <v>817</v>
      </c>
      <c r="C103" s="250"/>
      <c r="D103" s="256"/>
      <c r="E103" s="231"/>
      <c r="F103" s="256"/>
      <c r="G103" s="256"/>
      <c r="H103" s="231" t="s">
        <v>289</v>
      </c>
      <c r="I103" s="231" t="s">
        <v>289</v>
      </c>
      <c r="K103" s="226">
        <v>0.05</v>
      </c>
      <c r="L103" s="226">
        <v>0.06</v>
      </c>
      <c r="M103" s="226">
        <v>0</v>
      </c>
      <c r="N103" s="226">
        <v>0</v>
      </c>
    </row>
    <row r="104" spans="1:14">
      <c r="A104" s="221">
        <v>81</v>
      </c>
      <c r="B104" s="265" t="s">
        <v>818</v>
      </c>
      <c r="C104" s="231" t="s">
        <v>699</v>
      </c>
      <c r="D104" s="231"/>
      <c r="E104" s="231"/>
      <c r="F104" s="231"/>
      <c r="G104" s="231"/>
      <c r="H104" s="231"/>
      <c r="I104" s="231"/>
      <c r="K104" s="226"/>
      <c r="L104" s="226"/>
      <c r="M104" s="226"/>
      <c r="N104" s="226"/>
    </row>
    <row r="105" spans="1:14">
      <c r="A105" s="266" t="s">
        <v>819</v>
      </c>
      <c r="B105" s="267" t="s">
        <v>820</v>
      </c>
      <c r="C105" s="228"/>
      <c r="D105" s="261"/>
      <c r="E105" s="262"/>
      <c r="F105" s="261"/>
      <c r="G105" s="261"/>
      <c r="H105" s="261"/>
      <c r="I105" s="261"/>
      <c r="K105" s="226">
        <v>0.05</v>
      </c>
      <c r="L105" s="226">
        <v>0</v>
      </c>
      <c r="M105" s="226">
        <v>0.03</v>
      </c>
      <c r="N105" s="226">
        <v>0.06</v>
      </c>
    </row>
    <row r="106" spans="1:14">
      <c r="A106" s="268" t="s">
        <v>821</v>
      </c>
      <c r="B106" s="269" t="s">
        <v>822</v>
      </c>
      <c r="C106" s="270"/>
      <c r="D106" s="255"/>
      <c r="E106" s="231"/>
      <c r="F106" s="231" t="s">
        <v>289</v>
      </c>
      <c r="G106" s="231"/>
      <c r="H106" s="256"/>
      <c r="I106" s="231" t="s">
        <v>289</v>
      </c>
      <c r="K106" s="226">
        <v>0</v>
      </c>
      <c r="L106" s="226">
        <v>0.06</v>
      </c>
      <c r="M106" s="226">
        <v>0.03</v>
      </c>
      <c r="N106" s="226">
        <v>0</v>
      </c>
    </row>
    <row r="107" spans="1:14">
      <c r="A107" s="268" t="s">
        <v>823</v>
      </c>
      <c r="B107" s="269" t="s">
        <v>824</v>
      </c>
      <c r="C107" s="270"/>
      <c r="D107" s="250"/>
      <c r="E107" s="231"/>
      <c r="F107" s="250"/>
      <c r="G107" s="250"/>
      <c r="H107" s="250"/>
      <c r="I107" s="231" t="s">
        <v>289</v>
      </c>
      <c r="K107" s="226">
        <v>0.02</v>
      </c>
      <c r="L107" s="226">
        <v>0.01</v>
      </c>
      <c r="M107" s="226">
        <v>0.02</v>
      </c>
      <c r="N107" s="226">
        <v>0</v>
      </c>
    </row>
    <row r="108" spans="1:14">
      <c r="A108" s="271">
        <v>82</v>
      </c>
      <c r="B108" s="249" t="s">
        <v>825</v>
      </c>
      <c r="C108" s="258"/>
      <c r="D108" s="257"/>
      <c r="E108" s="264"/>
      <c r="F108" s="256"/>
      <c r="G108" s="256"/>
      <c r="H108" s="256"/>
      <c r="I108" s="256"/>
      <c r="K108" s="226">
        <v>0.05</v>
      </c>
      <c r="L108" s="226">
        <v>0</v>
      </c>
      <c r="M108" s="226">
        <v>0.03</v>
      </c>
      <c r="N108" s="226">
        <v>0.06</v>
      </c>
    </row>
    <row r="109" spans="1:14" ht="27">
      <c r="A109" s="271">
        <v>83</v>
      </c>
      <c r="B109" s="249" t="s">
        <v>826</v>
      </c>
      <c r="C109" s="231" t="s">
        <v>827</v>
      </c>
      <c r="D109" s="231"/>
      <c r="E109" s="231"/>
      <c r="F109" s="272"/>
      <c r="G109" s="272"/>
      <c r="H109" s="272"/>
      <c r="I109" s="272"/>
      <c r="J109" s="273"/>
      <c r="K109" s="274"/>
      <c r="L109" s="274"/>
      <c r="M109" s="274"/>
      <c r="N109" s="274"/>
    </row>
    <row r="110" spans="1:14">
      <c r="A110" s="271">
        <v>84</v>
      </c>
      <c r="B110" s="249" t="s">
        <v>828</v>
      </c>
      <c r="C110" s="255"/>
      <c r="D110" s="257"/>
      <c r="E110" s="264"/>
      <c r="F110" s="256"/>
      <c r="G110" s="256"/>
      <c r="H110" s="231" t="s">
        <v>289</v>
      </c>
      <c r="I110" s="231" t="s">
        <v>289</v>
      </c>
      <c r="K110" s="226">
        <v>0.05</v>
      </c>
      <c r="L110" s="226">
        <v>0</v>
      </c>
      <c r="M110" s="226">
        <v>0</v>
      </c>
      <c r="N110" s="226">
        <v>0</v>
      </c>
    </row>
    <row r="111" spans="1:14">
      <c r="A111" s="271">
        <v>85</v>
      </c>
      <c r="B111" s="275" t="s">
        <v>829</v>
      </c>
      <c r="C111" s="255"/>
      <c r="D111" s="255"/>
      <c r="E111" s="231"/>
      <c r="F111" s="255"/>
      <c r="G111" s="255"/>
      <c r="H111" s="255"/>
      <c r="I111" s="255"/>
      <c r="K111" s="226">
        <v>0.05</v>
      </c>
      <c r="L111" s="226">
        <v>0</v>
      </c>
      <c r="M111" s="226">
        <v>0.03</v>
      </c>
      <c r="N111" s="226">
        <v>0.06</v>
      </c>
    </row>
    <row r="112" spans="1:14" ht="40.5">
      <c r="A112" s="271">
        <v>86</v>
      </c>
      <c r="B112" s="249" t="s">
        <v>830</v>
      </c>
      <c r="C112" s="228"/>
      <c r="D112" s="261"/>
      <c r="E112" s="262"/>
      <c r="F112" s="261"/>
      <c r="G112" s="261"/>
      <c r="H112" s="261"/>
      <c r="I112" s="261"/>
      <c r="K112" s="226">
        <v>0.05</v>
      </c>
      <c r="L112" s="226">
        <v>0.06</v>
      </c>
      <c r="M112" s="226">
        <v>0.03</v>
      </c>
      <c r="N112" s="226">
        <v>0.06</v>
      </c>
    </row>
    <row r="113" spans="1:14">
      <c r="A113" s="271">
        <v>87</v>
      </c>
      <c r="B113" s="249" t="s">
        <v>831</v>
      </c>
      <c r="C113" s="231" t="s">
        <v>827</v>
      </c>
      <c r="D113" s="231"/>
      <c r="E113" s="231"/>
      <c r="F113" s="231"/>
      <c r="G113" s="231"/>
      <c r="H113" s="231"/>
      <c r="I113" s="231"/>
      <c r="K113" s="226"/>
      <c r="L113" s="226"/>
      <c r="M113" s="226"/>
      <c r="N113" s="226"/>
    </row>
    <row r="114" spans="1:14">
      <c r="A114" s="268" t="s">
        <v>832</v>
      </c>
      <c r="B114" s="233" t="s">
        <v>833</v>
      </c>
      <c r="C114" s="228"/>
      <c r="D114" s="261"/>
      <c r="E114" s="262"/>
      <c r="F114" s="261"/>
      <c r="G114" s="261"/>
      <c r="H114" s="261"/>
      <c r="I114" s="261"/>
      <c r="K114" s="226">
        <v>0.05</v>
      </c>
      <c r="L114" s="226">
        <v>0.06</v>
      </c>
      <c r="M114" s="226">
        <v>0.03</v>
      </c>
      <c r="N114" s="226">
        <v>0.06</v>
      </c>
    </row>
    <row r="115" spans="1:14">
      <c r="A115" s="268" t="s">
        <v>834</v>
      </c>
      <c r="B115" s="233" t="s">
        <v>835</v>
      </c>
      <c r="C115" s="255"/>
      <c r="D115" s="257"/>
      <c r="E115" s="264"/>
      <c r="F115" s="255"/>
      <c r="G115" s="255"/>
      <c r="H115" s="256"/>
      <c r="I115" s="256"/>
      <c r="K115" s="226">
        <v>0.05</v>
      </c>
      <c r="L115" s="226">
        <v>0.06</v>
      </c>
      <c r="M115" s="226">
        <v>0.03</v>
      </c>
      <c r="N115" s="226">
        <v>0.06</v>
      </c>
    </row>
    <row r="116" spans="1:14">
      <c r="A116" s="276">
        <v>88</v>
      </c>
      <c r="B116" s="277" t="s">
        <v>836</v>
      </c>
      <c r="C116" s="228"/>
      <c r="D116" s="261"/>
      <c r="E116" s="262"/>
      <c r="F116" s="261"/>
      <c r="G116" s="261"/>
      <c r="H116" s="261"/>
      <c r="I116" s="278" t="s">
        <v>289</v>
      </c>
      <c r="K116" s="226">
        <v>0.05</v>
      </c>
      <c r="L116" s="226">
        <v>0</v>
      </c>
      <c r="M116" s="226">
        <v>0.03</v>
      </c>
      <c r="N116" s="226">
        <v>0</v>
      </c>
    </row>
    <row r="117" spans="1:14">
      <c r="A117" s="266" t="s">
        <v>837</v>
      </c>
      <c r="B117" s="279" t="s">
        <v>838</v>
      </c>
      <c r="C117" s="228"/>
      <c r="D117" s="261"/>
      <c r="E117" s="262"/>
      <c r="F117" s="278" t="s">
        <v>289</v>
      </c>
      <c r="G117" s="278"/>
      <c r="H117" s="278" t="s">
        <v>289</v>
      </c>
      <c r="I117" s="261"/>
      <c r="K117" s="274">
        <v>0</v>
      </c>
      <c r="L117" s="274">
        <v>0</v>
      </c>
      <c r="M117" s="226">
        <v>0</v>
      </c>
      <c r="N117" s="226">
        <v>0.06</v>
      </c>
    </row>
    <row r="118" spans="1:14" ht="27.75">
      <c r="A118" s="276">
        <v>89</v>
      </c>
      <c r="B118" s="280" t="s">
        <v>839</v>
      </c>
      <c r="C118" s="228"/>
      <c r="D118" s="261"/>
      <c r="E118" s="262"/>
      <c r="F118" s="261"/>
      <c r="G118" s="261"/>
      <c r="H118" s="261"/>
      <c r="I118" s="261"/>
      <c r="K118" s="226">
        <v>0.05</v>
      </c>
      <c r="L118" s="226">
        <v>0.06</v>
      </c>
      <c r="M118" s="226">
        <v>0.03</v>
      </c>
      <c r="N118" s="226">
        <v>0.06</v>
      </c>
    </row>
    <row r="119" spans="1:14">
      <c r="A119" s="276">
        <v>90</v>
      </c>
      <c r="B119" s="277" t="s">
        <v>840</v>
      </c>
      <c r="C119" s="258"/>
      <c r="D119" s="257"/>
      <c r="E119" s="264"/>
      <c r="F119" s="256"/>
      <c r="G119" s="256"/>
      <c r="H119" s="256"/>
      <c r="I119" s="256"/>
      <c r="K119" s="226">
        <v>0.05</v>
      </c>
      <c r="L119" s="226">
        <v>0.06</v>
      </c>
      <c r="M119" s="226">
        <v>0.03</v>
      </c>
      <c r="N119" s="226">
        <v>0.06</v>
      </c>
    </row>
    <row r="120" spans="1:14">
      <c r="A120" s="271">
        <v>91</v>
      </c>
      <c r="B120" s="275" t="s">
        <v>841</v>
      </c>
      <c r="C120" s="281"/>
      <c r="D120" s="258"/>
      <c r="E120" s="264"/>
      <c r="F120" s="255"/>
      <c r="G120" s="255"/>
      <c r="H120" s="256"/>
      <c r="I120" s="256"/>
      <c r="K120" s="226">
        <v>0.05</v>
      </c>
      <c r="L120" s="226">
        <v>0</v>
      </c>
      <c r="M120" s="226">
        <v>0.03</v>
      </c>
      <c r="N120" s="226">
        <v>0.06</v>
      </c>
    </row>
    <row r="121" spans="1:14">
      <c r="A121" s="271">
        <v>92</v>
      </c>
      <c r="B121" s="275" t="s">
        <v>842</v>
      </c>
      <c r="C121" s="231" t="s">
        <v>827</v>
      </c>
      <c r="D121" s="231"/>
      <c r="E121" s="231"/>
      <c r="F121" s="231"/>
      <c r="G121" s="231"/>
      <c r="H121" s="231"/>
      <c r="I121" s="231"/>
      <c r="K121" s="226"/>
      <c r="L121" s="226"/>
      <c r="M121" s="226"/>
      <c r="N121" s="226"/>
    </row>
    <row r="122" spans="1:14">
      <c r="A122" s="268" t="s">
        <v>843</v>
      </c>
      <c r="B122" s="232" t="s">
        <v>844</v>
      </c>
      <c r="C122" s="758" t="s">
        <v>845</v>
      </c>
      <c r="D122" s="759"/>
      <c r="E122" s="759"/>
      <c r="F122" s="759"/>
      <c r="G122" s="759"/>
      <c r="H122" s="759"/>
      <c r="I122" s="759"/>
      <c r="K122" s="226">
        <v>0.05</v>
      </c>
      <c r="L122" s="226">
        <v>0</v>
      </c>
      <c r="M122" s="226">
        <v>0.03</v>
      </c>
      <c r="N122" s="226">
        <v>0.06</v>
      </c>
    </row>
    <row r="123" spans="1:14">
      <c r="A123" s="268" t="s">
        <v>846</v>
      </c>
      <c r="B123" s="232" t="s">
        <v>847</v>
      </c>
      <c r="C123" s="760" t="s">
        <v>848</v>
      </c>
      <c r="D123" s="761"/>
      <c r="E123" s="761"/>
      <c r="F123" s="761"/>
      <c r="G123" s="761"/>
      <c r="H123" s="761"/>
      <c r="I123" s="761"/>
      <c r="K123" s="226">
        <v>0.05</v>
      </c>
      <c r="L123" s="226">
        <v>0</v>
      </c>
      <c r="M123" s="226">
        <v>0.03</v>
      </c>
      <c r="N123" s="226">
        <v>0.06</v>
      </c>
    </row>
    <row r="124" spans="1:14">
      <c r="A124" s="268" t="s">
        <v>849</v>
      </c>
      <c r="B124" s="232" t="s">
        <v>850</v>
      </c>
      <c r="C124" s="760" t="s">
        <v>851</v>
      </c>
      <c r="D124" s="761"/>
      <c r="E124" s="761"/>
      <c r="F124" s="761"/>
      <c r="G124" s="761"/>
      <c r="H124" s="761"/>
      <c r="I124" s="761"/>
      <c r="K124" s="226">
        <v>0.05</v>
      </c>
      <c r="L124" s="226">
        <v>0</v>
      </c>
      <c r="M124" s="226">
        <v>0.03</v>
      </c>
      <c r="N124" s="226">
        <v>0.06</v>
      </c>
    </row>
    <row r="125" spans="1:14">
      <c r="A125" s="268" t="s">
        <v>852</v>
      </c>
      <c r="B125" s="232" t="s">
        <v>853</v>
      </c>
      <c r="C125" s="250"/>
      <c r="D125" s="255"/>
      <c r="E125" s="231"/>
      <c r="F125" s="255"/>
      <c r="G125" s="255"/>
      <c r="H125" s="255"/>
      <c r="I125" s="256"/>
      <c r="K125" s="226">
        <v>0.05</v>
      </c>
      <c r="L125" s="226">
        <v>0</v>
      </c>
      <c r="M125" s="226">
        <v>0.03</v>
      </c>
      <c r="N125" s="226">
        <v>0.06</v>
      </c>
    </row>
    <row r="126" spans="1:14">
      <c r="A126" s="268" t="s">
        <v>854</v>
      </c>
      <c r="B126" s="232" t="s">
        <v>855</v>
      </c>
      <c r="C126" s="760" t="s">
        <v>856</v>
      </c>
      <c r="D126" s="761"/>
      <c r="E126" s="761"/>
      <c r="F126" s="761"/>
      <c r="G126" s="761"/>
      <c r="H126" s="761"/>
      <c r="I126" s="761"/>
      <c r="K126" s="226">
        <v>0.05</v>
      </c>
      <c r="L126" s="226">
        <v>0</v>
      </c>
      <c r="M126" s="226">
        <v>0.03</v>
      </c>
      <c r="N126" s="226">
        <v>0.06</v>
      </c>
    </row>
    <row r="127" spans="1:14">
      <c r="A127" s="268" t="s">
        <v>857</v>
      </c>
      <c r="B127" s="232" t="s">
        <v>858</v>
      </c>
      <c r="C127" s="282"/>
      <c r="D127" s="258"/>
      <c r="E127" s="264"/>
      <c r="F127" s="255"/>
      <c r="G127" s="255"/>
      <c r="H127" s="255"/>
      <c r="I127" s="255"/>
      <c r="K127" s="226">
        <v>0.05</v>
      </c>
      <c r="L127" s="226">
        <v>0</v>
      </c>
      <c r="M127" s="226">
        <v>0.03</v>
      </c>
      <c r="N127" s="226">
        <v>0.06</v>
      </c>
    </row>
    <row r="128" spans="1:14">
      <c r="A128" s="271">
        <v>93</v>
      </c>
      <c r="B128" s="275" t="s">
        <v>859</v>
      </c>
      <c r="C128" s="250"/>
      <c r="D128" s="255"/>
      <c r="E128" s="231"/>
      <c r="F128" s="255"/>
      <c r="G128" s="255"/>
      <c r="H128" s="255"/>
      <c r="I128" s="255"/>
      <c r="K128" s="226">
        <v>0.05</v>
      </c>
      <c r="L128" s="226">
        <v>0</v>
      </c>
      <c r="M128" s="226">
        <v>0.03</v>
      </c>
      <c r="N128" s="226">
        <v>0.06</v>
      </c>
    </row>
    <row r="129" spans="1:14" ht="102.75">
      <c r="A129" s="283">
        <v>94</v>
      </c>
      <c r="B129" s="275" t="s">
        <v>860</v>
      </c>
      <c r="C129" s="250"/>
      <c r="D129" s="255"/>
      <c r="E129" s="231"/>
      <c r="F129" s="231" t="s">
        <v>289</v>
      </c>
      <c r="G129" s="231"/>
      <c r="H129" s="258" t="s">
        <v>861</v>
      </c>
      <c r="I129" s="258" t="s">
        <v>862</v>
      </c>
      <c r="K129" s="274">
        <v>0</v>
      </c>
      <c r="L129" s="274">
        <v>0</v>
      </c>
      <c r="M129" s="226">
        <v>0.03</v>
      </c>
      <c r="N129" s="226">
        <v>0.06</v>
      </c>
    </row>
    <row r="130" spans="1:14">
      <c r="A130" s="283">
        <v>95</v>
      </c>
      <c r="B130" s="275" t="s">
        <v>863</v>
      </c>
      <c r="C130" s="281"/>
      <c r="D130" s="258"/>
      <c r="E130" s="264"/>
      <c r="F130" s="250"/>
      <c r="G130" s="250"/>
      <c r="H130" s="284"/>
      <c r="I130" s="255"/>
      <c r="K130" s="226">
        <v>0.02</v>
      </c>
      <c r="L130" s="226">
        <v>0.01</v>
      </c>
      <c r="M130" s="226">
        <v>0.02</v>
      </c>
      <c r="N130" s="226">
        <v>0.06</v>
      </c>
    </row>
    <row r="131" spans="1:14">
      <c r="A131" s="276">
        <v>96</v>
      </c>
      <c r="B131" s="277" t="s">
        <v>864</v>
      </c>
      <c r="C131" s="228"/>
      <c r="D131" s="261"/>
      <c r="E131" s="262"/>
      <c r="F131" s="278" t="s">
        <v>289</v>
      </c>
      <c r="G131" s="278"/>
      <c r="H131" s="261"/>
      <c r="I131" s="261"/>
      <c r="K131" s="226">
        <v>0</v>
      </c>
      <c r="L131" s="226">
        <v>0</v>
      </c>
      <c r="M131" s="226">
        <v>0.03</v>
      </c>
      <c r="N131" s="226">
        <v>0.06</v>
      </c>
    </row>
    <row r="132" spans="1:14">
      <c r="A132" s="283">
        <v>97</v>
      </c>
      <c r="B132" s="275" t="s">
        <v>865</v>
      </c>
      <c r="C132" s="282"/>
      <c r="D132" s="282"/>
      <c r="E132" s="264"/>
      <c r="F132" s="250"/>
      <c r="G132" s="250"/>
      <c r="H132" s="255"/>
      <c r="I132" s="255"/>
      <c r="K132" s="226">
        <v>0.02</v>
      </c>
      <c r="L132" s="226">
        <v>0</v>
      </c>
      <c r="M132" s="226">
        <v>0.03</v>
      </c>
      <c r="N132" s="226">
        <v>0.06</v>
      </c>
    </row>
    <row r="133" spans="1:14">
      <c r="A133" s="283">
        <v>98</v>
      </c>
      <c r="B133" s="275" t="s">
        <v>866</v>
      </c>
      <c r="C133" s="254"/>
      <c r="D133" s="255"/>
      <c r="E133" s="231"/>
      <c r="F133" s="255"/>
      <c r="G133" s="255"/>
      <c r="H133" s="255"/>
      <c r="I133" s="255"/>
      <c r="K133" s="226">
        <v>0.05</v>
      </c>
      <c r="L133" s="226">
        <v>0</v>
      </c>
      <c r="M133" s="226">
        <v>0.03</v>
      </c>
      <c r="N133" s="226">
        <v>0.06</v>
      </c>
    </row>
    <row r="134" spans="1:14">
      <c r="A134" s="271">
        <v>99</v>
      </c>
      <c r="B134" s="275" t="s">
        <v>867</v>
      </c>
      <c r="C134" s="270"/>
      <c r="D134" s="270"/>
      <c r="E134" s="231"/>
      <c r="F134" s="272" t="s">
        <v>289</v>
      </c>
      <c r="G134" s="272"/>
      <c r="H134" s="270"/>
      <c r="I134" s="270"/>
      <c r="K134" s="226">
        <v>0</v>
      </c>
      <c r="L134" s="226">
        <v>0.01</v>
      </c>
      <c r="M134" s="226">
        <v>0.02</v>
      </c>
      <c r="N134" s="226">
        <v>0.02</v>
      </c>
    </row>
    <row r="135" spans="1:14" ht="26.25">
      <c r="A135" s="271">
        <v>100</v>
      </c>
      <c r="B135" s="275" t="s">
        <v>868</v>
      </c>
      <c r="C135" s="250"/>
      <c r="D135" s="255"/>
      <c r="E135" s="231"/>
      <c r="F135" s="231" t="s">
        <v>289</v>
      </c>
      <c r="G135" s="231"/>
      <c r="H135" s="258" t="s">
        <v>869</v>
      </c>
      <c r="I135" s="258" t="s">
        <v>870</v>
      </c>
      <c r="K135" s="226">
        <v>0</v>
      </c>
      <c r="L135" s="226">
        <v>0.06</v>
      </c>
      <c r="M135" s="226">
        <v>0.03</v>
      </c>
      <c r="N135" s="226">
        <v>0.06</v>
      </c>
    </row>
    <row r="136" spans="1:14" ht="39">
      <c r="A136" s="271">
        <v>101</v>
      </c>
      <c r="B136" s="249" t="s">
        <v>871</v>
      </c>
      <c r="C136" s="250"/>
      <c r="D136" s="255"/>
      <c r="E136" s="231"/>
      <c r="F136" s="258" t="s">
        <v>872</v>
      </c>
      <c r="G136" s="258"/>
      <c r="H136" s="257" t="s">
        <v>873</v>
      </c>
      <c r="I136" s="257" t="s">
        <v>874</v>
      </c>
      <c r="K136" s="226">
        <v>0.05</v>
      </c>
      <c r="L136" s="226">
        <v>0.06</v>
      </c>
      <c r="M136" s="226">
        <v>0.03</v>
      </c>
      <c r="N136" s="226">
        <v>0.06</v>
      </c>
    </row>
    <row r="137" spans="1:14">
      <c r="A137" s="285">
        <v>102</v>
      </c>
      <c r="B137" s="280" t="s">
        <v>875</v>
      </c>
      <c r="C137" s="272" t="s">
        <v>699</v>
      </c>
      <c r="D137" s="272"/>
      <c r="E137" s="272"/>
      <c r="F137" s="264"/>
      <c r="G137" s="264"/>
      <c r="H137" s="264"/>
      <c r="I137" s="264"/>
      <c r="K137" s="226"/>
      <c r="L137" s="226"/>
      <c r="M137" s="226"/>
      <c r="N137" s="226"/>
    </row>
    <row r="138" spans="1:14">
      <c r="A138" s="232" t="s">
        <v>876</v>
      </c>
      <c r="B138" s="266" t="s">
        <v>877</v>
      </c>
      <c r="C138" s="250"/>
      <c r="D138" s="255"/>
      <c r="E138" s="231"/>
      <c r="F138" s="231"/>
      <c r="G138" s="231"/>
      <c r="H138" s="231"/>
      <c r="I138" s="250" t="s">
        <v>878</v>
      </c>
      <c r="K138" s="226">
        <v>0</v>
      </c>
      <c r="L138" s="226">
        <v>0.01</v>
      </c>
      <c r="M138" s="226">
        <v>0</v>
      </c>
      <c r="N138" s="226">
        <v>0.02</v>
      </c>
    </row>
    <row r="139" spans="1:14">
      <c r="A139" s="232" t="s">
        <v>879</v>
      </c>
      <c r="B139" s="266" t="s">
        <v>880</v>
      </c>
      <c r="C139" s="250"/>
      <c r="D139" s="255"/>
      <c r="E139" s="231"/>
      <c r="F139" s="231"/>
      <c r="G139" s="231"/>
      <c r="H139" s="231"/>
      <c r="I139" s="255" t="s">
        <v>878</v>
      </c>
      <c r="K139" s="226">
        <v>0</v>
      </c>
      <c r="L139" s="226">
        <v>0.06</v>
      </c>
      <c r="M139" s="226">
        <v>0</v>
      </c>
      <c r="N139" s="226">
        <v>0.06</v>
      </c>
    </row>
  </sheetData>
  <autoFilter ref="A1:I139" xr:uid="{00000000-0009-0000-0000-000008000000}">
    <filterColumn colId="5" showButton="0"/>
    <filterColumn colId="6" showButton="0"/>
    <filterColumn colId="7" showButton="0"/>
  </autoFilter>
  <mergeCells count="11">
    <mergeCell ref="A1:A2"/>
    <mergeCell ref="B1:B2"/>
    <mergeCell ref="C1:C2"/>
    <mergeCell ref="D1:D2"/>
    <mergeCell ref="E1:E2"/>
    <mergeCell ref="K1:N1"/>
    <mergeCell ref="C122:I122"/>
    <mergeCell ref="C123:I123"/>
    <mergeCell ref="C124:I124"/>
    <mergeCell ref="C126:I126"/>
    <mergeCell ref="F1:I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5"/>
  <dimension ref="A1:H70"/>
  <sheetViews>
    <sheetView topLeftCell="A27" workbookViewId="0">
      <selection activeCell="F41" sqref="F41"/>
    </sheetView>
  </sheetViews>
  <sheetFormatPr defaultRowHeight="15"/>
  <cols>
    <col min="1" max="1" width="43.85546875" customWidth="1"/>
    <col min="2" max="2" width="18.42578125" customWidth="1"/>
    <col min="3" max="3" width="16.28515625" customWidth="1"/>
    <col min="4" max="4" width="16" bestFit="1" customWidth="1"/>
    <col min="5" max="5" width="17.42578125" customWidth="1"/>
    <col min="6" max="6" width="22.28515625" customWidth="1"/>
  </cols>
  <sheetData>
    <row r="1" spans="1:6">
      <c r="A1" s="766" t="s">
        <v>212</v>
      </c>
      <c r="B1" s="766"/>
      <c r="C1" s="766"/>
      <c r="D1" s="766"/>
      <c r="E1" s="766"/>
      <c r="F1" s="766"/>
    </row>
    <row r="2" spans="1:6">
      <c r="A2" s="66"/>
      <c r="B2" s="67" t="s">
        <v>596</v>
      </c>
      <c r="C2" s="67" t="s">
        <v>597</v>
      </c>
      <c r="D2" s="68" t="s">
        <v>213</v>
      </c>
      <c r="E2" s="69" t="s">
        <v>214</v>
      </c>
      <c r="F2" s="70" t="s">
        <v>215</v>
      </c>
    </row>
    <row r="3" spans="1:6">
      <c r="A3" s="71" t="s">
        <v>216</v>
      </c>
      <c r="B3" s="767" t="s">
        <v>936</v>
      </c>
      <c r="C3" s="768"/>
      <c r="D3" s="68"/>
      <c r="E3" s="69"/>
      <c r="F3" s="70"/>
    </row>
    <row r="4" spans="1:6">
      <c r="A4" s="72" t="s">
        <v>217</v>
      </c>
      <c r="B4" s="210">
        <f>('Financials - combined'!B23)</f>
        <v>599112</v>
      </c>
      <c r="C4" s="210">
        <f>('Financials - combined'!D23)</f>
        <v>13.75</v>
      </c>
      <c r="D4" s="74">
        <f t="shared" ref="D4:D28" si="0">(B4+C4)/2</f>
        <v>299562.875</v>
      </c>
      <c r="E4" s="75">
        <v>1</v>
      </c>
      <c r="F4" s="76">
        <f t="shared" ref="F4:F28" si="1">+D4*E4</f>
        <v>299562.875</v>
      </c>
    </row>
    <row r="5" spans="1:6">
      <c r="A5" s="72" t="s">
        <v>218</v>
      </c>
      <c r="B5" s="210">
        <f>'Financials - combined'!B17</f>
        <v>1</v>
      </c>
      <c r="C5" s="210">
        <f>'Financials - combined'!D17</f>
        <v>0.25</v>
      </c>
      <c r="D5" s="74">
        <f>IF(AVERAGE(B5,C5)&gt;(B5*2/3),(B5+C5)/2,B5*2/3)</f>
        <v>0.66666666666666663</v>
      </c>
      <c r="E5" s="75">
        <v>1</v>
      </c>
      <c r="F5" s="76">
        <f t="shared" si="1"/>
        <v>0.66666666666666663</v>
      </c>
    </row>
    <row r="6" spans="1:6">
      <c r="A6" s="72" t="s">
        <v>219</v>
      </c>
      <c r="B6" s="210">
        <f>'Financials - combined'!B27</f>
        <v>1</v>
      </c>
      <c r="C6" s="210">
        <f>'Financials - combined'!D27</f>
        <v>1</v>
      </c>
      <c r="D6" s="74">
        <f t="shared" si="0"/>
        <v>1</v>
      </c>
      <c r="E6" s="75">
        <v>1</v>
      </c>
      <c r="F6" s="76">
        <f t="shared" si="1"/>
        <v>1</v>
      </c>
    </row>
    <row r="7" spans="1:6">
      <c r="A7" s="72" t="s">
        <v>220</v>
      </c>
      <c r="B7" s="210">
        <f>'Financials - combined'!B28</f>
        <v>1</v>
      </c>
      <c r="C7" s="210">
        <f>'Financials - combined'!D28</f>
        <v>1</v>
      </c>
      <c r="D7" s="74">
        <f t="shared" si="0"/>
        <v>1</v>
      </c>
      <c r="E7" s="75">
        <v>1</v>
      </c>
      <c r="F7" s="76">
        <f t="shared" si="1"/>
        <v>1</v>
      </c>
    </row>
    <row r="8" spans="1:6">
      <c r="A8" s="72" t="s">
        <v>221</v>
      </c>
      <c r="B8" s="210">
        <f>'Financials - combined'!B18</f>
        <v>34</v>
      </c>
      <c r="C8" s="210">
        <f>'Financials - combined'!D18</f>
        <v>34</v>
      </c>
      <c r="D8" s="74">
        <f t="shared" si="0"/>
        <v>34</v>
      </c>
      <c r="E8" s="75">
        <v>1</v>
      </c>
      <c r="F8" s="76">
        <f t="shared" si="1"/>
        <v>34</v>
      </c>
    </row>
    <row r="9" spans="1:6">
      <c r="A9" s="72" t="s">
        <v>222</v>
      </c>
      <c r="B9" s="77"/>
      <c r="C9" s="77"/>
      <c r="D9" s="74">
        <f t="shared" si="0"/>
        <v>0</v>
      </c>
      <c r="E9" s="78">
        <v>0.75</v>
      </c>
      <c r="F9" s="76">
        <f t="shared" si="1"/>
        <v>0</v>
      </c>
    </row>
    <row r="10" spans="1:6">
      <c r="A10" s="72" t="s">
        <v>223</v>
      </c>
      <c r="B10" s="77"/>
      <c r="C10" s="77"/>
      <c r="D10" s="74">
        <f t="shared" si="0"/>
        <v>0</v>
      </c>
      <c r="E10" s="75">
        <v>0.5</v>
      </c>
      <c r="F10" s="76">
        <f t="shared" si="1"/>
        <v>0</v>
      </c>
    </row>
    <row r="11" spans="1:6">
      <c r="A11" s="72" t="s">
        <v>224</v>
      </c>
      <c r="B11" s="77"/>
      <c r="C11" s="77"/>
      <c r="D11" s="74">
        <f t="shared" si="0"/>
        <v>0</v>
      </c>
      <c r="E11" s="75">
        <v>0.5</v>
      </c>
      <c r="F11" s="76">
        <f t="shared" si="1"/>
        <v>0</v>
      </c>
    </row>
    <row r="12" spans="1:6">
      <c r="A12" s="72" t="s">
        <v>225</v>
      </c>
      <c r="B12" s="77"/>
      <c r="C12" s="77"/>
      <c r="D12" s="74">
        <f t="shared" si="0"/>
        <v>0</v>
      </c>
      <c r="E12" s="78">
        <v>0.5</v>
      </c>
      <c r="F12" s="76">
        <f t="shared" si="1"/>
        <v>0</v>
      </c>
    </row>
    <row r="13" spans="1:6">
      <c r="A13" s="72" t="s">
        <v>226</v>
      </c>
      <c r="B13" s="77">
        <v>2</v>
      </c>
      <c r="C13" s="77"/>
      <c r="D13" s="74">
        <f t="shared" si="0"/>
        <v>1</v>
      </c>
      <c r="E13" s="78">
        <v>1</v>
      </c>
      <c r="F13" s="76">
        <f>-D13*E13</f>
        <v>-1</v>
      </c>
    </row>
    <row r="14" spans="1:6">
      <c r="A14" s="72" t="s">
        <v>227</v>
      </c>
      <c r="B14" s="77"/>
      <c r="C14" s="77"/>
      <c r="D14" s="74">
        <f t="shared" si="0"/>
        <v>0</v>
      </c>
      <c r="E14" s="78">
        <v>0.25</v>
      </c>
      <c r="F14" s="76">
        <f t="shared" si="1"/>
        <v>0</v>
      </c>
    </row>
    <row r="15" spans="1:6" ht="29.25">
      <c r="A15" s="72" t="s">
        <v>228</v>
      </c>
      <c r="B15" s="77">
        <v>0.5</v>
      </c>
      <c r="C15" s="77">
        <v>0.5</v>
      </c>
      <c r="D15" s="74">
        <f t="shared" si="0"/>
        <v>0.5</v>
      </c>
      <c r="E15" s="75">
        <v>1</v>
      </c>
      <c r="F15" s="76">
        <f>-D15*E15</f>
        <v>-0.5</v>
      </c>
    </row>
    <row r="16" spans="1:6">
      <c r="A16" s="72" t="s">
        <v>229</v>
      </c>
      <c r="B16" s="77">
        <v>0.5</v>
      </c>
      <c r="C16" s="77">
        <v>0.5</v>
      </c>
      <c r="D16" s="74">
        <f t="shared" si="0"/>
        <v>0.5</v>
      </c>
      <c r="E16" s="75">
        <v>1</v>
      </c>
      <c r="F16" s="76">
        <f>-D16*E16</f>
        <v>-0.5</v>
      </c>
    </row>
    <row r="17" spans="1:7">
      <c r="A17" s="79" t="s">
        <v>230</v>
      </c>
      <c r="B17" s="77"/>
      <c r="C17" s="77"/>
      <c r="D17" s="74">
        <f t="shared" si="0"/>
        <v>0</v>
      </c>
      <c r="E17" s="78">
        <v>0.25</v>
      </c>
      <c r="F17" s="76">
        <f t="shared" si="1"/>
        <v>0</v>
      </c>
    </row>
    <row r="18" spans="1:7">
      <c r="A18" s="79" t="s">
        <v>230</v>
      </c>
      <c r="B18" s="77"/>
      <c r="C18" s="77"/>
      <c r="D18" s="74">
        <f t="shared" si="0"/>
        <v>0</v>
      </c>
      <c r="E18" s="78">
        <v>0.25</v>
      </c>
      <c r="F18" s="76">
        <f t="shared" si="1"/>
        <v>0</v>
      </c>
    </row>
    <row r="19" spans="1:7">
      <c r="A19" s="79" t="s">
        <v>230</v>
      </c>
      <c r="B19" s="77"/>
      <c r="C19" s="77"/>
      <c r="D19" s="74">
        <f t="shared" si="0"/>
        <v>0</v>
      </c>
      <c r="E19" s="78">
        <v>0.25</v>
      </c>
      <c r="F19" s="76">
        <f t="shared" si="1"/>
        <v>0</v>
      </c>
    </row>
    <row r="20" spans="1:7">
      <c r="A20" s="79" t="s">
        <v>230</v>
      </c>
      <c r="B20" s="77"/>
      <c r="C20" s="77"/>
      <c r="D20" s="74">
        <f t="shared" si="0"/>
        <v>0</v>
      </c>
      <c r="E20" s="78">
        <v>0.25</v>
      </c>
      <c r="F20" s="76">
        <f t="shared" si="1"/>
        <v>0</v>
      </c>
    </row>
    <row r="21" spans="1:7">
      <c r="A21" s="79" t="s">
        <v>230</v>
      </c>
      <c r="B21" s="77"/>
      <c r="C21" s="77"/>
      <c r="D21" s="74">
        <f t="shared" si="0"/>
        <v>0</v>
      </c>
      <c r="E21" s="78">
        <v>0.25</v>
      </c>
      <c r="F21" s="76">
        <f t="shared" si="1"/>
        <v>0</v>
      </c>
    </row>
    <row r="22" spans="1:7">
      <c r="A22" s="79" t="s">
        <v>230</v>
      </c>
      <c r="B22" s="77"/>
      <c r="C22" s="77"/>
      <c r="D22" s="74">
        <f t="shared" si="0"/>
        <v>0</v>
      </c>
      <c r="E22" s="78">
        <v>0.25</v>
      </c>
      <c r="F22" s="76">
        <f t="shared" si="1"/>
        <v>0</v>
      </c>
    </row>
    <row r="23" spans="1:7">
      <c r="A23" s="79" t="s">
        <v>230</v>
      </c>
      <c r="B23" s="77"/>
      <c r="C23" s="77"/>
      <c r="D23" s="74">
        <f t="shared" si="0"/>
        <v>0</v>
      </c>
      <c r="E23" s="78">
        <v>0.25</v>
      </c>
      <c r="F23" s="76">
        <f t="shared" si="1"/>
        <v>0</v>
      </c>
    </row>
    <row r="24" spans="1:7">
      <c r="A24" s="79" t="s">
        <v>230</v>
      </c>
      <c r="B24" s="77"/>
      <c r="C24" s="77"/>
      <c r="D24" s="74">
        <f t="shared" si="0"/>
        <v>0</v>
      </c>
      <c r="E24" s="78">
        <v>0.25</v>
      </c>
      <c r="F24" s="76">
        <f t="shared" si="1"/>
        <v>0</v>
      </c>
    </row>
    <row r="25" spans="1:7">
      <c r="A25" s="79" t="s">
        <v>230</v>
      </c>
      <c r="B25" s="77"/>
      <c r="C25" s="77"/>
      <c r="D25" s="74">
        <f t="shared" si="0"/>
        <v>0</v>
      </c>
      <c r="E25" s="78">
        <v>0.25</v>
      </c>
      <c r="F25" s="76">
        <f t="shared" si="1"/>
        <v>0</v>
      </c>
    </row>
    <row r="26" spans="1:7">
      <c r="A26" s="79" t="s">
        <v>230</v>
      </c>
      <c r="B26" s="77"/>
      <c r="C26" s="77"/>
      <c r="D26" s="74">
        <f t="shared" si="0"/>
        <v>0</v>
      </c>
      <c r="E26" s="78">
        <v>0.25</v>
      </c>
      <c r="F26" s="76">
        <f t="shared" si="1"/>
        <v>0</v>
      </c>
    </row>
    <row r="27" spans="1:7">
      <c r="A27" s="79" t="s">
        <v>230</v>
      </c>
      <c r="B27" s="77"/>
      <c r="C27" s="77"/>
      <c r="D27" s="74">
        <f t="shared" si="0"/>
        <v>0</v>
      </c>
      <c r="E27" s="78">
        <v>0.25</v>
      </c>
      <c r="F27" s="76">
        <f t="shared" si="1"/>
        <v>0</v>
      </c>
    </row>
    <row r="28" spans="1:7">
      <c r="A28" s="80" t="s">
        <v>68</v>
      </c>
      <c r="B28" s="73">
        <f>-'Financials - combined'!B24</f>
        <v>-1</v>
      </c>
      <c r="C28" s="73">
        <f>-'Financials - combined'!D24</f>
        <v>-1</v>
      </c>
      <c r="D28" s="74">
        <f t="shared" si="0"/>
        <v>-1</v>
      </c>
      <c r="E28" s="75">
        <v>1</v>
      </c>
      <c r="F28" s="76">
        <f t="shared" si="1"/>
        <v>-1</v>
      </c>
    </row>
    <row r="29" spans="1:7">
      <c r="A29" s="71" t="s">
        <v>231</v>
      </c>
      <c r="B29" s="769"/>
      <c r="C29" s="769"/>
      <c r="D29" s="769"/>
      <c r="E29" s="769"/>
      <c r="F29" s="74">
        <f>SUM(F4:F28)</f>
        <v>299596.54166666669</v>
      </c>
    </row>
    <row r="30" spans="1:7">
      <c r="A30" s="81" t="s">
        <v>232</v>
      </c>
      <c r="B30" s="770"/>
      <c r="C30" s="770"/>
      <c r="D30" s="770"/>
      <c r="E30" s="81"/>
      <c r="F30" s="74">
        <f>F29/12</f>
        <v>24966.378472222223</v>
      </c>
    </row>
    <row r="31" spans="1:7">
      <c r="A31" s="82" t="s">
        <v>233</v>
      </c>
      <c r="B31" s="770"/>
      <c r="C31" s="770"/>
      <c r="D31" s="770"/>
      <c r="E31" s="81"/>
      <c r="F31" s="83"/>
    </row>
    <row r="32" spans="1:7">
      <c r="A32" s="81" t="s">
        <v>234</v>
      </c>
      <c r="B32" s="765"/>
      <c r="C32" s="765"/>
      <c r="D32" s="765"/>
      <c r="E32" s="81"/>
      <c r="F32" s="74">
        <f>E75</f>
        <v>0</v>
      </c>
      <c r="G32" t="s">
        <v>894</v>
      </c>
    </row>
    <row r="33" spans="1:7" ht="28.5">
      <c r="A33" s="84" t="s">
        <v>235</v>
      </c>
      <c r="B33" s="770"/>
      <c r="C33" s="770"/>
      <c r="D33" s="770"/>
      <c r="E33" s="81"/>
      <c r="F33" s="85">
        <v>1.35</v>
      </c>
    </row>
    <row r="34" spans="1:7">
      <c r="A34" s="81" t="s">
        <v>236</v>
      </c>
      <c r="B34" s="770"/>
      <c r="C34" s="770"/>
      <c r="D34" s="770"/>
      <c r="E34" s="81"/>
      <c r="F34" s="86">
        <f>F30*F33-F32</f>
        <v>33704.610937500001</v>
      </c>
    </row>
    <row r="35" spans="1:7">
      <c r="A35" s="81" t="s">
        <v>237</v>
      </c>
      <c r="B35" s="770"/>
      <c r="C35" s="770"/>
      <c r="D35" s="770"/>
      <c r="E35" s="81"/>
      <c r="F35" s="87">
        <f>Input!B14</f>
        <v>180</v>
      </c>
    </row>
    <row r="36" spans="1:7">
      <c r="A36" s="81" t="s">
        <v>238</v>
      </c>
      <c r="B36" s="770"/>
      <c r="C36" s="770"/>
      <c r="D36" s="770"/>
      <c r="E36" s="81"/>
      <c r="F36" s="85">
        <f>Input!B15</f>
        <v>8.3500000000000005E-2</v>
      </c>
    </row>
    <row r="37" spans="1:7">
      <c r="A37" s="81" t="s">
        <v>239</v>
      </c>
      <c r="B37" s="770"/>
      <c r="C37" s="770"/>
      <c r="D37" s="770"/>
      <c r="E37" s="81"/>
      <c r="F37" s="88">
        <f>PMT(F36/12,F35,-100000)</f>
        <v>975.96678414718815</v>
      </c>
    </row>
    <row r="38" spans="1:7">
      <c r="A38" s="81" t="s">
        <v>240</v>
      </c>
      <c r="B38" s="770"/>
      <c r="C38" s="770"/>
      <c r="D38" s="770"/>
      <c r="E38" s="89"/>
      <c r="F38" s="88">
        <f>F34/F37-0.01</f>
        <v>34.524588148869746</v>
      </c>
    </row>
    <row r="39" spans="1:7">
      <c r="A39" s="772" t="s">
        <v>241</v>
      </c>
      <c r="B39" s="772"/>
      <c r="C39" s="772"/>
      <c r="D39" s="772"/>
      <c r="E39" s="772"/>
      <c r="F39" s="772"/>
    </row>
    <row r="40" spans="1:7">
      <c r="A40" s="81" t="s">
        <v>237</v>
      </c>
      <c r="B40" s="770"/>
      <c r="C40" s="770"/>
      <c r="D40" s="770"/>
      <c r="E40" s="770"/>
      <c r="F40" s="90">
        <f>F35</f>
        <v>180</v>
      </c>
    </row>
    <row r="41" spans="1:7">
      <c r="A41" s="81" t="s">
        <v>242</v>
      </c>
      <c r="B41" s="770"/>
      <c r="C41" s="770"/>
      <c r="D41" s="770"/>
      <c r="E41" s="770"/>
      <c r="F41" s="91">
        <f>+F36</f>
        <v>8.3500000000000005E-2</v>
      </c>
    </row>
    <row r="42" spans="1:7">
      <c r="A42" s="81" t="s">
        <v>243</v>
      </c>
      <c r="B42" s="770"/>
      <c r="C42" s="770"/>
      <c r="D42" s="770"/>
      <c r="E42" s="770"/>
      <c r="F42" s="92">
        <v>100</v>
      </c>
    </row>
    <row r="43" spans="1:7">
      <c r="A43" s="81" t="s">
        <v>244</v>
      </c>
      <c r="B43" s="770"/>
      <c r="C43" s="770"/>
      <c r="D43" s="770"/>
      <c r="E43" s="770"/>
      <c r="F43" s="86">
        <f>ROUNDUP(F42*F37,0)</f>
        <v>97597</v>
      </c>
    </row>
    <row r="44" spans="1:7">
      <c r="A44" s="81" t="s">
        <v>245</v>
      </c>
      <c r="B44" s="771"/>
      <c r="C44" s="771"/>
      <c r="D44" s="771"/>
      <c r="E44" s="771"/>
      <c r="F44" s="93">
        <f>(F43+F32)/F30</f>
        <v>3.9091372466610301</v>
      </c>
    </row>
    <row r="45" spans="1:7">
      <c r="A45" s="94" t="s">
        <v>246</v>
      </c>
      <c r="B45" s="771"/>
      <c r="C45" s="771"/>
      <c r="D45" s="771"/>
      <c r="E45" s="771"/>
      <c r="F45" s="95">
        <v>0.45</v>
      </c>
    </row>
    <row r="46" spans="1:7">
      <c r="A46" s="94" t="s">
        <v>885</v>
      </c>
      <c r="B46" s="771"/>
      <c r="C46" s="771"/>
      <c r="D46" s="771"/>
      <c r="E46" s="771"/>
      <c r="F46" s="95">
        <v>0.9</v>
      </c>
      <c r="G46" t="s">
        <v>902</v>
      </c>
    </row>
    <row r="47" spans="1:7">
      <c r="A47" s="94" t="s">
        <v>247</v>
      </c>
      <c r="B47" s="770"/>
      <c r="C47" s="770"/>
      <c r="D47" s="770"/>
      <c r="E47" s="770"/>
      <c r="F47" s="77">
        <v>650</v>
      </c>
    </row>
    <row r="48" spans="1:7">
      <c r="A48" s="94" t="s">
        <v>248</v>
      </c>
      <c r="B48" s="770"/>
      <c r="C48" s="770"/>
      <c r="D48" s="770"/>
      <c r="E48" s="770"/>
      <c r="F48" s="93">
        <f>F42/F47</f>
        <v>0.15384615384615385</v>
      </c>
    </row>
    <row r="49" spans="1:6">
      <c r="A49" s="94" t="s">
        <v>249</v>
      </c>
      <c r="B49" s="770"/>
      <c r="C49" s="770"/>
      <c r="D49" s="770"/>
      <c r="E49" s="770"/>
      <c r="F49" s="93">
        <f>(F42+Input!B22+Input!C22)/'Normal &amp; CGTMSE Eligibility'!F47</f>
        <v>0.15384615384615385</v>
      </c>
    </row>
    <row r="50" spans="1:6">
      <c r="A50" s="94" t="s">
        <v>250</v>
      </c>
      <c r="B50" s="773"/>
      <c r="C50" s="773"/>
      <c r="D50" s="773"/>
      <c r="E50" s="773"/>
      <c r="F50" s="93">
        <f>F48+F44</f>
        <v>4.0629834005071839</v>
      </c>
    </row>
    <row r="51" spans="1:6">
      <c r="A51" s="94" t="s">
        <v>886</v>
      </c>
      <c r="B51" s="773"/>
      <c r="C51" s="773"/>
      <c r="D51" s="773"/>
      <c r="E51" s="773"/>
      <c r="F51" s="288">
        <f>F46*F47</f>
        <v>585</v>
      </c>
    </row>
    <row r="52" spans="1:6">
      <c r="A52" s="94" t="s">
        <v>887</v>
      </c>
      <c r="B52" s="773"/>
      <c r="C52" s="773"/>
      <c r="D52" s="773"/>
      <c r="E52" s="773"/>
      <c r="F52" s="288">
        <f>MIN(F38,F51)</f>
        <v>34.524588148869746</v>
      </c>
    </row>
    <row r="65" spans="1:8">
      <c r="A65" t="s">
        <v>1223</v>
      </c>
      <c r="C65">
        <v>0</v>
      </c>
      <c r="E65">
        <v>139820</v>
      </c>
      <c r="G65">
        <v>0</v>
      </c>
      <c r="H65" t="s">
        <v>1231</v>
      </c>
    </row>
    <row r="66" spans="1:8">
      <c r="A66" t="s">
        <v>1224</v>
      </c>
      <c r="C66">
        <v>0</v>
      </c>
      <c r="E66">
        <v>26740</v>
      </c>
      <c r="G66">
        <v>0</v>
      </c>
      <c r="H66" t="s">
        <v>1231</v>
      </c>
    </row>
    <row r="67" spans="1:8">
      <c r="A67" t="s">
        <v>1225</v>
      </c>
      <c r="C67">
        <v>0</v>
      </c>
      <c r="E67">
        <v>917</v>
      </c>
      <c r="G67">
        <v>0</v>
      </c>
      <c r="H67" t="s">
        <v>1231</v>
      </c>
    </row>
    <row r="68" spans="1:8">
      <c r="A68" t="s">
        <v>1226</v>
      </c>
      <c r="C68">
        <v>0</v>
      </c>
      <c r="E68">
        <v>4089</v>
      </c>
      <c r="G68">
        <v>0</v>
      </c>
      <c r="H68" t="s">
        <v>1231</v>
      </c>
    </row>
    <row r="69" spans="1:8">
      <c r="A69" t="s">
        <v>1227</v>
      </c>
      <c r="C69">
        <v>0</v>
      </c>
      <c r="E69">
        <v>140422</v>
      </c>
      <c r="G69">
        <v>0</v>
      </c>
      <c r="H69" t="s">
        <v>38</v>
      </c>
    </row>
    <row r="70" spans="1:8">
      <c r="A70" t="s">
        <v>1228</v>
      </c>
      <c r="C70">
        <v>0</v>
      </c>
      <c r="E70">
        <v>4196</v>
      </c>
      <c r="G70">
        <v>0</v>
      </c>
      <c r="H70" t="s">
        <v>1231</v>
      </c>
    </row>
  </sheetData>
  <mergeCells count="26">
    <mergeCell ref="B51:E51"/>
    <mergeCell ref="B52:E52"/>
    <mergeCell ref="B45:E45"/>
    <mergeCell ref="B47:E47"/>
    <mergeCell ref="B48:E48"/>
    <mergeCell ref="B49:E49"/>
    <mergeCell ref="B50:E50"/>
    <mergeCell ref="B46:E46"/>
    <mergeCell ref="B44:E44"/>
    <mergeCell ref="B33:D33"/>
    <mergeCell ref="B34:D34"/>
    <mergeCell ref="B35:D35"/>
    <mergeCell ref="B36:D36"/>
    <mergeCell ref="B37:D37"/>
    <mergeCell ref="B38:D38"/>
    <mergeCell ref="A39:F39"/>
    <mergeCell ref="B40:E40"/>
    <mergeCell ref="B41:E41"/>
    <mergeCell ref="B42:E42"/>
    <mergeCell ref="B43:E43"/>
    <mergeCell ref="B32:D32"/>
    <mergeCell ref="A1:F1"/>
    <mergeCell ref="B3:C3"/>
    <mergeCell ref="B29:E29"/>
    <mergeCell ref="B30:D30"/>
    <mergeCell ref="B31:D31"/>
  </mergeCells>
  <dataValidations disablePrompts="1" count="1">
    <dataValidation type="textLength" operator="equal" showInputMessage="1" showErrorMessage="1" errorTitle="Not Allowed" error="Click on the Link to enter POS in Variant Input &amp; Comparison sheet" sqref="F31" xr:uid="{00000000-0002-0000-0900-000000000000}">
      <formula1>0</formula1>
    </dataValidation>
  </dataValidations>
  <hyperlinks>
    <hyperlink ref="A31" location="'Variant Inputs &amp; Comparison'!B7" display="If Topup, Click here to enter" xr:uid="{00000000-0004-0000-09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8961F-AD81-4D34-AABC-51D5FD7784BB}">
  <sheetPr codeName="Sheet28">
    <tabColor theme="3" tint="-0.499984740745262"/>
  </sheetPr>
  <dimension ref="A1:BJ36"/>
  <sheetViews>
    <sheetView topLeftCell="C11" zoomScale="90" zoomScaleNormal="90" workbookViewId="0">
      <selection activeCell="E27" sqref="E27"/>
    </sheetView>
  </sheetViews>
  <sheetFormatPr defaultRowHeight="12.75" outlineLevelRow="1"/>
  <cols>
    <col min="1" max="1" width="1.7109375" style="374" customWidth="1"/>
    <col min="2" max="2" width="4.5703125" style="375" customWidth="1"/>
    <col min="3" max="3" width="22.5703125" style="375" customWidth="1"/>
    <col min="4" max="4" width="20.7109375" style="375" customWidth="1"/>
    <col min="5" max="5" width="14.140625" style="375" customWidth="1"/>
    <col min="6" max="7" width="11.7109375" style="375" customWidth="1"/>
    <col min="8" max="8" width="11.140625" style="375" customWidth="1"/>
    <col min="9" max="9" width="14.140625" style="375" customWidth="1"/>
    <col min="10" max="11" width="7.7109375" style="375" customWidth="1"/>
    <col min="12" max="12" width="4" style="375" customWidth="1"/>
    <col min="13" max="13" width="9.7109375" style="375" customWidth="1"/>
    <col min="14" max="14" width="12" style="375" customWidth="1"/>
    <col min="15" max="15" width="5.7109375" style="375" customWidth="1"/>
    <col min="16" max="16" width="7.28515625" style="375" customWidth="1"/>
    <col min="17" max="17" width="9.7109375" style="375" customWidth="1"/>
    <col min="18" max="18" width="13.7109375" style="375" customWidth="1"/>
    <col min="19" max="19" width="5.140625" style="375" customWidth="1"/>
    <col min="20" max="20" width="9.7109375" style="375" customWidth="1"/>
    <col min="21" max="21" width="12.5703125" style="375" customWidth="1"/>
    <col min="22" max="22" width="5.140625" style="375" customWidth="1"/>
    <col min="23" max="23" width="9.7109375" style="375" customWidth="1"/>
    <col min="24" max="24" width="12.7109375" style="375" customWidth="1"/>
    <col min="25" max="25" width="5.140625" style="375" customWidth="1"/>
    <col min="26" max="26" width="9.7109375" style="375" customWidth="1"/>
    <col min="27" max="27" width="12.7109375" style="375" customWidth="1"/>
    <col min="28" max="28" width="5.140625" style="375" customWidth="1"/>
    <col min="29" max="29" width="9.7109375" style="375" customWidth="1"/>
    <col min="30" max="30" width="12.7109375" style="375" customWidth="1"/>
    <col min="31" max="31" width="5.140625" style="375" customWidth="1"/>
    <col min="32" max="32" width="9.7109375" style="375" customWidth="1"/>
    <col min="33" max="33" width="12.7109375" style="375" customWidth="1"/>
    <col min="34" max="34" width="5.140625" style="375" customWidth="1"/>
    <col min="35" max="35" width="9.7109375" style="375" customWidth="1"/>
    <col min="36" max="36" width="12.7109375" style="375" customWidth="1"/>
    <col min="37" max="37" width="5.140625" style="375" customWidth="1"/>
    <col min="38" max="38" width="9.7109375" style="375" customWidth="1"/>
    <col min="39" max="39" width="12.7109375" style="375" customWidth="1"/>
    <col min="40" max="40" width="5.140625" style="375" customWidth="1"/>
    <col min="41" max="41" width="9.7109375" style="375" customWidth="1"/>
    <col min="42" max="42" width="12.7109375" style="375" customWidth="1"/>
    <col min="43" max="43" width="5.140625" style="375" customWidth="1"/>
    <col min="44" max="44" width="9.7109375" style="375" customWidth="1"/>
    <col min="45" max="45" width="12.7109375" style="375" customWidth="1"/>
    <col min="46" max="46" width="5.140625" style="375" customWidth="1"/>
    <col min="47" max="47" width="9.7109375" style="375" customWidth="1"/>
    <col min="48" max="48" width="12.7109375" style="375" customWidth="1"/>
    <col min="49" max="49" width="5.140625" style="375" customWidth="1"/>
    <col min="50" max="50" width="9.7109375" style="375" customWidth="1"/>
    <col min="51" max="51" width="12.7109375" style="375" customWidth="1"/>
    <col min="52" max="52" width="5.140625" style="375" customWidth="1"/>
    <col min="53" max="53" width="9.7109375" style="375" customWidth="1"/>
    <col min="54" max="54" width="12.7109375" style="375" customWidth="1"/>
    <col min="55" max="55" width="37.7109375" style="375" customWidth="1"/>
    <col min="56" max="56" width="9.140625" style="375"/>
    <col min="57" max="16384" width="9.140625" style="376"/>
  </cols>
  <sheetData>
    <row r="1" spans="1:56" ht="13.5" thickBot="1">
      <c r="A1" s="374">
        <v>130</v>
      </c>
    </row>
    <row r="2" spans="1:56" ht="18" outlineLevel="1" thickBot="1">
      <c r="B2" s="774" t="s">
        <v>1049</v>
      </c>
      <c r="C2" s="775"/>
      <c r="D2" s="775"/>
      <c r="E2" s="775"/>
      <c r="F2" s="775"/>
      <c r="G2" s="775"/>
      <c r="H2" s="775"/>
      <c r="I2" s="775"/>
      <c r="J2" s="775"/>
      <c r="K2" s="775"/>
      <c r="L2" s="775"/>
      <c r="M2" s="775"/>
      <c r="N2" s="775"/>
      <c r="O2" s="775"/>
      <c r="P2" s="775"/>
      <c r="Q2" s="775"/>
      <c r="R2" s="775"/>
      <c r="S2" s="775"/>
      <c r="T2" s="775"/>
      <c r="U2" s="775"/>
      <c r="V2" s="775"/>
      <c r="W2" s="775"/>
      <c r="X2" s="775"/>
      <c r="Y2" s="775"/>
      <c r="Z2" s="776"/>
      <c r="BC2" s="376"/>
      <c r="BD2" s="376"/>
    </row>
    <row r="3" spans="1:56" s="379" customFormat="1" outlineLevel="1">
      <c r="A3" s="377"/>
      <c r="B3" s="777" t="s">
        <v>17</v>
      </c>
      <c r="C3" s="778"/>
      <c r="D3" s="778"/>
      <c r="E3" s="779" t="s">
        <v>1050</v>
      </c>
      <c r="F3" s="779"/>
      <c r="G3" s="779"/>
      <c r="H3" s="779" t="s">
        <v>1051</v>
      </c>
      <c r="I3" s="779"/>
      <c r="J3" s="779"/>
      <c r="K3" s="779" t="s">
        <v>1052</v>
      </c>
      <c r="L3" s="779"/>
      <c r="M3" s="779"/>
      <c r="N3" s="779"/>
      <c r="O3" s="779" t="s">
        <v>1053</v>
      </c>
      <c r="P3" s="779"/>
      <c r="Q3" s="779"/>
      <c r="R3" s="779"/>
      <c r="S3" s="779" t="s">
        <v>1054</v>
      </c>
      <c r="T3" s="779"/>
      <c r="U3" s="779"/>
      <c r="V3" s="779"/>
      <c r="W3" s="779" t="s">
        <v>1055</v>
      </c>
      <c r="X3" s="779"/>
      <c r="Y3" s="779"/>
      <c r="Z3" s="780"/>
      <c r="AA3" s="378"/>
      <c r="AB3" s="378"/>
      <c r="AC3" s="378"/>
      <c r="AD3" s="378"/>
      <c r="AE3" s="378"/>
      <c r="AF3" s="378"/>
      <c r="AG3" s="378"/>
      <c r="AH3" s="378"/>
      <c r="AI3" s="378"/>
      <c r="AJ3" s="378"/>
      <c r="AK3" s="378"/>
      <c r="AL3" s="378"/>
      <c r="AM3" s="378"/>
      <c r="AN3" s="378"/>
      <c r="AO3" s="378"/>
      <c r="AP3" s="378"/>
      <c r="AQ3" s="378"/>
      <c r="AR3" s="378"/>
      <c r="AS3" s="378"/>
      <c r="AT3" s="378"/>
      <c r="AU3" s="378"/>
      <c r="AV3" s="378"/>
      <c r="AW3" s="378"/>
      <c r="AX3" s="378"/>
      <c r="AY3" s="378"/>
      <c r="AZ3" s="378"/>
      <c r="BA3" s="378"/>
      <c r="BB3" s="378"/>
    </row>
    <row r="4" spans="1:56" outlineLevel="1">
      <c r="B4" s="783" t="s">
        <v>1056</v>
      </c>
      <c r="C4" s="784"/>
      <c r="D4" s="784"/>
      <c r="E4" s="781"/>
      <c r="F4" s="781"/>
      <c r="G4" s="781"/>
      <c r="H4" s="781"/>
      <c r="I4" s="781"/>
      <c r="J4" s="781"/>
      <c r="K4" s="781"/>
      <c r="L4" s="781"/>
      <c r="M4" s="781"/>
      <c r="N4" s="781"/>
      <c r="O4" s="781"/>
      <c r="P4" s="781"/>
      <c r="Q4" s="781"/>
      <c r="R4" s="781"/>
      <c r="S4" s="781"/>
      <c r="T4" s="781"/>
      <c r="U4" s="781"/>
      <c r="V4" s="781"/>
      <c r="W4" s="781"/>
      <c r="X4" s="781"/>
      <c r="Y4" s="781"/>
      <c r="Z4" s="782"/>
      <c r="BA4" s="376"/>
      <c r="BB4" s="376"/>
      <c r="BC4" s="376"/>
      <c r="BD4" s="376"/>
    </row>
    <row r="5" spans="1:56" outlineLevel="1">
      <c r="B5" s="783" t="s">
        <v>1057</v>
      </c>
      <c r="C5" s="784"/>
      <c r="D5" s="784"/>
      <c r="E5" s="781"/>
      <c r="F5" s="781"/>
      <c r="G5" s="781"/>
      <c r="H5" s="781"/>
      <c r="I5" s="781"/>
      <c r="J5" s="781"/>
      <c r="K5" s="781"/>
      <c r="L5" s="781"/>
      <c r="M5" s="781"/>
      <c r="N5" s="781"/>
      <c r="O5" s="781"/>
      <c r="P5" s="781"/>
      <c r="Q5" s="781"/>
      <c r="R5" s="781"/>
      <c r="S5" s="781"/>
      <c r="T5" s="781"/>
      <c r="U5" s="781"/>
      <c r="V5" s="781"/>
      <c r="W5" s="781"/>
      <c r="X5" s="781"/>
      <c r="Y5" s="781"/>
      <c r="Z5" s="782"/>
      <c r="BA5" s="376"/>
      <c r="BB5" s="376"/>
      <c r="BC5" s="376"/>
      <c r="BD5" s="376"/>
    </row>
    <row r="6" spans="1:56" outlineLevel="1">
      <c r="B6" s="783" t="s">
        <v>1058</v>
      </c>
      <c r="C6" s="784"/>
      <c r="D6" s="784"/>
      <c r="E6" s="785"/>
      <c r="F6" s="785"/>
      <c r="G6" s="785"/>
      <c r="H6" s="785"/>
      <c r="I6" s="785"/>
      <c r="J6" s="785"/>
      <c r="K6" s="785"/>
      <c r="L6" s="785"/>
      <c r="M6" s="785"/>
      <c r="N6" s="785"/>
      <c r="O6" s="785"/>
      <c r="P6" s="785"/>
      <c r="Q6" s="785"/>
      <c r="R6" s="785"/>
      <c r="S6" s="785"/>
      <c r="T6" s="785"/>
      <c r="U6" s="785"/>
      <c r="V6" s="785"/>
      <c r="W6" s="785"/>
      <c r="X6" s="785"/>
      <c r="Y6" s="785"/>
      <c r="Z6" s="786"/>
      <c r="BA6" s="376"/>
      <c r="BB6" s="376"/>
      <c r="BC6" s="376"/>
      <c r="BD6" s="376"/>
    </row>
    <row r="7" spans="1:56" outlineLevel="1">
      <c r="B7" s="783" t="s">
        <v>1059</v>
      </c>
      <c r="C7" s="784"/>
      <c r="D7" s="784"/>
      <c r="E7" s="781"/>
      <c r="F7" s="781"/>
      <c r="G7" s="781"/>
      <c r="H7" s="781"/>
      <c r="I7" s="781"/>
      <c r="J7" s="781"/>
      <c r="K7" s="781"/>
      <c r="L7" s="781"/>
      <c r="M7" s="781"/>
      <c r="N7" s="781"/>
      <c r="O7" s="781"/>
      <c r="P7" s="781"/>
      <c r="Q7" s="781"/>
      <c r="R7" s="781"/>
      <c r="S7" s="781"/>
      <c r="T7" s="781"/>
      <c r="U7" s="781"/>
      <c r="V7" s="781"/>
      <c r="W7" s="781"/>
      <c r="X7" s="781"/>
      <c r="Y7" s="781"/>
      <c r="Z7" s="782"/>
      <c r="BA7" s="376"/>
      <c r="BB7" s="376"/>
      <c r="BC7" s="376"/>
      <c r="BD7" s="376"/>
    </row>
    <row r="8" spans="1:56" s="382" customFormat="1" ht="15.75" outlineLevel="1">
      <c r="A8" s="380"/>
      <c r="B8" s="783" t="s">
        <v>1060</v>
      </c>
      <c r="C8" s="784"/>
      <c r="D8" s="784"/>
      <c r="E8" s="787"/>
      <c r="F8" s="787"/>
      <c r="G8" s="787"/>
      <c r="H8" s="787"/>
      <c r="I8" s="787"/>
      <c r="J8" s="787"/>
      <c r="K8" s="787"/>
      <c r="L8" s="787"/>
      <c r="M8" s="787"/>
      <c r="N8" s="787"/>
      <c r="O8" s="787"/>
      <c r="P8" s="787"/>
      <c r="Q8" s="787"/>
      <c r="R8" s="787"/>
      <c r="S8" s="787"/>
      <c r="T8" s="787"/>
      <c r="U8" s="787"/>
      <c r="V8" s="787"/>
      <c r="W8" s="787"/>
      <c r="X8" s="787"/>
      <c r="Y8" s="787"/>
      <c r="Z8" s="788"/>
      <c r="AA8" s="381"/>
      <c r="AB8" s="381"/>
      <c r="AC8" s="381"/>
      <c r="AD8" s="381"/>
      <c r="AE8" s="381"/>
      <c r="AF8" s="381"/>
      <c r="AG8" s="381"/>
      <c r="AH8" s="381"/>
      <c r="AI8" s="381"/>
      <c r="AJ8" s="381"/>
      <c r="AK8" s="381"/>
      <c r="AL8" s="381"/>
      <c r="AM8" s="381"/>
      <c r="AN8" s="381"/>
      <c r="AO8" s="381"/>
      <c r="AP8" s="381"/>
      <c r="AQ8" s="381"/>
      <c r="AR8" s="381"/>
      <c r="AS8" s="381"/>
      <c r="AT8" s="381"/>
      <c r="AU8" s="381"/>
      <c r="AV8" s="381"/>
      <c r="AW8" s="381"/>
      <c r="AX8" s="381"/>
      <c r="AY8" s="381"/>
      <c r="AZ8" s="381"/>
    </row>
    <row r="9" spans="1:56" outlineLevel="1">
      <c r="B9" s="783" t="s">
        <v>1061</v>
      </c>
      <c r="C9" s="784"/>
      <c r="D9" s="784"/>
      <c r="E9" s="781"/>
      <c r="F9" s="781"/>
      <c r="G9" s="781"/>
      <c r="H9" s="781"/>
      <c r="I9" s="781"/>
      <c r="J9" s="781"/>
      <c r="K9" s="781"/>
      <c r="L9" s="781"/>
      <c r="M9" s="781"/>
      <c r="N9" s="781"/>
      <c r="O9" s="781"/>
      <c r="P9" s="781"/>
      <c r="Q9" s="781"/>
      <c r="R9" s="781"/>
      <c r="S9" s="781"/>
      <c r="T9" s="781"/>
      <c r="U9" s="781"/>
      <c r="V9" s="781"/>
      <c r="W9" s="781"/>
      <c r="X9" s="781"/>
      <c r="Y9" s="781"/>
      <c r="Z9" s="782"/>
      <c r="BA9" s="376"/>
      <c r="BB9" s="376"/>
      <c r="BC9" s="376"/>
      <c r="BD9" s="376"/>
    </row>
    <row r="10" spans="1:56" outlineLevel="1">
      <c r="B10" s="783" t="s">
        <v>1062</v>
      </c>
      <c r="C10" s="784"/>
      <c r="D10" s="784"/>
      <c r="E10" s="781"/>
      <c r="F10" s="781"/>
      <c r="G10" s="781"/>
      <c r="H10" s="781"/>
      <c r="I10" s="781"/>
      <c r="J10" s="781"/>
      <c r="K10" s="781"/>
      <c r="L10" s="781"/>
      <c r="M10" s="781"/>
      <c r="N10" s="781"/>
      <c r="O10" s="781"/>
      <c r="P10" s="781"/>
      <c r="Q10" s="781"/>
      <c r="R10" s="781"/>
      <c r="S10" s="781"/>
      <c r="T10" s="781"/>
      <c r="U10" s="781"/>
      <c r="V10" s="781"/>
      <c r="W10" s="781"/>
      <c r="X10" s="781"/>
      <c r="Y10" s="781"/>
      <c r="Z10" s="782"/>
      <c r="BA10" s="376"/>
      <c r="BB10" s="376"/>
      <c r="BC10" s="376"/>
      <c r="BD10" s="376"/>
    </row>
    <row r="11" spans="1:56" outlineLevel="1">
      <c r="B11" s="783" t="s">
        <v>1063</v>
      </c>
      <c r="C11" s="784"/>
      <c r="D11" s="784"/>
      <c r="E11" s="789"/>
      <c r="F11" s="789"/>
      <c r="G11" s="789"/>
      <c r="H11" s="789"/>
      <c r="I11" s="789"/>
      <c r="J11" s="789"/>
      <c r="K11" s="789"/>
      <c r="L11" s="789"/>
      <c r="M11" s="789"/>
      <c r="N11" s="789"/>
      <c r="O11" s="789"/>
      <c r="P11" s="789"/>
      <c r="Q11" s="789"/>
      <c r="R11" s="789"/>
      <c r="S11" s="789"/>
      <c r="T11" s="789"/>
      <c r="U11" s="789"/>
      <c r="V11" s="789"/>
      <c r="W11" s="789"/>
      <c r="X11" s="789"/>
      <c r="Y11" s="789"/>
      <c r="Z11" s="790"/>
      <c r="BA11" s="376"/>
      <c r="BB11" s="376"/>
      <c r="BC11" s="376"/>
      <c r="BD11" s="376"/>
    </row>
    <row r="12" spans="1:56" outlineLevel="1">
      <c r="B12" s="783" t="s">
        <v>1064</v>
      </c>
      <c r="C12" s="784"/>
      <c r="D12" s="784"/>
      <c r="E12" s="789"/>
      <c r="F12" s="789"/>
      <c r="G12" s="789"/>
      <c r="H12" s="789"/>
      <c r="I12" s="789"/>
      <c r="J12" s="789"/>
      <c r="K12" s="789"/>
      <c r="L12" s="789"/>
      <c r="M12" s="789"/>
      <c r="N12" s="789"/>
      <c r="O12" s="789"/>
      <c r="P12" s="789"/>
      <c r="Q12" s="789"/>
      <c r="R12" s="789"/>
      <c r="S12" s="789"/>
      <c r="T12" s="789"/>
      <c r="U12" s="789"/>
      <c r="V12" s="789"/>
      <c r="W12" s="789"/>
      <c r="X12" s="789"/>
      <c r="Y12" s="789"/>
      <c r="Z12" s="790"/>
      <c r="BA12" s="376"/>
      <c r="BB12" s="376"/>
      <c r="BC12" s="376"/>
      <c r="BD12" s="376"/>
    </row>
    <row r="13" spans="1:56" outlineLevel="1">
      <c r="B13" s="783" t="s">
        <v>1065</v>
      </c>
      <c r="C13" s="784"/>
      <c r="D13" s="784"/>
      <c r="E13" s="791" t="str">
        <f>IFERROR(E11/E12,"")</f>
        <v/>
      </c>
      <c r="F13" s="791" t="str">
        <f>IFERROR(F11/F12,"")</f>
        <v/>
      </c>
      <c r="G13" s="791" t="str">
        <f>IFERROR(G11/G12,"")</f>
        <v/>
      </c>
      <c r="H13" s="791" t="str">
        <f>IFERROR(H11/H12,"")</f>
        <v/>
      </c>
      <c r="I13" s="791"/>
      <c r="J13" s="791"/>
      <c r="K13" s="791" t="str">
        <f>IFERROR(K11/K12,"")</f>
        <v/>
      </c>
      <c r="L13" s="791"/>
      <c r="M13" s="791"/>
      <c r="N13" s="791"/>
      <c r="O13" s="791" t="str">
        <f>IFERROR(O11/O12,"")</f>
        <v/>
      </c>
      <c r="P13" s="791"/>
      <c r="Q13" s="791"/>
      <c r="R13" s="791"/>
      <c r="S13" s="791" t="str">
        <f>IFERROR(S11/S12,"")</f>
        <v/>
      </c>
      <c r="T13" s="791"/>
      <c r="U13" s="791"/>
      <c r="V13" s="791"/>
      <c r="W13" s="791" t="str">
        <f>IFERROR(W11/W12,"")</f>
        <v/>
      </c>
      <c r="X13" s="791"/>
      <c r="Y13" s="791"/>
      <c r="Z13" s="792"/>
      <c r="BA13" s="376"/>
      <c r="BB13" s="376"/>
      <c r="BC13" s="376"/>
      <c r="BD13" s="376"/>
    </row>
    <row r="14" spans="1:56" outlineLevel="1">
      <c r="B14" s="783" t="s">
        <v>1066</v>
      </c>
      <c r="C14" s="784"/>
      <c r="D14" s="784"/>
      <c r="E14" s="781"/>
      <c r="F14" s="781"/>
      <c r="G14" s="781"/>
      <c r="H14" s="781"/>
      <c r="I14" s="781"/>
      <c r="J14" s="781"/>
      <c r="K14" s="781"/>
      <c r="L14" s="781"/>
      <c r="M14" s="781"/>
      <c r="N14" s="781"/>
      <c r="O14" s="781"/>
      <c r="P14" s="781"/>
      <c r="Q14" s="781"/>
      <c r="R14" s="781"/>
      <c r="S14" s="781"/>
      <c r="T14" s="781"/>
      <c r="U14" s="781"/>
      <c r="V14" s="781"/>
      <c r="W14" s="781"/>
      <c r="X14" s="781"/>
      <c r="Y14" s="781"/>
      <c r="Z14" s="782"/>
      <c r="BA14" s="376"/>
      <c r="BB14" s="376"/>
      <c r="BC14" s="376"/>
      <c r="BD14" s="376"/>
    </row>
    <row r="15" spans="1:56" outlineLevel="1">
      <c r="B15" s="783" t="s">
        <v>1067</v>
      </c>
      <c r="C15" s="784"/>
      <c r="D15" s="784"/>
      <c r="E15" s="781"/>
      <c r="F15" s="781"/>
      <c r="G15" s="781"/>
      <c r="H15" s="781"/>
      <c r="I15" s="781"/>
      <c r="J15" s="781"/>
      <c r="K15" s="781"/>
      <c r="L15" s="781"/>
      <c r="M15" s="781"/>
      <c r="N15" s="781"/>
      <c r="O15" s="781"/>
      <c r="P15" s="781"/>
      <c r="Q15" s="781"/>
      <c r="R15" s="781"/>
      <c r="S15" s="781"/>
      <c r="T15" s="781"/>
      <c r="U15" s="781"/>
      <c r="V15" s="781"/>
      <c r="W15" s="781"/>
      <c r="X15" s="781"/>
      <c r="Y15" s="781"/>
      <c r="Z15" s="782"/>
      <c r="BA15" s="376"/>
      <c r="BB15" s="376"/>
      <c r="BC15" s="376"/>
      <c r="BD15" s="376"/>
    </row>
    <row r="16" spans="1:56" outlineLevel="1">
      <c r="B16" s="783" t="s">
        <v>1068</v>
      </c>
      <c r="C16" s="784"/>
      <c r="D16" s="784"/>
      <c r="E16" s="793"/>
      <c r="F16" s="793"/>
      <c r="G16" s="793"/>
      <c r="H16" s="793"/>
      <c r="I16" s="793"/>
      <c r="J16" s="793"/>
      <c r="K16" s="793"/>
      <c r="L16" s="793"/>
      <c r="M16" s="793"/>
      <c r="N16" s="793"/>
      <c r="O16" s="793"/>
      <c r="P16" s="793"/>
      <c r="Q16" s="793"/>
      <c r="R16" s="793"/>
      <c r="S16" s="793"/>
      <c r="T16" s="793"/>
      <c r="U16" s="793"/>
      <c r="V16" s="793"/>
      <c r="W16" s="793"/>
      <c r="X16" s="793"/>
      <c r="Y16" s="793"/>
      <c r="Z16" s="794"/>
      <c r="BA16" s="376"/>
      <c r="BB16" s="376"/>
      <c r="BC16" s="376"/>
      <c r="BD16" s="376"/>
    </row>
    <row r="17" spans="1:62" outlineLevel="1">
      <c r="B17" s="783" t="s">
        <v>1069</v>
      </c>
      <c r="C17" s="784"/>
      <c r="D17" s="784"/>
      <c r="E17" s="793"/>
      <c r="F17" s="793"/>
      <c r="G17" s="793"/>
      <c r="H17" s="793"/>
      <c r="I17" s="793"/>
      <c r="J17" s="793"/>
      <c r="K17" s="793"/>
      <c r="L17" s="793"/>
      <c r="M17" s="793"/>
      <c r="N17" s="793"/>
      <c r="O17" s="793"/>
      <c r="P17" s="793"/>
      <c r="Q17" s="793"/>
      <c r="R17" s="793"/>
      <c r="S17" s="793"/>
      <c r="T17" s="793"/>
      <c r="U17" s="793"/>
      <c r="V17" s="793"/>
      <c r="W17" s="793"/>
      <c r="X17" s="793"/>
      <c r="Y17" s="793"/>
      <c r="Z17" s="794"/>
      <c r="BA17" s="376"/>
      <c r="BB17" s="376"/>
      <c r="BC17" s="376"/>
      <c r="BD17" s="376"/>
    </row>
    <row r="18" spans="1:62" outlineLevel="1">
      <c r="B18" s="783" t="s">
        <v>1070</v>
      </c>
      <c r="C18" s="784"/>
      <c r="D18" s="784"/>
      <c r="E18" s="793"/>
      <c r="F18" s="793"/>
      <c r="G18" s="793"/>
      <c r="H18" s="793"/>
      <c r="I18" s="793"/>
      <c r="J18" s="793"/>
      <c r="K18" s="793"/>
      <c r="L18" s="793"/>
      <c r="M18" s="793"/>
      <c r="N18" s="793"/>
      <c r="O18" s="793"/>
      <c r="P18" s="793"/>
      <c r="Q18" s="793"/>
      <c r="R18" s="793"/>
      <c r="S18" s="793"/>
      <c r="T18" s="793"/>
      <c r="U18" s="793"/>
      <c r="V18" s="793"/>
      <c r="W18" s="793"/>
      <c r="X18" s="793"/>
      <c r="Y18" s="793"/>
      <c r="Z18" s="794"/>
      <c r="BA18" s="376"/>
      <c r="BB18" s="376"/>
      <c r="BC18" s="376"/>
      <c r="BD18" s="376"/>
    </row>
    <row r="19" spans="1:62" outlineLevel="1">
      <c r="B19" s="783" t="s">
        <v>1071</v>
      </c>
      <c r="C19" s="784"/>
      <c r="D19" s="784"/>
      <c r="E19" s="793"/>
      <c r="F19" s="793"/>
      <c r="G19" s="793"/>
      <c r="H19" s="793"/>
      <c r="I19" s="793"/>
      <c r="J19" s="793"/>
      <c r="K19" s="793"/>
      <c r="L19" s="793"/>
      <c r="M19" s="793"/>
      <c r="N19" s="793"/>
      <c r="O19" s="793"/>
      <c r="P19" s="793"/>
      <c r="Q19" s="793"/>
      <c r="R19" s="793"/>
      <c r="S19" s="793"/>
      <c r="T19" s="793"/>
      <c r="U19" s="793"/>
      <c r="V19" s="793"/>
      <c r="W19" s="793"/>
      <c r="X19" s="793"/>
      <c r="Y19" s="793"/>
      <c r="Z19" s="794"/>
      <c r="BA19" s="376"/>
      <c r="BB19" s="376"/>
      <c r="BC19" s="376"/>
      <c r="BD19" s="376"/>
    </row>
    <row r="20" spans="1:62" outlineLevel="1">
      <c r="B20" s="783" t="s">
        <v>1072</v>
      </c>
      <c r="C20" s="784"/>
      <c r="D20" s="784"/>
      <c r="E20" s="793"/>
      <c r="F20" s="793"/>
      <c r="G20" s="793"/>
      <c r="H20" s="793"/>
      <c r="I20" s="793"/>
      <c r="J20" s="793"/>
      <c r="K20" s="793"/>
      <c r="L20" s="793"/>
      <c r="M20" s="793"/>
      <c r="N20" s="793"/>
      <c r="O20" s="793"/>
      <c r="P20" s="793"/>
      <c r="Q20" s="793"/>
      <c r="R20" s="793"/>
      <c r="S20" s="793"/>
      <c r="T20" s="793"/>
      <c r="U20" s="793"/>
      <c r="V20" s="793"/>
      <c r="W20" s="793"/>
      <c r="X20" s="793"/>
      <c r="Y20" s="793"/>
      <c r="Z20" s="794"/>
      <c r="BA20" s="376"/>
      <c r="BB20" s="376"/>
      <c r="BC20" s="376"/>
      <c r="BD20" s="376"/>
    </row>
    <row r="21" spans="1:62" ht="13.5" outlineLevel="1" thickBot="1">
      <c r="B21" s="802" t="s">
        <v>1073</v>
      </c>
      <c r="C21" s="803"/>
      <c r="D21" s="803"/>
      <c r="E21" s="804"/>
      <c r="F21" s="804"/>
      <c r="G21" s="804"/>
      <c r="H21" s="804"/>
      <c r="I21" s="804"/>
      <c r="J21" s="804"/>
      <c r="K21" s="804"/>
      <c r="L21" s="804"/>
      <c r="M21" s="804"/>
      <c r="N21" s="804"/>
      <c r="O21" s="804"/>
      <c r="P21" s="804"/>
      <c r="Q21" s="804"/>
      <c r="R21" s="804"/>
      <c r="S21" s="804"/>
      <c r="T21" s="804"/>
      <c r="U21" s="804"/>
      <c r="V21" s="804"/>
      <c r="W21" s="804"/>
      <c r="X21" s="804"/>
      <c r="Y21" s="804"/>
      <c r="Z21" s="805"/>
      <c r="BA21" s="376"/>
      <c r="BB21" s="376"/>
      <c r="BC21" s="376"/>
      <c r="BD21" s="376"/>
    </row>
    <row r="22" spans="1:62" ht="13.5" outlineLevel="1" thickBot="1"/>
    <row r="23" spans="1:62" ht="19.5" thickBot="1">
      <c r="B23" s="814" t="s">
        <v>1074</v>
      </c>
      <c r="C23" s="815"/>
      <c r="D23" s="815"/>
      <c r="E23" s="815"/>
      <c r="F23" s="815"/>
      <c r="G23" s="815"/>
      <c r="H23" s="815"/>
      <c r="I23" s="815"/>
      <c r="J23" s="815"/>
      <c r="K23" s="815"/>
      <c r="L23" s="815"/>
      <c r="M23" s="815"/>
      <c r="N23" s="816"/>
      <c r="O23" s="814" t="s">
        <v>1075</v>
      </c>
      <c r="P23" s="815"/>
      <c r="Q23" s="815"/>
      <c r="R23" s="815"/>
      <c r="S23" s="815"/>
      <c r="T23" s="815"/>
      <c r="U23" s="815"/>
      <c r="V23" s="815"/>
      <c r="W23" s="815"/>
      <c r="X23" s="815"/>
      <c r="Y23" s="815"/>
      <c r="Z23" s="815"/>
      <c r="AA23" s="815"/>
      <c r="AB23" s="815"/>
      <c r="AC23" s="815"/>
      <c r="AD23" s="815"/>
      <c r="AE23" s="815"/>
      <c r="AF23" s="815"/>
      <c r="AG23" s="815"/>
      <c r="AH23" s="815"/>
      <c r="AI23" s="815"/>
      <c r="AJ23" s="815"/>
      <c r="AK23" s="815"/>
      <c r="AL23" s="815"/>
      <c r="AM23" s="815"/>
      <c r="AN23" s="815"/>
      <c r="AO23" s="815"/>
      <c r="AP23" s="815"/>
      <c r="AQ23" s="815"/>
      <c r="AR23" s="815"/>
      <c r="AS23" s="815"/>
      <c r="AT23" s="815"/>
      <c r="AU23" s="815"/>
      <c r="AV23" s="815"/>
      <c r="AW23" s="815"/>
      <c r="AX23" s="815"/>
      <c r="AY23" s="815"/>
      <c r="AZ23" s="815"/>
      <c r="BA23" s="815"/>
      <c r="BB23" s="815"/>
      <c r="BC23" s="816"/>
    </row>
    <row r="24" spans="1:62" s="379" customFormat="1" ht="15">
      <c r="A24" s="377"/>
      <c r="B24" s="817" t="s">
        <v>1076</v>
      </c>
      <c r="C24" s="798" t="s">
        <v>1077</v>
      </c>
      <c r="D24" s="798" t="s">
        <v>1078</v>
      </c>
      <c r="E24" s="800" t="s">
        <v>1079</v>
      </c>
      <c r="F24" s="819" t="s">
        <v>1080</v>
      </c>
      <c r="G24" s="819" t="s">
        <v>1081</v>
      </c>
      <c r="H24" s="798" t="s">
        <v>1082</v>
      </c>
      <c r="I24" s="821" t="s">
        <v>1083</v>
      </c>
      <c r="J24" s="798" t="s">
        <v>1084</v>
      </c>
      <c r="K24" s="800" t="s">
        <v>1085</v>
      </c>
      <c r="L24" s="806" t="s">
        <v>1086</v>
      </c>
      <c r="M24" s="807"/>
      <c r="N24" s="808" t="s">
        <v>1087</v>
      </c>
      <c r="O24" s="810" t="s">
        <v>989</v>
      </c>
      <c r="P24" s="810"/>
      <c r="Q24" s="811"/>
      <c r="R24" s="812"/>
      <c r="S24" s="813">
        <v>44470</v>
      </c>
      <c r="T24" s="796"/>
      <c r="U24" s="797"/>
      <c r="V24" s="795">
        <f>EDATE(S24,-1)</f>
        <v>44440</v>
      </c>
      <c r="W24" s="796"/>
      <c r="X24" s="797"/>
      <c r="Y24" s="795">
        <f>EDATE(V24,-1)</f>
        <v>44409</v>
      </c>
      <c r="Z24" s="796"/>
      <c r="AA24" s="797"/>
      <c r="AB24" s="795">
        <f>EDATE(Y24,-1)</f>
        <v>44378</v>
      </c>
      <c r="AC24" s="796"/>
      <c r="AD24" s="797"/>
      <c r="AE24" s="795">
        <f>EDATE(AB24,-1)</f>
        <v>44348</v>
      </c>
      <c r="AF24" s="796"/>
      <c r="AG24" s="797"/>
      <c r="AH24" s="795">
        <f>EDATE(AE24,-1)</f>
        <v>44317</v>
      </c>
      <c r="AI24" s="796"/>
      <c r="AJ24" s="797"/>
      <c r="AK24" s="795">
        <f>EDATE(AH24,-1)</f>
        <v>44287</v>
      </c>
      <c r="AL24" s="796"/>
      <c r="AM24" s="797"/>
      <c r="AN24" s="795">
        <f>EDATE(AK24,-1)</f>
        <v>44256</v>
      </c>
      <c r="AO24" s="796"/>
      <c r="AP24" s="797"/>
      <c r="AQ24" s="795">
        <f>EDATE(AN24,-1)</f>
        <v>44228</v>
      </c>
      <c r="AR24" s="796"/>
      <c r="AS24" s="797"/>
      <c r="AT24" s="795">
        <f>EDATE(AQ24,-1)</f>
        <v>44197</v>
      </c>
      <c r="AU24" s="796"/>
      <c r="AV24" s="797"/>
      <c r="AW24" s="795">
        <f>EDATE(AT24,-1)</f>
        <v>44166</v>
      </c>
      <c r="AX24" s="796"/>
      <c r="AY24" s="797"/>
      <c r="AZ24" s="795">
        <f>EDATE(AW24,-1)</f>
        <v>44136</v>
      </c>
      <c r="BA24" s="796"/>
      <c r="BB24" s="797"/>
      <c r="BC24" s="823" t="s">
        <v>1088</v>
      </c>
      <c r="BD24" s="378"/>
    </row>
    <row r="25" spans="1:62" s="379" customFormat="1" ht="45">
      <c r="A25" s="377"/>
      <c r="B25" s="818"/>
      <c r="C25" s="799"/>
      <c r="D25" s="799"/>
      <c r="E25" s="801"/>
      <c r="F25" s="820"/>
      <c r="G25" s="820"/>
      <c r="H25" s="799"/>
      <c r="I25" s="822"/>
      <c r="J25" s="799"/>
      <c r="K25" s="801"/>
      <c r="L25" s="806"/>
      <c r="M25" s="807"/>
      <c r="N25" s="809"/>
      <c r="O25" s="383" t="s">
        <v>1089</v>
      </c>
      <c r="P25" s="383" t="s">
        <v>1090</v>
      </c>
      <c r="Q25" s="384" t="s">
        <v>1091</v>
      </c>
      <c r="R25" s="385" t="s">
        <v>1092</v>
      </c>
      <c r="S25" s="386" t="s">
        <v>638</v>
      </c>
      <c r="T25" s="387" t="s">
        <v>1081</v>
      </c>
      <c r="U25" s="385" t="s">
        <v>1093</v>
      </c>
      <c r="V25" s="388" t="s">
        <v>638</v>
      </c>
      <c r="W25" s="387" t="s">
        <v>1081</v>
      </c>
      <c r="X25" s="385" t="s">
        <v>1093</v>
      </c>
      <c r="Y25" s="388" t="s">
        <v>638</v>
      </c>
      <c r="Z25" s="387" t="s">
        <v>1081</v>
      </c>
      <c r="AA25" s="385" t="s">
        <v>1093</v>
      </c>
      <c r="AB25" s="388" t="s">
        <v>638</v>
      </c>
      <c r="AC25" s="387" t="s">
        <v>1081</v>
      </c>
      <c r="AD25" s="385" t="s">
        <v>1093</v>
      </c>
      <c r="AE25" s="388" t="s">
        <v>638</v>
      </c>
      <c r="AF25" s="387" t="s">
        <v>1081</v>
      </c>
      <c r="AG25" s="389" t="s">
        <v>1094</v>
      </c>
      <c r="AH25" s="388" t="s">
        <v>638</v>
      </c>
      <c r="AI25" s="387" t="s">
        <v>1081</v>
      </c>
      <c r="AJ25" s="385" t="s">
        <v>1093</v>
      </c>
      <c r="AK25" s="388" t="s">
        <v>638</v>
      </c>
      <c r="AL25" s="387" t="s">
        <v>1081</v>
      </c>
      <c r="AM25" s="385" t="s">
        <v>1093</v>
      </c>
      <c r="AN25" s="388" t="s">
        <v>638</v>
      </c>
      <c r="AO25" s="387" t="s">
        <v>1081</v>
      </c>
      <c r="AP25" s="385" t="s">
        <v>1093</v>
      </c>
      <c r="AQ25" s="388" t="s">
        <v>638</v>
      </c>
      <c r="AR25" s="387" t="s">
        <v>1081</v>
      </c>
      <c r="AS25" s="385" t="s">
        <v>1093</v>
      </c>
      <c r="AT25" s="388" t="s">
        <v>638</v>
      </c>
      <c r="AU25" s="387" t="s">
        <v>1081</v>
      </c>
      <c r="AV25" s="385" t="s">
        <v>1093</v>
      </c>
      <c r="AW25" s="388" t="s">
        <v>638</v>
      </c>
      <c r="AX25" s="387" t="s">
        <v>1081</v>
      </c>
      <c r="AY25" s="385" t="s">
        <v>1093</v>
      </c>
      <c r="AZ25" s="388" t="s">
        <v>638</v>
      </c>
      <c r="BA25" s="387" t="s">
        <v>1081</v>
      </c>
      <c r="BB25" s="385" t="s">
        <v>1093</v>
      </c>
      <c r="BC25" s="823"/>
      <c r="BD25" s="378"/>
    </row>
    <row r="26" spans="1:62">
      <c r="A26" s="374" t="s">
        <v>1232</v>
      </c>
      <c r="B26" s="390">
        <v>1</v>
      </c>
      <c r="C26" s="391"/>
      <c r="D26" s="391" t="s">
        <v>1223</v>
      </c>
      <c r="E26" s="392"/>
      <c r="F26" s="392"/>
      <c r="G26" s="393">
        <v>139820</v>
      </c>
      <c r="H26" s="394"/>
      <c r="I26" s="392"/>
      <c r="J26" s="391"/>
      <c r="K26" s="395"/>
      <c r="L26" s="396" t="s">
        <v>1231</v>
      </c>
      <c r="M26" s="397"/>
      <c r="N26" s="391" t="s">
        <v>1230</v>
      </c>
      <c r="O26" s="398">
        <f t="shared" ref="O26:O35" si="0">IF($G26&lt;&gt;"",COUNT($S26,$V26,$Y26,$AB26,$AE26,$AH26,$AK26,$AN26,$AQ26,$AT26,$AW26,$AZ26),"")</f>
        <v>0</v>
      </c>
      <c r="P26" s="398"/>
      <c r="Q26" s="399">
        <f t="shared" ref="Q26:Q35" si="1">IF($G26&lt;&gt;"",SUM($T26,$W26,$Z26,$AC26,$AF26,$AI26,$AL26,$AO26,$AR26,$AU26,$AX26,$BA26),"")</f>
        <v>0</v>
      </c>
      <c r="R26" s="400">
        <f t="shared" ref="R26:R35" si="2">IF($G26&lt;&gt;"",IFERROR(AVERAGE($U26,$X26,$AA26,$AD26,$AG26,$AJ26,$AM26,$AP26,$AS26,$AV26,$AY26,$BB26),""),"")</f>
        <v>2118613.0300000003</v>
      </c>
      <c r="S26" s="391"/>
      <c r="T26" s="392"/>
      <c r="U26" s="399"/>
      <c r="V26" s="391"/>
      <c r="W26" s="392"/>
      <c r="X26" s="399"/>
      <c r="Y26" s="391"/>
      <c r="Z26" s="392"/>
      <c r="AA26" s="399"/>
      <c r="AB26" s="391"/>
      <c r="AC26" s="392"/>
      <c r="AD26" s="399"/>
      <c r="AE26" s="391"/>
      <c r="AF26" s="392"/>
      <c r="AG26" s="399"/>
      <c r="AH26" s="391"/>
      <c r="AI26" s="392"/>
      <c r="AJ26" s="399"/>
      <c r="AK26" s="391"/>
      <c r="AL26" s="392"/>
      <c r="AM26" s="399"/>
      <c r="AN26" s="391"/>
      <c r="AO26" s="392"/>
      <c r="AP26" s="399"/>
      <c r="AQ26" s="391"/>
      <c r="AR26" s="392"/>
      <c r="AS26" s="399"/>
      <c r="AT26" s="391"/>
      <c r="AU26" s="392"/>
      <c r="AV26" s="399"/>
      <c r="AW26" s="391"/>
      <c r="AX26" s="392"/>
      <c r="AY26" s="399"/>
      <c r="AZ26" s="391"/>
      <c r="BA26" s="392"/>
      <c r="BB26" s="399">
        <v>2118613.0300000003</v>
      </c>
      <c r="BC26" s="401"/>
      <c r="BJ26" s="376" t="s">
        <v>1233</v>
      </c>
    </row>
    <row r="27" spans="1:62">
      <c r="A27" s="374" t="s">
        <v>1232</v>
      </c>
      <c r="B27" s="390">
        <v>2</v>
      </c>
      <c r="C27" s="530"/>
      <c r="D27" s="391" t="s">
        <v>1224</v>
      </c>
      <c r="E27" s="531"/>
      <c r="F27" s="532"/>
      <c r="G27" s="533">
        <v>26740</v>
      </c>
      <c r="H27" s="534"/>
      <c r="I27" s="403"/>
      <c r="J27" s="402"/>
      <c r="K27" s="395"/>
      <c r="L27" s="535" t="s">
        <v>1231</v>
      </c>
      <c r="M27" s="536"/>
      <c r="N27" s="402" t="s">
        <v>1230</v>
      </c>
      <c r="O27" s="398">
        <f t="shared" ref="O27:O32" si="3">IF($G27&lt;&gt;"",COUNT($S27,$V27,$Y27,$AB27,$AE27,$AH27,$AK27,$AN27,$AQ27,$AT27,$AW27,$AZ27),"")</f>
        <v>0</v>
      </c>
      <c r="P27" s="398"/>
      <c r="Q27" s="399">
        <f t="shared" ref="Q27:Q32" si="4">IF($G27&lt;&gt;"",SUM($T27,$W27,$Z27,$AC27,$AF27,$AI27,$AL27,$AO27,$AR27,$AU27,$AX27,$BA27),"")</f>
        <v>0</v>
      </c>
      <c r="R27" s="399">
        <f t="shared" ref="R27:R32" si="5">IF($G27&lt;&gt;"",IFERROR(AVERAGE($U27,$X27,$AA27,$AD27,$AG27,$AJ27,$AM27,$AP27,$AS27,$AV27,$AY27,$BB27),""),"")</f>
        <v>2299087.605454545</v>
      </c>
      <c r="S27" s="537"/>
      <c r="T27" s="392"/>
      <c r="U27" s="400"/>
      <c r="V27" s="537"/>
      <c r="W27" s="392"/>
      <c r="X27" s="399"/>
      <c r="Y27" s="537"/>
      <c r="Z27" s="392"/>
      <c r="AA27" s="399"/>
      <c r="AB27" s="537"/>
      <c r="AC27" s="392"/>
      <c r="AD27" s="399"/>
      <c r="AE27" s="537"/>
      <c r="AF27" s="392"/>
      <c r="AG27" s="399"/>
      <c r="AH27" s="537"/>
      <c r="AI27" s="392"/>
      <c r="AJ27" s="399"/>
      <c r="AK27" s="537"/>
      <c r="AL27" s="392"/>
      <c r="AM27" s="399"/>
      <c r="AN27" s="537"/>
      <c r="AO27" s="392"/>
      <c r="AP27" s="399"/>
      <c r="AQ27" s="537"/>
      <c r="AR27" s="392"/>
      <c r="AS27" s="399"/>
      <c r="AT27" s="537"/>
      <c r="AU27" s="392"/>
      <c r="AV27" s="399"/>
      <c r="AW27" s="537"/>
      <c r="AX27" s="392"/>
      <c r="AY27" s="399"/>
      <c r="AZ27" s="537"/>
      <c r="BA27" s="392"/>
      <c r="BB27" s="399">
        <v>2299087.605454545</v>
      </c>
      <c r="BC27" s="407"/>
      <c r="BJ27" s="376" t="s">
        <v>1233</v>
      </c>
    </row>
    <row r="28" spans="1:62">
      <c r="A28" s="374" t="s">
        <v>1232</v>
      </c>
      <c r="B28" s="390">
        <v>3</v>
      </c>
      <c r="C28" s="530"/>
      <c r="D28" s="391" t="s">
        <v>1225</v>
      </c>
      <c r="E28" s="531"/>
      <c r="F28" s="532"/>
      <c r="G28" s="533">
        <v>917</v>
      </c>
      <c r="H28" s="534"/>
      <c r="I28" s="403"/>
      <c r="J28" s="402"/>
      <c r="K28" s="395"/>
      <c r="L28" s="535" t="s">
        <v>1231</v>
      </c>
      <c r="M28" s="536"/>
      <c r="N28" s="402" t="s">
        <v>1230</v>
      </c>
      <c r="O28" s="398">
        <f t="shared" si="3"/>
        <v>0</v>
      </c>
      <c r="P28" s="398"/>
      <c r="Q28" s="399">
        <f t="shared" si="4"/>
        <v>0</v>
      </c>
      <c r="R28" s="399">
        <f t="shared" si="5"/>
        <v>1711808.8785714288</v>
      </c>
      <c r="S28" s="537"/>
      <c r="T28" s="392"/>
      <c r="U28" s="400"/>
      <c r="V28" s="537"/>
      <c r="W28" s="392"/>
      <c r="X28" s="399"/>
      <c r="Y28" s="537"/>
      <c r="Z28" s="392"/>
      <c r="AA28" s="399"/>
      <c r="AB28" s="537"/>
      <c r="AC28" s="392"/>
      <c r="AD28" s="399"/>
      <c r="AE28" s="537"/>
      <c r="AF28" s="392"/>
      <c r="AG28" s="399"/>
      <c r="AH28" s="537"/>
      <c r="AI28" s="392"/>
      <c r="AJ28" s="399"/>
      <c r="AK28" s="537"/>
      <c r="AL28" s="392"/>
      <c r="AM28" s="399"/>
      <c r="AN28" s="537"/>
      <c r="AO28" s="392"/>
      <c r="AP28" s="399"/>
      <c r="AQ28" s="537"/>
      <c r="AR28" s="392"/>
      <c r="AS28" s="399"/>
      <c r="AT28" s="537"/>
      <c r="AU28" s="392"/>
      <c r="AV28" s="399"/>
      <c r="AW28" s="537"/>
      <c r="AX28" s="392"/>
      <c r="AY28" s="399"/>
      <c r="AZ28" s="537"/>
      <c r="BA28" s="392"/>
      <c r="BB28" s="399">
        <v>1711808.8785714288</v>
      </c>
      <c r="BC28" s="407"/>
      <c r="BJ28" s="376" t="s">
        <v>1233</v>
      </c>
    </row>
    <row r="29" spans="1:62">
      <c r="A29" s="374" t="s">
        <v>1232</v>
      </c>
      <c r="B29" s="390">
        <v>4</v>
      </c>
      <c r="C29" s="530"/>
      <c r="D29" s="391" t="s">
        <v>1226</v>
      </c>
      <c r="E29" s="531"/>
      <c r="F29" s="532"/>
      <c r="G29" s="533">
        <v>4089</v>
      </c>
      <c r="H29" s="534"/>
      <c r="I29" s="403"/>
      <c r="J29" s="402"/>
      <c r="K29" s="395"/>
      <c r="L29" s="535" t="s">
        <v>1231</v>
      </c>
      <c r="M29" s="536"/>
      <c r="N29" s="402" t="s">
        <v>1230</v>
      </c>
      <c r="O29" s="398">
        <f t="shared" si="3"/>
        <v>0</v>
      </c>
      <c r="P29" s="398"/>
      <c r="Q29" s="399">
        <f t="shared" si="4"/>
        <v>0</v>
      </c>
      <c r="R29" s="399">
        <f t="shared" si="5"/>
        <v>2866994.9249999998</v>
      </c>
      <c r="S29" s="537"/>
      <c r="T29" s="392"/>
      <c r="U29" s="400"/>
      <c r="V29" s="537"/>
      <c r="W29" s="392"/>
      <c r="X29" s="399"/>
      <c r="Y29" s="537"/>
      <c r="Z29" s="392"/>
      <c r="AA29" s="399"/>
      <c r="AB29" s="537"/>
      <c r="AC29" s="392"/>
      <c r="AD29" s="399"/>
      <c r="AE29" s="537"/>
      <c r="AF29" s="392"/>
      <c r="AG29" s="399"/>
      <c r="AH29" s="537"/>
      <c r="AI29" s="392"/>
      <c r="AJ29" s="399"/>
      <c r="AK29" s="537"/>
      <c r="AL29" s="392"/>
      <c r="AM29" s="399"/>
      <c r="AN29" s="537"/>
      <c r="AO29" s="392"/>
      <c r="AP29" s="399"/>
      <c r="AQ29" s="537"/>
      <c r="AR29" s="392"/>
      <c r="AS29" s="399"/>
      <c r="AT29" s="537"/>
      <c r="AU29" s="392"/>
      <c r="AV29" s="399"/>
      <c r="AW29" s="537"/>
      <c r="AX29" s="392"/>
      <c r="AY29" s="399"/>
      <c r="AZ29" s="537"/>
      <c r="BA29" s="392"/>
      <c r="BB29" s="399">
        <v>2866994.9249999998</v>
      </c>
      <c r="BC29" s="407"/>
      <c r="BJ29" s="376" t="s">
        <v>1233</v>
      </c>
    </row>
    <row r="30" spans="1:62">
      <c r="A30" s="374" t="s">
        <v>1232</v>
      </c>
      <c r="B30" s="390">
        <v>5</v>
      </c>
      <c r="C30" s="530"/>
      <c r="D30" s="391" t="s">
        <v>1227</v>
      </c>
      <c r="E30" s="531"/>
      <c r="F30" s="532"/>
      <c r="G30" s="533">
        <v>140422</v>
      </c>
      <c r="H30" s="534"/>
      <c r="I30" s="403"/>
      <c r="J30" s="402"/>
      <c r="K30" s="395"/>
      <c r="L30" s="535" t="s">
        <v>38</v>
      </c>
      <c r="M30" s="536">
        <v>140422</v>
      </c>
      <c r="N30" s="402" t="s">
        <v>1230</v>
      </c>
      <c r="O30" s="398">
        <f t="shared" si="3"/>
        <v>0</v>
      </c>
      <c r="P30" s="398"/>
      <c r="Q30" s="399">
        <f t="shared" si="4"/>
        <v>0</v>
      </c>
      <c r="R30" s="399">
        <f t="shared" si="5"/>
        <v>2788602.3333333335</v>
      </c>
      <c r="S30" s="537"/>
      <c r="T30" s="392"/>
      <c r="U30" s="400"/>
      <c r="V30" s="537"/>
      <c r="W30" s="392"/>
      <c r="X30" s="399"/>
      <c r="Y30" s="537"/>
      <c r="Z30" s="392"/>
      <c r="AA30" s="399"/>
      <c r="AB30" s="537"/>
      <c r="AC30" s="392"/>
      <c r="AD30" s="399"/>
      <c r="AE30" s="537"/>
      <c r="AF30" s="392"/>
      <c r="AG30" s="399"/>
      <c r="AH30" s="537"/>
      <c r="AI30" s="392"/>
      <c r="AJ30" s="399"/>
      <c r="AK30" s="537"/>
      <c r="AL30" s="392"/>
      <c r="AM30" s="399"/>
      <c r="AN30" s="537"/>
      <c r="AO30" s="392"/>
      <c r="AP30" s="399"/>
      <c r="AQ30" s="537"/>
      <c r="AR30" s="392"/>
      <c r="AS30" s="399"/>
      <c r="AT30" s="537"/>
      <c r="AU30" s="392"/>
      <c r="AV30" s="399"/>
      <c r="AW30" s="537"/>
      <c r="AX30" s="392"/>
      <c r="AY30" s="399"/>
      <c r="AZ30" s="537"/>
      <c r="BA30" s="392"/>
      <c r="BB30" s="399">
        <v>2788602.3333333335</v>
      </c>
      <c r="BC30" s="407">
        <v>5</v>
      </c>
      <c r="BJ30" s="376" t="s">
        <v>1233</v>
      </c>
    </row>
    <row r="31" spans="1:62">
      <c r="A31" s="374" t="s">
        <v>1232</v>
      </c>
      <c r="B31" s="390">
        <v>6</v>
      </c>
      <c r="C31" s="530"/>
      <c r="D31" s="391" t="s">
        <v>1228</v>
      </c>
      <c r="E31" s="531"/>
      <c r="F31" s="532"/>
      <c r="G31" s="533">
        <v>4196</v>
      </c>
      <c r="H31" s="534"/>
      <c r="I31" s="403"/>
      <c r="J31" s="402"/>
      <c r="K31" s="395"/>
      <c r="L31" s="535" t="s">
        <v>1231</v>
      </c>
      <c r="M31" s="536"/>
      <c r="N31" s="402" t="s">
        <v>1230</v>
      </c>
      <c r="O31" s="398">
        <f t="shared" si="3"/>
        <v>0</v>
      </c>
      <c r="P31" s="398"/>
      <c r="Q31" s="399">
        <f t="shared" si="4"/>
        <v>0</v>
      </c>
      <c r="R31" s="399">
        <f t="shared" si="5"/>
        <v>2858672.8774999999</v>
      </c>
      <c r="S31" s="537"/>
      <c r="T31" s="392"/>
      <c r="U31" s="400"/>
      <c r="V31" s="537"/>
      <c r="W31" s="392"/>
      <c r="X31" s="399"/>
      <c r="Y31" s="537"/>
      <c r="Z31" s="392"/>
      <c r="AA31" s="399"/>
      <c r="AB31" s="537"/>
      <c r="AC31" s="392"/>
      <c r="AD31" s="399"/>
      <c r="AE31" s="537"/>
      <c r="AF31" s="392"/>
      <c r="AG31" s="399"/>
      <c r="AH31" s="537"/>
      <c r="AI31" s="392"/>
      <c r="AJ31" s="399"/>
      <c r="AK31" s="537"/>
      <c r="AL31" s="392"/>
      <c r="AM31" s="399"/>
      <c r="AN31" s="537"/>
      <c r="AO31" s="392"/>
      <c r="AP31" s="399"/>
      <c r="AQ31" s="537"/>
      <c r="AR31" s="392"/>
      <c r="AS31" s="399"/>
      <c r="AT31" s="537"/>
      <c r="AU31" s="392"/>
      <c r="AV31" s="399"/>
      <c r="AW31" s="537"/>
      <c r="AX31" s="392"/>
      <c r="AY31" s="399"/>
      <c r="AZ31" s="537"/>
      <c r="BA31" s="392"/>
      <c r="BB31" s="399">
        <v>2858672.8774999999</v>
      </c>
      <c r="BC31" s="407"/>
      <c r="BJ31" s="376" t="s">
        <v>1233</v>
      </c>
    </row>
    <row r="32" spans="1:62">
      <c r="B32" s="390"/>
      <c r="C32" s="530"/>
      <c r="D32" s="391"/>
      <c r="E32" s="531"/>
      <c r="F32" s="532"/>
      <c r="G32" s="533"/>
      <c r="H32" s="534"/>
      <c r="I32" s="403"/>
      <c r="J32" s="402"/>
      <c r="K32" s="395" t="str">
        <f ca="1">IFERROR(IF(J32&lt;(TODAY()-H32)/30,"",J32-((TODAY()-H32)/30)+1),"")</f>
        <v/>
      </c>
      <c r="L32" s="535"/>
      <c r="M32" s="536" t="str">
        <f ca="1">IF(OR(L32="Yes",AND(K32&gt;1,K32&lt;&gt;"")),G32,"")</f>
        <v/>
      </c>
      <c r="N32" s="402"/>
      <c r="O32" s="398" t="str">
        <f t="shared" si="3"/>
        <v/>
      </c>
      <c r="P32" s="398"/>
      <c r="Q32" s="399" t="str">
        <f t="shared" si="4"/>
        <v/>
      </c>
      <c r="R32" s="399" t="str">
        <f t="shared" si="5"/>
        <v/>
      </c>
      <c r="S32" s="537"/>
      <c r="T32" s="392"/>
      <c r="U32" s="400"/>
      <c r="V32" s="537"/>
      <c r="W32" s="392"/>
      <c r="X32" s="399"/>
      <c r="Y32" s="537"/>
      <c r="Z32" s="392"/>
      <c r="AA32" s="399"/>
      <c r="AB32" s="537"/>
      <c r="AC32" s="392"/>
      <c r="AD32" s="399"/>
      <c r="AE32" s="537"/>
      <c r="AF32" s="392"/>
      <c r="AG32" s="399"/>
      <c r="AH32" s="537"/>
      <c r="AI32" s="392"/>
      <c r="AJ32" s="399"/>
      <c r="AK32" s="537"/>
      <c r="AL32" s="392"/>
      <c r="AM32" s="399"/>
      <c r="AN32" s="537"/>
      <c r="AO32" s="392"/>
      <c r="AP32" s="399"/>
      <c r="AQ32" s="537"/>
      <c r="AR32" s="392"/>
      <c r="AS32" s="399"/>
      <c r="AT32" s="537"/>
      <c r="AU32" s="392"/>
      <c r="AV32" s="399"/>
      <c r="AW32" s="537"/>
      <c r="AX32" s="392"/>
      <c r="AY32" s="399"/>
      <c r="AZ32" s="537"/>
      <c r="BA32" s="392"/>
      <c r="BB32" s="399"/>
      <c r="BC32" s="407"/>
    </row>
    <row r="33" spans="2:55">
      <c r="B33" s="390"/>
      <c r="C33" s="402"/>
      <c r="D33" s="391"/>
      <c r="E33" s="403"/>
      <c r="F33" s="392"/>
      <c r="G33" s="404"/>
      <c r="H33" s="405"/>
      <c r="I33" s="403"/>
      <c r="J33" s="402"/>
      <c r="K33" s="395" t="str">
        <f ca="1">IFERROR(IF(J33&lt;(TODAY()-H33)/30,"",J33-((TODAY()-H33)/30)+1),"")</f>
        <v/>
      </c>
      <c r="L33" s="406"/>
      <c r="M33" s="397" t="str">
        <f t="shared" ref="M33:M35" ca="1" si="6">IF(OR(L33="Yes",AND(K33&gt;1,K33&lt;&gt;"")),G33,"")</f>
        <v/>
      </c>
      <c r="N33" s="402"/>
      <c r="O33" s="398" t="str">
        <f t="shared" si="0"/>
        <v/>
      </c>
      <c r="P33" s="398"/>
      <c r="Q33" s="399" t="str">
        <f t="shared" si="1"/>
        <v/>
      </c>
      <c r="R33" s="400" t="str">
        <f t="shared" si="2"/>
        <v/>
      </c>
      <c r="S33" s="391"/>
      <c r="T33" s="392"/>
      <c r="U33" s="399"/>
      <c r="V33" s="391"/>
      <c r="W33" s="392"/>
      <c r="X33" s="399"/>
      <c r="Y33" s="391"/>
      <c r="Z33" s="392"/>
      <c r="AA33" s="399"/>
      <c r="AB33" s="391"/>
      <c r="AC33" s="392"/>
      <c r="AD33" s="399"/>
      <c r="AE33" s="391"/>
      <c r="AF33" s="392"/>
      <c r="AG33" s="399"/>
      <c r="AH33" s="391"/>
      <c r="AI33" s="392"/>
      <c r="AJ33" s="399"/>
      <c r="AK33" s="391"/>
      <c r="AL33" s="392"/>
      <c r="AM33" s="399"/>
      <c r="AN33" s="391"/>
      <c r="AO33" s="392"/>
      <c r="AP33" s="399"/>
      <c r="AQ33" s="391"/>
      <c r="AR33" s="392"/>
      <c r="AS33" s="399"/>
      <c r="AT33" s="391"/>
      <c r="AU33" s="392"/>
      <c r="AV33" s="399"/>
      <c r="AW33" s="391"/>
      <c r="AX33" s="392"/>
      <c r="AY33" s="399"/>
      <c r="AZ33" s="391"/>
      <c r="BA33" s="392"/>
      <c r="BB33" s="399"/>
      <c r="BC33" s="407"/>
    </row>
    <row r="34" spans="2:55">
      <c r="B34" s="390"/>
      <c r="C34" s="402"/>
      <c r="D34" s="391"/>
      <c r="E34" s="403"/>
      <c r="F34" s="392"/>
      <c r="G34" s="404"/>
      <c r="H34" s="405"/>
      <c r="I34" s="403"/>
      <c r="J34" s="402"/>
      <c r="K34" s="395" t="str">
        <f ca="1">IFERROR(IF(J34&lt;(TODAY()-H34)/30,"",J34-((TODAY()-H34)/30)+1),"")</f>
        <v/>
      </c>
      <c r="L34" s="406"/>
      <c r="M34" s="397" t="str">
        <f t="shared" ca="1" si="6"/>
        <v/>
      </c>
      <c r="N34" s="402"/>
      <c r="O34" s="398" t="str">
        <f t="shared" si="0"/>
        <v/>
      </c>
      <c r="P34" s="398"/>
      <c r="Q34" s="399" t="str">
        <f t="shared" si="1"/>
        <v/>
      </c>
      <c r="R34" s="399" t="str">
        <f t="shared" si="2"/>
        <v/>
      </c>
      <c r="S34" s="391"/>
      <c r="T34" s="392"/>
      <c r="U34" s="399"/>
      <c r="V34" s="391"/>
      <c r="W34" s="392"/>
      <c r="X34" s="399"/>
      <c r="Y34" s="391"/>
      <c r="Z34" s="392"/>
      <c r="AA34" s="399"/>
      <c r="AB34" s="391"/>
      <c r="AC34" s="392"/>
      <c r="AD34" s="399"/>
      <c r="AE34" s="391"/>
      <c r="AF34" s="392"/>
      <c r="AG34" s="399"/>
      <c r="AH34" s="391"/>
      <c r="AI34" s="392"/>
      <c r="AJ34" s="399"/>
      <c r="AK34" s="391"/>
      <c r="AL34" s="392"/>
      <c r="AM34" s="399"/>
      <c r="AN34" s="391"/>
      <c r="AO34" s="392"/>
      <c r="AP34" s="399"/>
      <c r="AQ34" s="391"/>
      <c r="AR34" s="392"/>
      <c r="AS34" s="399"/>
      <c r="AT34" s="391"/>
      <c r="AU34" s="392"/>
      <c r="AV34" s="399"/>
      <c r="AW34" s="391"/>
      <c r="AX34" s="392"/>
      <c r="AY34" s="399"/>
      <c r="AZ34" s="391"/>
      <c r="BA34" s="392"/>
      <c r="BB34" s="399"/>
      <c r="BC34" s="407"/>
    </row>
    <row r="35" spans="2:55" ht="13.5" thickBot="1">
      <c r="B35" s="390"/>
      <c r="C35" s="402"/>
      <c r="D35" s="391"/>
      <c r="E35" s="403"/>
      <c r="F35" s="392"/>
      <c r="G35" s="404"/>
      <c r="H35" s="405"/>
      <c r="I35" s="403"/>
      <c r="J35" s="402"/>
      <c r="K35" s="395" t="str">
        <f ca="1">IFERROR(IF(J35&lt;(TODAY()-H35)/30,"",J35-((TODAY()-H35)/30)+1),"")</f>
        <v/>
      </c>
      <c r="L35" s="406"/>
      <c r="M35" s="397" t="str">
        <f t="shared" ca="1" si="6"/>
        <v/>
      </c>
      <c r="N35" s="402"/>
      <c r="O35" s="398" t="str">
        <f t="shared" si="0"/>
        <v/>
      </c>
      <c r="P35" s="398"/>
      <c r="Q35" s="399" t="str">
        <f t="shared" si="1"/>
        <v/>
      </c>
      <c r="R35" s="399" t="str">
        <f t="shared" si="2"/>
        <v/>
      </c>
      <c r="S35" s="391"/>
      <c r="T35" s="392"/>
      <c r="U35" s="399"/>
      <c r="V35" s="391"/>
      <c r="W35" s="392"/>
      <c r="X35" s="399"/>
      <c r="Y35" s="391"/>
      <c r="Z35" s="392"/>
      <c r="AA35" s="399"/>
      <c r="AB35" s="391"/>
      <c r="AC35" s="392"/>
      <c r="AD35" s="399"/>
      <c r="AE35" s="391"/>
      <c r="AF35" s="392"/>
      <c r="AG35" s="399"/>
      <c r="AH35" s="391"/>
      <c r="AI35" s="392"/>
      <c r="AJ35" s="399"/>
      <c r="AK35" s="391"/>
      <c r="AL35" s="392"/>
      <c r="AM35" s="399"/>
      <c r="AN35" s="391"/>
      <c r="AO35" s="392"/>
      <c r="AP35" s="399"/>
      <c r="AQ35" s="391"/>
      <c r="AR35" s="392"/>
      <c r="AS35" s="399"/>
      <c r="AT35" s="391"/>
      <c r="AU35" s="392"/>
      <c r="AV35" s="399"/>
      <c r="AW35" s="391"/>
      <c r="AX35" s="392"/>
      <c r="AY35" s="399"/>
      <c r="AZ35" s="391"/>
      <c r="BA35" s="392"/>
      <c r="BB35" s="399"/>
      <c r="BC35" s="407"/>
    </row>
    <row r="36" spans="2:55" ht="15.75" thickBot="1">
      <c r="B36" s="408" t="s">
        <v>145</v>
      </c>
      <c r="C36" s="409"/>
      <c r="D36" s="410">
        <f>SUBTOTAL(103,LoanTrack[Column3])</f>
        <v>6</v>
      </c>
      <c r="E36" s="411">
        <f>SUBTOTAL(109,LoanTrack[Column4])</f>
        <v>0</v>
      </c>
      <c r="F36" s="411">
        <f>SUBTOTAL(109,LoanTrack[Column52])</f>
        <v>0</v>
      </c>
      <c r="G36" s="412">
        <f>SUBTOTAL(109,LoanTrack[Column5])</f>
        <v>316184</v>
      </c>
      <c r="H36" s="409"/>
      <c r="I36" s="413">
        <f>SUBTOTAL(109,LoanTrack[Column54])</f>
        <v>0</v>
      </c>
      <c r="J36" s="409"/>
      <c r="K36" s="409"/>
      <c r="L36" s="409">
        <f>COUNTIF(L26:L35,"Yes")</f>
        <v>1</v>
      </c>
      <c r="M36" s="411">
        <f ca="1">SUBTOTAL(109,LoanTrack[Column10])</f>
        <v>140422</v>
      </c>
      <c r="N36" s="410">
        <f>SUMPRODUCT((N26:N35&lt;&gt;"")/COUNTIF(N26:N35,N26:N35&amp;""))</f>
        <v>0.99999999999999989</v>
      </c>
      <c r="O36" s="411">
        <f>SUBTOTAL(109,LoanTrack[Column51])</f>
        <v>0</v>
      </c>
      <c r="P36" s="413">
        <f>SUBTOTAL(109,LoanTrack[Column53])</f>
        <v>0</v>
      </c>
      <c r="Q36" s="411">
        <f>SUBTOTAL(109,LoanTrack[Column50])</f>
        <v>0</v>
      </c>
      <c r="R36" s="411">
        <f>IFERROR(SUBTOTAL(101,R26:R35),"")</f>
        <v>2440629.9416432176</v>
      </c>
      <c r="S36" s="411">
        <f>SUBTOTAL(103,LoanTrack[Column12])</f>
        <v>0</v>
      </c>
      <c r="T36" s="411">
        <f>SUBTOTAL(109,LoanTrack[Column13])</f>
        <v>0</v>
      </c>
      <c r="U36" s="411" t="str">
        <f>IFERROR(SUBTOTAL(101,U26:U35),"")</f>
        <v/>
      </c>
      <c r="V36" s="411">
        <f>SUBTOTAL(103,LoanTrack[Column15])</f>
        <v>0</v>
      </c>
      <c r="W36" s="411">
        <f>SUBTOTAL(109,LoanTrack[Column16])</f>
        <v>0</v>
      </c>
      <c r="X36" s="411" t="str">
        <f>IFERROR(SUBTOTAL(101,X26:X35),"")</f>
        <v/>
      </c>
      <c r="Y36" s="411">
        <f>SUBTOTAL(103,LoanTrack[Column18])</f>
        <v>0</v>
      </c>
      <c r="Z36" s="411">
        <f>SUBTOTAL(109,LoanTrack[Column19])</f>
        <v>0</v>
      </c>
      <c r="AA36" s="411" t="str">
        <f>IFERROR(SUBTOTAL(101,AA26:AA35),"")</f>
        <v/>
      </c>
      <c r="AB36" s="411">
        <f>SUBTOTAL(103,LoanTrack[Column21])</f>
        <v>0</v>
      </c>
      <c r="AC36" s="411">
        <f>SUBTOTAL(109,LoanTrack[Column22])</f>
        <v>0</v>
      </c>
      <c r="AD36" s="411" t="str">
        <f>IFERROR(SUBTOTAL(101,AD26:AD35),"")</f>
        <v/>
      </c>
      <c r="AE36" s="411">
        <f>SUBTOTAL(103,LoanTrack[Column24])</f>
        <v>0</v>
      </c>
      <c r="AF36" s="411">
        <f>SUBTOTAL(109,LoanTrack[Column25])</f>
        <v>0</v>
      </c>
      <c r="AG36" s="411" t="str">
        <f>IFERROR(SUBTOTAL(101,AG26:AG35),"")</f>
        <v/>
      </c>
      <c r="AH36" s="411">
        <f>SUBTOTAL(103,LoanTrack[Column27])</f>
        <v>0</v>
      </c>
      <c r="AI36" s="411">
        <f>SUBTOTAL(109,LoanTrack[Column28])</f>
        <v>0</v>
      </c>
      <c r="AJ36" s="411" t="str">
        <f>IFERROR(SUBTOTAL(101,AJ26:AJ35),"")</f>
        <v/>
      </c>
      <c r="AK36" s="411">
        <f>SUBTOTAL(103,LoanTrack[Column30])</f>
        <v>0</v>
      </c>
      <c r="AL36" s="411">
        <f>SUBTOTAL(109,LoanTrack[Column31])</f>
        <v>0</v>
      </c>
      <c r="AM36" s="411" t="str">
        <f>IFERROR(SUBTOTAL(101,AM26:AM35),"")</f>
        <v/>
      </c>
      <c r="AN36" s="411">
        <f>SUBTOTAL(103,LoanTrack[Column33])</f>
        <v>0</v>
      </c>
      <c r="AO36" s="411">
        <f>SUBTOTAL(109,LoanTrack[Column34])</f>
        <v>0</v>
      </c>
      <c r="AP36" s="411" t="str">
        <f>IFERROR(SUBTOTAL(101,AP26:AP35),"")</f>
        <v/>
      </c>
      <c r="AQ36" s="411">
        <f>SUBTOTAL(103,LoanTrack[Column36])</f>
        <v>0</v>
      </c>
      <c r="AR36" s="411">
        <f>SUBTOTAL(109,LoanTrack[Column37])</f>
        <v>0</v>
      </c>
      <c r="AS36" s="411" t="str">
        <f>IFERROR(SUBTOTAL(101,AS26:AS35),"")</f>
        <v/>
      </c>
      <c r="AT36" s="411">
        <f>SUBTOTAL(103,LoanTrack[Column39])</f>
        <v>0</v>
      </c>
      <c r="AU36" s="411">
        <f>SUBTOTAL(109,LoanTrack[Column40])</f>
        <v>0</v>
      </c>
      <c r="AV36" s="411" t="str">
        <f>IFERROR(SUBTOTAL(101,AV26:AV35),"")</f>
        <v/>
      </c>
      <c r="AW36" s="411">
        <f>SUBTOTAL(103,LoanTrack[Column42])</f>
        <v>0</v>
      </c>
      <c r="AX36" s="411">
        <f>SUBTOTAL(109,LoanTrack[Column43])</f>
        <v>0</v>
      </c>
      <c r="AY36" s="411" t="str">
        <f>IFERROR(SUBTOTAL(101,AY26:AY35),"")</f>
        <v/>
      </c>
      <c r="AZ36" s="411">
        <f>SUBTOTAL(103,LoanTrack[Column45])</f>
        <v>0</v>
      </c>
      <c r="BA36" s="411">
        <f>SUBTOTAL(109,LoanTrack[Column46])</f>
        <v>0</v>
      </c>
      <c r="BB36" s="411">
        <f>IFERROR(SUBTOTAL(101,BB26:BB35),"")</f>
        <v>2440629.9416432176</v>
      </c>
      <c r="BC36" s="414">
        <f>SUBTOTAL(103,LoanTrack[Column48])</f>
        <v>1</v>
      </c>
    </row>
  </sheetData>
  <mergeCells count="162">
    <mergeCell ref="AQ24:AS24"/>
    <mergeCell ref="AT24:AV24"/>
    <mergeCell ref="AW24:AY24"/>
    <mergeCell ref="AZ24:BB24"/>
    <mergeCell ref="BC24:BC25"/>
    <mergeCell ref="V24:X24"/>
    <mergeCell ref="Y24:AA24"/>
    <mergeCell ref="AB24:AD24"/>
    <mergeCell ref="AE24:AG24"/>
    <mergeCell ref="B24:B25"/>
    <mergeCell ref="C24:C25"/>
    <mergeCell ref="D24:D25"/>
    <mergeCell ref="E24:E25"/>
    <mergeCell ref="F24:F25"/>
    <mergeCell ref="G24:G25"/>
    <mergeCell ref="H24:H25"/>
    <mergeCell ref="I24:I25"/>
    <mergeCell ref="AN24:AP24"/>
    <mergeCell ref="AH24:AJ24"/>
    <mergeCell ref="AK24:AM24"/>
    <mergeCell ref="J24:J25"/>
    <mergeCell ref="K24:K25"/>
    <mergeCell ref="W20:Z20"/>
    <mergeCell ref="B21:D21"/>
    <mergeCell ref="E21:G21"/>
    <mergeCell ref="H21:J21"/>
    <mergeCell ref="K21:N21"/>
    <mergeCell ref="O21:R21"/>
    <mergeCell ref="S21:V21"/>
    <mergeCell ref="W21:Z21"/>
    <mergeCell ref="B20:D20"/>
    <mergeCell ref="E20:G20"/>
    <mergeCell ref="H20:J20"/>
    <mergeCell ref="K20:N20"/>
    <mergeCell ref="O20:R20"/>
    <mergeCell ref="S20:V20"/>
    <mergeCell ref="L24:M25"/>
    <mergeCell ref="N24:N25"/>
    <mergeCell ref="O24:R24"/>
    <mergeCell ref="S24:U24"/>
    <mergeCell ref="B23:N23"/>
    <mergeCell ref="O23:BC23"/>
    <mergeCell ref="W18:Z18"/>
    <mergeCell ref="B19:D19"/>
    <mergeCell ref="E19:G19"/>
    <mergeCell ref="H19:J19"/>
    <mergeCell ref="K19:N19"/>
    <mergeCell ref="O19:R19"/>
    <mergeCell ref="S19:V19"/>
    <mergeCell ref="W19:Z19"/>
    <mergeCell ref="B18:D18"/>
    <mergeCell ref="E18:G18"/>
    <mergeCell ref="H18:J18"/>
    <mergeCell ref="K18:N18"/>
    <mergeCell ref="O18:R18"/>
    <mergeCell ref="S18:V18"/>
    <mergeCell ref="W16:Z16"/>
    <mergeCell ref="B17:D17"/>
    <mergeCell ref="E17:G17"/>
    <mergeCell ref="H17:J17"/>
    <mergeCell ref="K17:N17"/>
    <mergeCell ref="O17:R17"/>
    <mergeCell ref="S17:V17"/>
    <mergeCell ref="W17:Z17"/>
    <mergeCell ref="B16:D16"/>
    <mergeCell ref="E16:G16"/>
    <mergeCell ref="H16:J16"/>
    <mergeCell ref="K16:N16"/>
    <mergeCell ref="O16:R16"/>
    <mergeCell ref="S16:V16"/>
    <mergeCell ref="W14:Z14"/>
    <mergeCell ref="B15:D15"/>
    <mergeCell ref="E15:G15"/>
    <mergeCell ref="H15:J15"/>
    <mergeCell ref="K15:N15"/>
    <mergeCell ref="O15:R15"/>
    <mergeCell ref="S15:V15"/>
    <mergeCell ref="W15:Z15"/>
    <mergeCell ref="B14:D14"/>
    <mergeCell ref="E14:G14"/>
    <mergeCell ref="H14:J14"/>
    <mergeCell ref="K14:N14"/>
    <mergeCell ref="O14:R14"/>
    <mergeCell ref="S14:V14"/>
    <mergeCell ref="W12:Z12"/>
    <mergeCell ref="B13:D13"/>
    <mergeCell ref="E13:G13"/>
    <mergeCell ref="H13:J13"/>
    <mergeCell ref="K13:N13"/>
    <mergeCell ref="O13:R13"/>
    <mergeCell ref="S13:V13"/>
    <mergeCell ref="W13:Z13"/>
    <mergeCell ref="B12:D12"/>
    <mergeCell ref="E12:G12"/>
    <mergeCell ref="H12:J12"/>
    <mergeCell ref="K12:N12"/>
    <mergeCell ref="O12:R12"/>
    <mergeCell ref="S12:V12"/>
    <mergeCell ref="W10:Z10"/>
    <mergeCell ref="B11:D11"/>
    <mergeCell ref="E11:G11"/>
    <mergeCell ref="H11:J11"/>
    <mergeCell ref="K11:N11"/>
    <mergeCell ref="O11:R11"/>
    <mergeCell ref="S11:V11"/>
    <mergeCell ref="W11:Z11"/>
    <mergeCell ref="B10:D10"/>
    <mergeCell ref="E10:G10"/>
    <mergeCell ref="H10:J10"/>
    <mergeCell ref="K10:N10"/>
    <mergeCell ref="O10:R10"/>
    <mergeCell ref="S10:V10"/>
    <mergeCell ref="W8:Z8"/>
    <mergeCell ref="B9:D9"/>
    <mergeCell ref="E9:G9"/>
    <mergeCell ref="H9:J9"/>
    <mergeCell ref="K9:N9"/>
    <mergeCell ref="O9:R9"/>
    <mergeCell ref="S9:V9"/>
    <mergeCell ref="W9:Z9"/>
    <mergeCell ref="B8:D8"/>
    <mergeCell ref="E8:G8"/>
    <mergeCell ref="H8:J8"/>
    <mergeCell ref="K8:N8"/>
    <mergeCell ref="O8:R8"/>
    <mergeCell ref="S8:V8"/>
    <mergeCell ref="W6:Z6"/>
    <mergeCell ref="B7:D7"/>
    <mergeCell ref="E7:G7"/>
    <mergeCell ref="H7:J7"/>
    <mergeCell ref="K7:N7"/>
    <mergeCell ref="O7:R7"/>
    <mergeCell ref="S7:V7"/>
    <mergeCell ref="W7:Z7"/>
    <mergeCell ref="B6:D6"/>
    <mergeCell ref="E6:G6"/>
    <mergeCell ref="H6:J6"/>
    <mergeCell ref="K6:N6"/>
    <mergeCell ref="O6:R6"/>
    <mergeCell ref="S6:V6"/>
    <mergeCell ref="B5:D5"/>
    <mergeCell ref="E5:G5"/>
    <mergeCell ref="H5:J5"/>
    <mergeCell ref="K5:N5"/>
    <mergeCell ref="O5:R5"/>
    <mergeCell ref="S5:V5"/>
    <mergeCell ref="W5:Z5"/>
    <mergeCell ref="B4:D4"/>
    <mergeCell ref="E4:G4"/>
    <mergeCell ref="H4:J4"/>
    <mergeCell ref="K4:N4"/>
    <mergeCell ref="O4:R4"/>
    <mergeCell ref="S4:V4"/>
    <mergeCell ref="B2:Z2"/>
    <mergeCell ref="B3:D3"/>
    <mergeCell ref="E3:G3"/>
    <mergeCell ref="H3:J3"/>
    <mergeCell ref="K3:N3"/>
    <mergeCell ref="O3:R3"/>
    <mergeCell ref="S3:V3"/>
    <mergeCell ref="W3:Z3"/>
    <mergeCell ref="W4:Z4"/>
  </mergeCells>
  <dataValidations count="2">
    <dataValidation type="list" allowBlank="1" showInputMessage="1" showErrorMessage="1" sqref="C65566:C65571 C131102:C131107 C196638:C196643 C262174:C262179 C327710:C327715 C393246:C393251 C458782:C458787 C524318:C524323 C589854:C589859 C655390:C655395 C720926:C720931 C786462:C786467 C851998:C852003 C917534:C917539 C983070:C983075" xr:uid="{D4397946-80EC-4859-A384-F55317457074}">
      <formula1>"Home Loan, LAP,Vehicle Loan,CVL, Personal Loan,Business Loan, CC/OD,Term Loan,Machinery Loan,Education Loan"</formula1>
    </dataValidation>
    <dataValidation type="whole" allowBlank="1" showInputMessage="1" showErrorMessage="1" errorTitle="Error" error="Not a valid Date" promptTitle="Date" prompt="Insert a date (DD)" sqref="S65566:S65571 S131102:S131107 S196638:S196643 S262174:S262179 S327710:S327715 S393246:S393251 S458782:S458787 S524318:S524323 S589854:S589859 S655390:S655395 S720926:S720931 S786462:S786467 S851998:S852003 S917534:S917539 S983070:S983075 V65566:V65571 V131102:V131107 V196638:V196643 V262174:V262179 V327710:V327715 V393246:V393251 V458782:V458787 V524318:V524323 V589854:V589859 V655390:V655395 V720926:V720931 V786462:V786467 V851998:V852003 V917534:V917539 V983070:V983075 Y65566:Y65571 Y131102:Y131107 Y196638:Y196643 Y262174:Y262179 Y327710:Y327715 Y393246:Y393251 Y458782:Y458787 Y524318:Y524323 Y589854:Y589859 Y655390:Y655395 Y720926:Y720931 Y786462:Y786467 Y851998:Y852003 Y917534:Y917539 Y983070:Y983075 AB65566:AB65571 AB131102:AB131107 AB196638:AB196643 AB262174:AB262179 AB327710:AB327715 AB393246:AB393251 AB458782:AB458787 AB524318:AB524323 AB589854:AB589859 AB655390:AB655395 AB720926:AB720931 AB786462:AB786467 AB851998:AB852003 AB917534:AB917539 AB983070:AB983075 AE65566:AE65571 AE131102:AE131107 AE196638:AE196643 AE262174:AE262179 AE327710:AE327715 AE393246:AE393251 AE458782:AE458787 AE524318:AE524323 AE589854:AE589859 AE655390:AE655395 AE720926:AE720931 AE786462:AE786467 AE851998:AE852003 AE917534:AE917539 AE983070:AE983075 AH65566:AH65571 AH131102:AH131107 AH196638:AH196643 AH262174:AH262179 AH327710:AH327715 AH393246:AH393251 AH458782:AH458787 AH524318:AH524323 AH589854:AH589859 AH655390:AH655395 AH720926:AH720931 AH786462:AH786467 AH851998:AH852003 AH917534:AH917539 AH983070:AH983075 AK65566:AK65571 AK131102:AK131107 AK196638:AK196643 AK262174:AK262179 AK327710:AK327715 AK393246:AK393251 AK458782:AK458787 AK524318:AK524323 AK589854:AK589859 AK655390:AK655395 AK720926:AK720931 AK786462:AK786467 AK851998:AK852003 AK917534:AK917539 AK983070:AK983075 AN65566:AN65571 AN131102:AN131107 AN196638:AN196643 AN262174:AN262179 AN327710:AN327715 AN393246:AN393251 AN458782:AN458787 AN524318:AN524323 AN589854:AN589859 AN655390:AN655395 AN720926:AN720931 AN786462:AN786467 AN851998:AN852003 AN917534:AN917539 AN983070:AN983075 AQ65566:AQ65571 AQ131102:AQ131107 AQ196638:AQ196643 AQ262174:AQ262179 AQ327710:AQ327715 AQ393246:AQ393251 AQ458782:AQ458787 AQ524318:AQ524323 AQ589854:AQ589859 AQ655390:AQ655395 AQ720926:AQ720931 AQ786462:AQ786467 AQ851998:AQ852003 AQ917534:AQ917539 AQ983070:AQ983075 AT65566:AT65571 AT131102:AT131107 AT196638:AT196643 AT262174:AT262179 AT327710:AT327715 AT393246:AT393251 AT458782:AT458787 AT524318:AT524323 AT589854:AT589859 AT655390:AT655395 AT720926:AT720931 AT786462:AT786467 AT851998:AT852003 AT917534:AT917539 AT983070:AT983075 AW65566:AW65571 AW131102:AW131107 AW196638:AW196643 AW262174:AW262179 AW327710:AW327715 AW393246:AW393251 AW458782:AW458787 AW524318:AW524323 AW589854:AW589859 AW655390:AW655395 AW720926:AW720931 AW786462:AW786467 AW851998:AW852003 AW917534:AW917539 AW983070:AW983075 AZ65566:AZ65571 AZ131102:AZ131107 AZ196638:AZ196643 AZ262174:AZ262179 AZ327710:AZ327715 AZ393246:AZ393251 AZ458782:AZ458787 AZ524318:AZ524323 AZ589854:AZ589859 AZ655390:AZ655395 AZ720926:AZ720931 AZ786462:AZ786467 AZ851998:AZ852003 AZ917534:AZ917539 AZ983070:AZ983075 AZ26:AZ35 AW26:AW35 AT26:AT35 AQ26:AQ35 AN26:AN35 AK26:AK35 AH26:AH35 AE26:AE35 AB26:AB35 Y26:Y35 V26:V35 S26:S35" xr:uid="{228FD282-4A57-4B9D-A37A-9921EFFCB459}">
      <formula1>1</formula1>
      <formula2>31</formula2>
    </dataValidation>
  </dataValidations>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BC40F-A650-42E4-8F27-82F63508AC6A}">
  <sheetPr codeName="Sheet21">
    <tabColor rgb="FFC00000"/>
  </sheetPr>
  <dimension ref="A1:JL61"/>
  <sheetViews>
    <sheetView zoomScaleNormal="100" workbookViewId="0">
      <selection activeCell="B1" sqref="B1"/>
    </sheetView>
  </sheetViews>
  <sheetFormatPr defaultColWidth="13" defaultRowHeight="12.75"/>
  <cols>
    <col min="1" max="1" width="10.140625" style="307" customWidth="1"/>
    <col min="2" max="6" width="15.7109375" style="307" customWidth="1"/>
    <col min="7" max="7" width="1.85546875" style="307" customWidth="1"/>
    <col min="8" max="8" width="2.140625" style="307" customWidth="1"/>
    <col min="9" max="9" width="8.42578125" style="307" customWidth="1"/>
    <col min="10" max="14" width="15.7109375" style="307" customWidth="1"/>
    <col min="15" max="16" width="13" style="307" customWidth="1"/>
    <col min="17" max="17" width="48.28515625" style="307" bestFit="1" customWidth="1"/>
    <col min="18" max="18" width="22.28515625" style="307" bestFit="1" customWidth="1"/>
    <col min="19" max="20" width="18" style="307" bestFit="1" customWidth="1"/>
    <col min="21" max="22" width="15.42578125" style="307" bestFit="1" customWidth="1"/>
    <col min="23" max="23" width="13" style="307" customWidth="1"/>
    <col min="24" max="24" width="37.5703125" style="307" customWidth="1"/>
    <col min="25" max="33" width="23.140625" style="307" customWidth="1"/>
    <col min="34" max="34" width="26.140625" style="307" customWidth="1"/>
    <col min="35" max="35" width="23.140625" style="307" customWidth="1"/>
    <col min="36" max="36" width="22.140625" style="307" customWidth="1"/>
    <col min="37" max="37" width="21.42578125" style="307" customWidth="1"/>
    <col min="38" max="38" width="15.85546875" style="307" customWidth="1"/>
    <col min="39" max="40" width="13" style="307" customWidth="1"/>
    <col min="41" max="41" width="15.140625" style="307" customWidth="1"/>
    <col min="42" max="66" width="13" style="307" customWidth="1"/>
    <col min="67" max="260" width="13" style="308" customWidth="1"/>
    <col min="261" max="272" width="13" style="309" customWidth="1"/>
    <col min="273" max="16384" width="13" style="308"/>
  </cols>
  <sheetData>
    <row r="1" spans="1:272" ht="38.25">
      <c r="A1" s="305" t="s">
        <v>938</v>
      </c>
      <c r="B1" s="306"/>
    </row>
    <row r="2" spans="1:272" ht="17.25" customHeight="1">
      <c r="Q2" s="307" t="s">
        <v>939</v>
      </c>
      <c r="R2" s="310">
        <v>12</v>
      </c>
      <c r="S2" s="310">
        <v>12</v>
      </c>
      <c r="T2" s="310">
        <v>12</v>
      </c>
      <c r="U2" s="310">
        <v>12</v>
      </c>
      <c r="V2" s="310"/>
    </row>
    <row r="3" spans="1:272" ht="28.5" customHeight="1">
      <c r="A3" s="824" t="s">
        <v>940</v>
      </c>
      <c r="B3" s="825"/>
      <c r="C3" s="825"/>
      <c r="D3" s="825"/>
      <c r="E3" s="825"/>
      <c r="F3" s="825"/>
      <c r="I3" s="824" t="s">
        <v>941</v>
      </c>
      <c r="J3" s="825"/>
      <c r="K3" s="825"/>
      <c r="L3" s="825"/>
      <c r="M3" s="825"/>
      <c r="N3" s="825"/>
      <c r="Q3" s="824" t="s">
        <v>942</v>
      </c>
      <c r="R3" s="825"/>
      <c r="S3" s="825"/>
      <c r="T3" s="825"/>
      <c r="U3" s="825"/>
      <c r="V3" s="825"/>
      <c r="BI3" s="308"/>
      <c r="BJ3" s="308"/>
      <c r="BK3" s="308"/>
      <c r="BL3" s="308"/>
      <c r="BM3" s="308"/>
      <c r="BN3" s="308"/>
      <c r="IU3" s="309"/>
      <c r="IV3" s="309"/>
      <c r="IW3" s="309"/>
      <c r="IX3" s="309"/>
      <c r="IY3" s="309"/>
      <c r="IZ3" s="309"/>
      <c r="JG3" s="308"/>
      <c r="JH3" s="308"/>
      <c r="JI3" s="308"/>
      <c r="JJ3" s="308"/>
      <c r="JK3" s="308"/>
      <c r="JL3" s="308"/>
    </row>
    <row r="4" spans="1:272" ht="51" customHeight="1">
      <c r="A4" s="311" t="s">
        <v>144</v>
      </c>
      <c r="B4" s="312" t="s">
        <v>953</v>
      </c>
      <c r="C4" s="312" t="s">
        <v>959</v>
      </c>
      <c r="D4" s="312" t="s">
        <v>961</v>
      </c>
      <c r="E4" s="312" t="s">
        <v>1222</v>
      </c>
      <c r="F4" s="312" t="s">
        <v>947</v>
      </c>
      <c r="I4" s="311" t="s">
        <v>144</v>
      </c>
      <c r="J4" s="312" t="s">
        <v>953</v>
      </c>
      <c r="K4" s="312" t="s">
        <v>959</v>
      </c>
      <c r="L4" s="312" t="s">
        <v>961</v>
      </c>
      <c r="M4" s="312" t="s">
        <v>1222</v>
      </c>
      <c r="N4" s="312" t="s">
        <v>947</v>
      </c>
      <c r="Q4" s="311" t="s">
        <v>144</v>
      </c>
      <c r="R4" s="312" t="s">
        <v>948</v>
      </c>
      <c r="S4" s="313" t="s">
        <v>949</v>
      </c>
      <c r="T4" s="313" t="s">
        <v>949</v>
      </c>
      <c r="U4" s="313" t="s">
        <v>949</v>
      </c>
      <c r="V4" s="313"/>
      <c r="BI4" s="308"/>
      <c r="BJ4" s="308"/>
      <c r="BK4" s="308"/>
      <c r="BL4" s="308"/>
      <c r="BM4" s="308"/>
      <c r="BN4" s="308"/>
      <c r="IU4" s="309"/>
      <c r="IV4" s="309"/>
      <c r="IW4" s="309"/>
      <c r="IX4" s="309"/>
      <c r="IY4" s="309"/>
      <c r="IZ4" s="309"/>
      <c r="JG4" s="308"/>
      <c r="JH4" s="308"/>
      <c r="JI4" s="308"/>
      <c r="JJ4" s="308"/>
      <c r="JK4" s="308"/>
      <c r="JL4" s="308"/>
    </row>
    <row r="5" spans="1:272" ht="17.25" customHeight="1">
      <c r="A5" s="314">
        <f t="shared" ref="A5:A14" si="0">EDATE(A6,-1)</f>
        <v>44166</v>
      </c>
      <c r="B5" s="306"/>
      <c r="C5" s="306"/>
      <c r="D5" s="306"/>
      <c r="E5" s="306"/>
      <c r="F5" s="306"/>
      <c r="I5" s="314">
        <f t="shared" ref="I5:I15" si="1">A5</f>
        <v>44166</v>
      </c>
      <c r="J5" s="306"/>
      <c r="K5" s="306"/>
      <c r="L5" s="306"/>
      <c r="M5" s="306"/>
      <c r="N5" s="306"/>
      <c r="Q5" s="314">
        <f t="shared" ref="Q5:Q15" si="2">A5</f>
        <v>44166</v>
      </c>
      <c r="R5" s="306">
        <v>0</v>
      </c>
      <c r="S5" s="306">
        <v>3</v>
      </c>
      <c r="T5" s="306">
        <v>3</v>
      </c>
      <c r="U5" s="306">
        <v>2</v>
      </c>
      <c r="V5" s="306"/>
      <c r="W5" s="307">
        <v>12</v>
      </c>
      <c r="AJ5" s="307">
        <v>6</v>
      </c>
      <c r="BI5" s="308"/>
      <c r="BJ5" s="308"/>
      <c r="BK5" s="308"/>
      <c r="BL5" s="308"/>
      <c r="BM5" s="308"/>
      <c r="BN5" s="308"/>
      <c r="IU5" s="309"/>
      <c r="IV5" s="309"/>
      <c r="IW5" s="309"/>
      <c r="IX5" s="309"/>
      <c r="IY5" s="309"/>
      <c r="IZ5" s="309"/>
      <c r="JG5" s="308"/>
      <c r="JH5" s="308"/>
      <c r="JI5" s="308"/>
      <c r="JJ5" s="308"/>
      <c r="JK5" s="308"/>
      <c r="JL5" s="308"/>
    </row>
    <row r="6" spans="1:272" ht="17.25" customHeight="1">
      <c r="A6" s="314">
        <f t="shared" si="0"/>
        <v>44197</v>
      </c>
      <c r="B6" s="306"/>
      <c r="C6" s="306"/>
      <c r="D6" s="306"/>
      <c r="E6" s="306"/>
      <c r="F6" s="306"/>
      <c r="I6" s="314">
        <f t="shared" si="1"/>
        <v>44197</v>
      </c>
      <c r="J6" s="306"/>
      <c r="K6" s="306"/>
      <c r="L6" s="306"/>
      <c r="M6" s="306"/>
      <c r="N6" s="306"/>
      <c r="Q6" s="314">
        <f t="shared" si="2"/>
        <v>44197</v>
      </c>
      <c r="R6" s="306">
        <v>15</v>
      </c>
      <c r="S6" s="306">
        <v>3</v>
      </c>
      <c r="T6" s="306">
        <v>3</v>
      </c>
      <c r="U6" s="306">
        <v>6</v>
      </c>
      <c r="V6" s="306"/>
      <c r="W6" s="307">
        <v>11</v>
      </c>
      <c r="AJ6" s="307">
        <v>7</v>
      </c>
      <c r="BI6" s="308"/>
      <c r="BJ6" s="308"/>
      <c r="BK6" s="308"/>
      <c r="BL6" s="308"/>
      <c r="BM6" s="308"/>
      <c r="BN6" s="308"/>
      <c r="IU6" s="309"/>
      <c r="IV6" s="309"/>
      <c r="IW6" s="309"/>
      <c r="IX6" s="309"/>
      <c r="IY6" s="309"/>
      <c r="IZ6" s="309"/>
      <c r="JG6" s="308"/>
      <c r="JH6" s="308"/>
      <c r="JI6" s="308"/>
      <c r="JJ6" s="308"/>
      <c r="JK6" s="308"/>
      <c r="JL6" s="308"/>
    </row>
    <row r="7" spans="1:272" ht="17.25" customHeight="1">
      <c r="A7" s="314">
        <f t="shared" si="0"/>
        <v>44228</v>
      </c>
      <c r="B7" s="306"/>
      <c r="C7" s="306"/>
      <c r="D7" s="306"/>
      <c r="E7" s="306"/>
      <c r="F7" s="306"/>
      <c r="I7" s="314">
        <f t="shared" si="1"/>
        <v>44228</v>
      </c>
      <c r="J7" s="306"/>
      <c r="K7" s="306"/>
      <c r="L7" s="306"/>
      <c r="M7" s="306"/>
      <c r="N7" s="306"/>
      <c r="Q7" s="314">
        <f t="shared" si="2"/>
        <v>44228</v>
      </c>
      <c r="R7" s="306">
        <v>6</v>
      </c>
      <c r="S7" s="306">
        <v>4</v>
      </c>
      <c r="T7" s="306">
        <v>1</v>
      </c>
      <c r="U7" s="306">
        <v>3</v>
      </c>
      <c r="V7" s="306"/>
      <c r="W7" s="307">
        <v>10</v>
      </c>
      <c r="AI7" s="307" t="s">
        <v>949</v>
      </c>
      <c r="AJ7" s="307">
        <v>8</v>
      </c>
      <c r="BI7" s="308"/>
      <c r="BJ7" s="308"/>
      <c r="BK7" s="308"/>
      <c r="BL7" s="308"/>
      <c r="BM7" s="308"/>
      <c r="BN7" s="308"/>
      <c r="IU7" s="309"/>
      <c r="IV7" s="309"/>
      <c r="IW7" s="309"/>
      <c r="IX7" s="309"/>
      <c r="IY7" s="309"/>
      <c r="IZ7" s="309"/>
      <c r="JG7" s="308"/>
      <c r="JH7" s="308"/>
      <c r="JI7" s="308"/>
      <c r="JJ7" s="308"/>
      <c r="JK7" s="308"/>
      <c r="JL7" s="308"/>
    </row>
    <row r="8" spans="1:272" ht="17.25" customHeight="1">
      <c r="A8" s="314">
        <f t="shared" si="0"/>
        <v>44256</v>
      </c>
      <c r="B8" s="306"/>
      <c r="C8" s="306"/>
      <c r="D8" s="306"/>
      <c r="E8" s="306"/>
      <c r="F8" s="306"/>
      <c r="I8" s="314">
        <f t="shared" si="1"/>
        <v>44256</v>
      </c>
      <c r="J8" s="306"/>
      <c r="K8" s="306"/>
      <c r="L8" s="306"/>
      <c r="M8" s="306"/>
      <c r="N8" s="306"/>
      <c r="Q8" s="314">
        <f t="shared" si="2"/>
        <v>44256</v>
      </c>
      <c r="R8" s="306">
        <v>12</v>
      </c>
      <c r="S8" s="306">
        <v>3</v>
      </c>
      <c r="T8" s="306">
        <v>1</v>
      </c>
      <c r="U8" s="306">
        <v>6</v>
      </c>
      <c r="V8" s="306"/>
      <c r="W8" s="307">
        <v>9</v>
      </c>
      <c r="AI8" s="307" t="s">
        <v>948</v>
      </c>
      <c r="AJ8" s="307">
        <v>9</v>
      </c>
      <c r="BI8" s="308"/>
      <c r="BJ8" s="308"/>
      <c r="BK8" s="308"/>
      <c r="BL8" s="308"/>
      <c r="BM8" s="308"/>
      <c r="BN8" s="308"/>
      <c r="IU8" s="309"/>
      <c r="IV8" s="309"/>
      <c r="IW8" s="309"/>
      <c r="IX8" s="309"/>
      <c r="IY8" s="309"/>
      <c r="IZ8" s="309"/>
      <c r="JG8" s="308"/>
      <c r="JH8" s="308"/>
      <c r="JI8" s="308"/>
      <c r="JJ8" s="308"/>
      <c r="JK8" s="308"/>
      <c r="JL8" s="308"/>
    </row>
    <row r="9" spans="1:272" ht="17.25" customHeight="1">
      <c r="A9" s="314">
        <f t="shared" si="0"/>
        <v>44287</v>
      </c>
      <c r="B9" s="306"/>
      <c r="C9" s="306"/>
      <c r="D9" s="306"/>
      <c r="E9" s="306"/>
      <c r="F9" s="306"/>
      <c r="I9" s="314">
        <f t="shared" si="1"/>
        <v>44287</v>
      </c>
      <c r="J9" s="306"/>
      <c r="K9" s="306"/>
      <c r="L9" s="306"/>
      <c r="M9" s="306"/>
      <c r="N9" s="306"/>
      <c r="Q9" s="314">
        <f t="shared" si="2"/>
        <v>44287</v>
      </c>
      <c r="R9" s="306">
        <v>10</v>
      </c>
      <c r="S9" s="306">
        <v>11</v>
      </c>
      <c r="T9" s="306">
        <v>5</v>
      </c>
      <c r="U9" s="306">
        <v>0</v>
      </c>
      <c r="V9" s="306"/>
      <c r="W9" s="307">
        <v>8</v>
      </c>
      <c r="AJ9" s="307">
        <v>10</v>
      </c>
      <c r="BI9" s="308"/>
      <c r="BJ9" s="308"/>
      <c r="BK9" s="308"/>
      <c r="BL9" s="308"/>
      <c r="BM9" s="308"/>
      <c r="BN9" s="308"/>
      <c r="IU9" s="309"/>
      <c r="IV9" s="309"/>
      <c r="IW9" s="309"/>
      <c r="IX9" s="309"/>
      <c r="IY9" s="309"/>
      <c r="IZ9" s="309"/>
      <c r="JG9" s="308"/>
      <c r="JH9" s="308"/>
      <c r="JI9" s="308"/>
      <c r="JJ9" s="308"/>
      <c r="JK9" s="308"/>
      <c r="JL9" s="308"/>
    </row>
    <row r="10" spans="1:272" ht="17.25" customHeight="1">
      <c r="A10" s="314">
        <f t="shared" si="0"/>
        <v>44317</v>
      </c>
      <c r="B10" s="306"/>
      <c r="C10" s="306"/>
      <c r="D10" s="306"/>
      <c r="E10" s="306"/>
      <c r="F10" s="306"/>
      <c r="I10" s="314">
        <f t="shared" si="1"/>
        <v>44317</v>
      </c>
      <c r="J10" s="306"/>
      <c r="K10" s="306"/>
      <c r="L10" s="306"/>
      <c r="M10" s="306"/>
      <c r="N10" s="306"/>
      <c r="Q10" s="314">
        <f t="shared" si="2"/>
        <v>44317</v>
      </c>
      <c r="R10" s="306">
        <v>2</v>
      </c>
      <c r="S10" s="306">
        <v>3</v>
      </c>
      <c r="T10" s="306">
        <v>1</v>
      </c>
      <c r="U10" s="306">
        <v>1</v>
      </c>
      <c r="V10" s="306"/>
      <c r="W10" s="307">
        <v>7</v>
      </c>
      <c r="AJ10" s="307">
        <v>11</v>
      </c>
      <c r="BI10" s="308"/>
      <c r="BJ10" s="308"/>
      <c r="BK10" s="308"/>
      <c r="BL10" s="308"/>
      <c r="BM10" s="308"/>
      <c r="BN10" s="308"/>
      <c r="IU10" s="309"/>
      <c r="IV10" s="309"/>
      <c r="IW10" s="309"/>
      <c r="IX10" s="309"/>
      <c r="IY10" s="309"/>
      <c r="IZ10" s="309"/>
      <c r="JG10" s="308"/>
      <c r="JH10" s="308"/>
      <c r="JI10" s="308"/>
      <c r="JJ10" s="308"/>
      <c r="JK10" s="308"/>
      <c r="JL10" s="308"/>
    </row>
    <row r="11" spans="1:272" ht="17.25" customHeight="1">
      <c r="A11" s="314">
        <f t="shared" si="0"/>
        <v>44348</v>
      </c>
      <c r="B11" s="306"/>
      <c r="C11" s="306"/>
      <c r="D11" s="306"/>
      <c r="E11" s="306"/>
      <c r="F11" s="306"/>
      <c r="I11" s="314">
        <f t="shared" si="1"/>
        <v>44348</v>
      </c>
      <c r="J11" s="306"/>
      <c r="K11" s="306"/>
      <c r="L11" s="306"/>
      <c r="M11" s="306"/>
      <c r="N11" s="306"/>
      <c r="Q11" s="314">
        <f t="shared" si="2"/>
        <v>44348</v>
      </c>
      <c r="R11" s="306">
        <v>3</v>
      </c>
      <c r="S11" s="306">
        <v>7</v>
      </c>
      <c r="T11" s="306">
        <v>3</v>
      </c>
      <c r="U11" s="306">
        <v>3</v>
      </c>
      <c r="V11" s="306"/>
      <c r="W11" s="307">
        <v>6</v>
      </c>
      <c r="AJ11" s="307">
        <v>12</v>
      </c>
      <c r="BI11" s="308"/>
      <c r="BJ11" s="308"/>
      <c r="BK11" s="308"/>
      <c r="BL11" s="308"/>
      <c r="BM11" s="308"/>
      <c r="BN11" s="308"/>
      <c r="IU11" s="309"/>
      <c r="IV11" s="309"/>
      <c r="IW11" s="309"/>
      <c r="IX11" s="309"/>
      <c r="IY11" s="309"/>
      <c r="IZ11" s="309"/>
      <c r="JG11" s="308"/>
      <c r="JH11" s="308"/>
      <c r="JI11" s="308"/>
      <c r="JJ11" s="308"/>
      <c r="JK11" s="308"/>
      <c r="JL11" s="308"/>
    </row>
    <row r="12" spans="1:272" ht="17.25" customHeight="1">
      <c r="A12" s="314">
        <f t="shared" si="0"/>
        <v>44378</v>
      </c>
      <c r="B12" s="306"/>
      <c r="C12" s="306"/>
      <c r="D12" s="306"/>
      <c r="E12" s="306"/>
      <c r="F12" s="306"/>
      <c r="I12" s="314">
        <f t="shared" si="1"/>
        <v>44378</v>
      </c>
      <c r="J12" s="306"/>
      <c r="K12" s="306"/>
      <c r="L12" s="306"/>
      <c r="M12" s="306"/>
      <c r="N12" s="306"/>
      <c r="Q12" s="314">
        <f t="shared" si="2"/>
        <v>44378</v>
      </c>
      <c r="R12" s="306">
        <v>7</v>
      </c>
      <c r="S12" s="306">
        <v>7</v>
      </c>
      <c r="T12" s="306">
        <v>3</v>
      </c>
      <c r="U12" s="306">
        <v>0</v>
      </c>
      <c r="V12" s="306"/>
      <c r="W12" s="307">
        <v>5</v>
      </c>
      <c r="BI12" s="308"/>
      <c r="BJ12" s="308"/>
      <c r="BK12" s="308"/>
      <c r="BL12" s="308"/>
      <c r="BM12" s="308"/>
      <c r="BN12" s="308"/>
      <c r="IU12" s="309"/>
      <c r="IV12" s="309"/>
      <c r="IW12" s="309"/>
      <c r="IX12" s="309"/>
      <c r="IY12" s="309"/>
      <c r="IZ12" s="309"/>
      <c r="JG12" s="308"/>
      <c r="JH12" s="308"/>
      <c r="JI12" s="308"/>
      <c r="JJ12" s="308"/>
      <c r="JK12" s="308"/>
      <c r="JL12" s="308"/>
    </row>
    <row r="13" spans="1:272" ht="17.25" customHeight="1">
      <c r="A13" s="314">
        <f t="shared" si="0"/>
        <v>44409</v>
      </c>
      <c r="B13" s="306"/>
      <c r="C13" s="306"/>
      <c r="D13" s="306"/>
      <c r="E13" s="306"/>
      <c r="F13" s="306"/>
      <c r="I13" s="314">
        <f t="shared" si="1"/>
        <v>44409</v>
      </c>
      <c r="J13" s="306"/>
      <c r="K13" s="306"/>
      <c r="L13" s="306"/>
      <c r="M13" s="306"/>
      <c r="N13" s="306"/>
      <c r="Q13" s="314">
        <f t="shared" si="2"/>
        <v>44409</v>
      </c>
      <c r="R13" s="306">
        <v>4</v>
      </c>
      <c r="S13" s="306">
        <v>7</v>
      </c>
      <c r="T13" s="306">
        <v>1</v>
      </c>
      <c r="U13" s="306">
        <v>1</v>
      </c>
      <c r="V13" s="306"/>
      <c r="W13" s="307">
        <v>4</v>
      </c>
      <c r="BI13" s="308"/>
      <c r="BJ13" s="308"/>
      <c r="BK13" s="308"/>
      <c r="BL13" s="308"/>
      <c r="BM13" s="308"/>
      <c r="BN13" s="308"/>
      <c r="IU13" s="309"/>
      <c r="IV13" s="309"/>
      <c r="IW13" s="309"/>
      <c r="IX13" s="309"/>
      <c r="IY13" s="309"/>
      <c r="IZ13" s="309"/>
      <c r="JG13" s="308"/>
      <c r="JH13" s="308"/>
      <c r="JI13" s="308"/>
      <c r="JJ13" s="308"/>
      <c r="JK13" s="308"/>
      <c r="JL13" s="308"/>
    </row>
    <row r="14" spans="1:272" ht="17.25" customHeight="1">
      <c r="A14" s="314">
        <f t="shared" si="0"/>
        <v>44440</v>
      </c>
      <c r="B14" s="306"/>
      <c r="C14" s="306"/>
      <c r="D14" s="306"/>
      <c r="E14" s="306"/>
      <c r="F14" s="306"/>
      <c r="I14" s="314">
        <f t="shared" si="1"/>
        <v>44440</v>
      </c>
      <c r="J14" s="306"/>
      <c r="K14" s="306"/>
      <c r="L14" s="306"/>
      <c r="M14" s="306"/>
      <c r="N14" s="306"/>
      <c r="Q14" s="314">
        <f t="shared" si="2"/>
        <v>44440</v>
      </c>
      <c r="R14" s="306">
        <v>3</v>
      </c>
      <c r="S14" s="306">
        <v>23</v>
      </c>
      <c r="T14" s="306">
        <v>1</v>
      </c>
      <c r="U14" s="306">
        <v>2</v>
      </c>
      <c r="V14" s="306"/>
      <c r="W14" s="307">
        <v>3</v>
      </c>
      <c r="BI14" s="308"/>
      <c r="BJ14" s="308"/>
      <c r="BK14" s="308"/>
      <c r="BL14" s="308"/>
      <c r="BM14" s="308"/>
      <c r="BN14" s="308"/>
      <c r="IU14" s="309"/>
      <c r="IV14" s="309"/>
      <c r="IW14" s="309"/>
      <c r="IX14" s="309"/>
      <c r="IY14" s="309"/>
      <c r="IZ14" s="309"/>
      <c r="JG14" s="308"/>
      <c r="JH14" s="308"/>
      <c r="JI14" s="308"/>
      <c r="JJ14" s="308"/>
      <c r="JK14" s="308"/>
      <c r="JL14" s="308"/>
    </row>
    <row r="15" spans="1:272" ht="17.25" customHeight="1">
      <c r="A15" s="314">
        <f>EDATE(A16,-1)</f>
        <v>44470</v>
      </c>
      <c r="B15" s="306"/>
      <c r="C15" s="306"/>
      <c r="D15" s="306"/>
      <c r="E15" s="306"/>
      <c r="F15" s="306"/>
      <c r="I15" s="314">
        <f t="shared" si="1"/>
        <v>44470</v>
      </c>
      <c r="J15" s="306"/>
      <c r="K15" s="306"/>
      <c r="L15" s="306"/>
      <c r="M15" s="306"/>
      <c r="N15" s="306"/>
      <c r="Q15" s="314">
        <f t="shared" si="2"/>
        <v>44470</v>
      </c>
      <c r="R15" s="306">
        <v>5</v>
      </c>
      <c r="S15" s="306">
        <v>12</v>
      </c>
      <c r="T15" s="306">
        <v>3</v>
      </c>
      <c r="U15" s="306">
        <v>3</v>
      </c>
      <c r="V15" s="306"/>
      <c r="W15" s="307">
        <v>2</v>
      </c>
      <c r="BI15" s="308"/>
      <c r="BJ15" s="308"/>
      <c r="BK15" s="308"/>
      <c r="BL15" s="308"/>
      <c r="BM15" s="308"/>
      <c r="BN15" s="308"/>
      <c r="IU15" s="309"/>
      <c r="IV15" s="309"/>
      <c r="IW15" s="309"/>
      <c r="IX15" s="309"/>
      <c r="IY15" s="309"/>
      <c r="IZ15" s="309"/>
      <c r="JG15" s="308"/>
      <c r="JH15" s="308"/>
      <c r="JI15" s="308"/>
      <c r="JJ15" s="308"/>
      <c r="JK15" s="308"/>
      <c r="JL15" s="308"/>
    </row>
    <row r="16" spans="1:272" ht="17.25" customHeight="1">
      <c r="A16" s="314">
        <f>'Analysis-Debit'!J3</f>
        <v>44501</v>
      </c>
      <c r="B16" s="306"/>
      <c r="C16" s="306"/>
      <c r="D16" s="306"/>
      <c r="E16" s="306"/>
      <c r="F16" s="306"/>
      <c r="I16" s="314">
        <f>A16</f>
        <v>44501</v>
      </c>
      <c r="J16" s="306"/>
      <c r="K16" s="306"/>
      <c r="L16" s="306"/>
      <c r="M16" s="306"/>
      <c r="N16" s="306"/>
      <c r="Q16" s="314">
        <f>A16</f>
        <v>44501</v>
      </c>
      <c r="R16" s="306">
        <v>6</v>
      </c>
      <c r="S16" s="306">
        <v>10</v>
      </c>
      <c r="T16" s="306">
        <v>1</v>
      </c>
      <c r="U16" s="306">
        <v>0</v>
      </c>
      <c r="V16" s="306"/>
      <c r="W16" s="307">
        <v>1</v>
      </c>
      <c r="BI16" s="308"/>
      <c r="BJ16" s="308"/>
      <c r="BK16" s="308"/>
      <c r="BL16" s="308"/>
      <c r="BM16" s="308"/>
      <c r="BN16" s="308"/>
      <c r="IU16" s="309"/>
      <c r="IV16" s="309"/>
      <c r="IW16" s="309"/>
      <c r="IX16" s="309"/>
      <c r="IY16" s="309"/>
      <c r="IZ16" s="309"/>
      <c r="JG16" s="308"/>
      <c r="JH16" s="308"/>
      <c r="JI16" s="308"/>
      <c r="JJ16" s="308"/>
      <c r="JK16" s="308"/>
      <c r="JL16" s="308"/>
    </row>
    <row r="17" spans="1:272" ht="17.25" customHeight="1">
      <c r="A17" s="311" t="s">
        <v>145</v>
      </c>
      <c r="B17" s="315">
        <f>SUM(B5:B16)</f>
        <v>0</v>
      </c>
      <c r="C17" s="315">
        <f>SUM(C5:C16)</f>
        <v>0</v>
      </c>
      <c r="D17" s="315">
        <f>SUM(D5:D16)</f>
        <v>0</v>
      </c>
      <c r="E17" s="315">
        <f>SUM(E5:E16)</f>
        <v>0</v>
      </c>
      <c r="F17" s="315">
        <f>SUM(F5:F16)</f>
        <v>0</v>
      </c>
      <c r="I17" s="311" t="s">
        <v>145</v>
      </c>
      <c r="J17" s="315">
        <f>SUM(J5:J16)</f>
        <v>0</v>
      </c>
      <c r="K17" s="315">
        <f>SUM(K5:K16)</f>
        <v>0</v>
      </c>
      <c r="L17" s="315">
        <f>SUM(L5:L16)</f>
        <v>0</v>
      </c>
      <c r="M17" s="315">
        <f>SUM(M5:M16)</f>
        <v>0</v>
      </c>
      <c r="N17" s="315">
        <f>SUM(N5:N16)</f>
        <v>0</v>
      </c>
      <c r="Q17" s="307" t="s">
        <v>950</v>
      </c>
      <c r="R17" s="307">
        <f>SUM(R5:R16)</f>
        <v>73</v>
      </c>
      <c r="S17" s="307">
        <f>SUMIFS(S5:S16,$W$5:$W$16,"&lt;="&amp;S2)</f>
        <v>93</v>
      </c>
      <c r="T17" s="307">
        <f t="shared" ref="T17:V17" si="3">SUMIFS(T5:T16,$W$5:$W$16,"&lt;="&amp;T2)</f>
        <v>26</v>
      </c>
      <c r="U17" s="307">
        <f t="shared" si="3"/>
        <v>27</v>
      </c>
      <c r="V17" s="307">
        <f t="shared" si="3"/>
        <v>0</v>
      </c>
      <c r="BI17" s="308"/>
      <c r="BJ17" s="308"/>
      <c r="BK17" s="308"/>
      <c r="BL17" s="308"/>
      <c r="BM17" s="308"/>
      <c r="BN17" s="308"/>
      <c r="IU17" s="309"/>
      <c r="IV17" s="309"/>
      <c r="IW17" s="309"/>
      <c r="IX17" s="309"/>
      <c r="IY17" s="309"/>
      <c r="IZ17" s="309"/>
      <c r="JG17" s="308"/>
      <c r="JH17" s="308"/>
      <c r="JI17" s="308"/>
      <c r="JJ17" s="308"/>
      <c r="JK17" s="308"/>
      <c r="JL17" s="308"/>
    </row>
    <row r="18" spans="1:272" ht="17.25" customHeight="1">
      <c r="A18" s="311" t="s">
        <v>951</v>
      </c>
      <c r="B18" s="315">
        <f>B17-J17</f>
        <v>0</v>
      </c>
      <c r="C18" s="315">
        <f>C17-K17</f>
        <v>0</v>
      </c>
      <c r="D18" s="315">
        <f>D17-L17</f>
        <v>0</v>
      </c>
      <c r="E18" s="315">
        <f>E17-M17</f>
        <v>0</v>
      </c>
      <c r="F18" s="315">
        <f>F17-N17</f>
        <v>0</v>
      </c>
      <c r="Q18" s="311" t="s">
        <v>145</v>
      </c>
      <c r="R18" s="315">
        <f>IF(SUM(R5:R16)&gt;=36,36,0)</f>
        <v>36</v>
      </c>
      <c r="S18" s="315">
        <f>IF(AND(S4="Savings Account",SUMIFS(S5:S16,$W$5:$W$16,"&lt;="&amp;S2)&gt;=S2*3),36,IF(AND(S4="Current Account",SUMIFS(S5:S16,$W$5:$W$16,"&lt;="&amp;S2)&gt;=S2),12,0))</f>
        <v>36</v>
      </c>
      <c r="T18" s="315">
        <f>IF(AND(T4="Savings Account",SUMIFS(T5:T16,$W$5:$W$16,"&lt;="&amp;T2)&gt;=T2*3),36,IF(AND(T4="Current Account",SUMIFS(T5:T16,$W$5:$W$16,"&lt;="&amp;T2)&gt;=T2),12,0))</f>
        <v>0</v>
      </c>
      <c r="U18" s="315">
        <f>IF(AND(U4="Savings Account",SUMIFS(U5:U16,$W$5:$W$16,"&lt;="&amp;U2)&gt;=U2*3),36,IF(AND(U4="Current Account",SUMIFS(U5:U16,$W$5:$W$16,"&lt;="&amp;U2)&gt;=U2),12,0))</f>
        <v>0</v>
      </c>
      <c r="V18" s="315">
        <f>IF(AND(V4="Savings Account",SUMIFS(V5:V16,$W$5:$W$16,"&lt;="&amp;V2)&gt;=V2*3),36,IF(AND(V4="Current Account",SUMIFS(V5:V16,$W$5:$W$16,"&lt;="&amp;V2)&gt;=V2),12,0))</f>
        <v>0</v>
      </c>
    </row>
    <row r="19" spans="1:272" ht="51">
      <c r="A19" s="316" t="s">
        <v>151</v>
      </c>
      <c r="B19" s="315">
        <f>SUM(B18:F18)</f>
        <v>0</v>
      </c>
    </row>
    <row r="21" spans="1:272">
      <c r="A21" s="308"/>
      <c r="B21" s="308"/>
      <c r="C21" s="308"/>
      <c r="D21" s="308"/>
      <c r="E21" s="308"/>
      <c r="F21" s="308"/>
      <c r="G21" s="308"/>
      <c r="H21" s="308"/>
      <c r="I21" s="308"/>
      <c r="J21" s="308"/>
      <c r="K21" s="308"/>
      <c r="L21" s="308"/>
      <c r="M21" s="308"/>
      <c r="N21" s="308"/>
      <c r="O21" s="308"/>
      <c r="P21" s="308"/>
      <c r="Q21" s="308"/>
      <c r="R21" s="308"/>
      <c r="S21" s="308"/>
      <c r="T21" s="308"/>
      <c r="U21" s="308"/>
      <c r="V21" s="308"/>
      <c r="W21" s="308"/>
      <c r="X21" s="308"/>
      <c r="Y21" s="308"/>
      <c r="Z21" s="308"/>
      <c r="AA21" s="308"/>
      <c r="AB21" s="308"/>
      <c r="AC21" s="308"/>
      <c r="AD21" s="308"/>
      <c r="AE21" s="308"/>
      <c r="AF21" s="308"/>
      <c r="AG21" s="308"/>
      <c r="AH21" s="308"/>
      <c r="AI21" s="308"/>
      <c r="AJ21" s="308"/>
      <c r="AK21" s="308"/>
      <c r="AL21" s="308"/>
      <c r="AM21" s="308"/>
      <c r="AN21" s="308"/>
      <c r="AO21" s="308"/>
      <c r="AP21" s="308"/>
      <c r="AQ21" s="308"/>
      <c r="AR21" s="308"/>
      <c r="AS21" s="308"/>
      <c r="AT21" s="308"/>
      <c r="AU21" s="308"/>
      <c r="AV21" s="308"/>
      <c r="AW21" s="308"/>
      <c r="AX21" s="308"/>
      <c r="AY21" s="308"/>
      <c r="AZ21" s="308"/>
      <c r="BA21" s="308"/>
      <c r="BB21" s="308"/>
      <c r="BC21" s="308"/>
      <c r="BD21" s="308"/>
      <c r="BE21" s="308"/>
      <c r="BF21" s="308"/>
      <c r="BG21" s="308"/>
      <c r="BH21" s="308"/>
      <c r="BI21" s="308"/>
      <c r="BJ21" s="308"/>
      <c r="BK21" s="308"/>
      <c r="BL21" s="308"/>
      <c r="BM21" s="308"/>
      <c r="BN21" s="308"/>
      <c r="JA21" s="308"/>
      <c r="JB21" s="308"/>
      <c r="JC21" s="308"/>
      <c r="JD21" s="308"/>
      <c r="JE21" s="308"/>
      <c r="JF21" s="308"/>
      <c r="JG21" s="308"/>
      <c r="JH21" s="308"/>
      <c r="JI21" s="308"/>
      <c r="JJ21" s="308"/>
      <c r="JK21" s="308"/>
      <c r="JL21" s="308"/>
    </row>
    <row r="22" spans="1:272">
      <c r="A22" s="308"/>
      <c r="B22" s="308"/>
      <c r="C22" s="308"/>
      <c r="D22" s="308"/>
      <c r="E22" s="308"/>
      <c r="F22" s="308"/>
      <c r="G22" s="308"/>
      <c r="H22" s="308"/>
      <c r="I22" s="308"/>
      <c r="J22" s="308"/>
      <c r="K22" s="308"/>
      <c r="L22" s="308"/>
      <c r="M22" s="308"/>
      <c r="N22" s="308"/>
      <c r="O22" s="308"/>
      <c r="P22" s="308"/>
      <c r="Q22" s="308" t="s">
        <v>100</v>
      </c>
      <c r="R22" s="308"/>
      <c r="S22" s="308"/>
      <c r="T22" s="308"/>
      <c r="U22" s="308"/>
      <c r="V22" s="308"/>
      <c r="W22" s="308"/>
      <c r="X22" s="308"/>
      <c r="Y22" s="308"/>
      <c r="Z22" s="308"/>
      <c r="AA22" s="308"/>
      <c r="AB22" s="308"/>
      <c r="AC22" s="308"/>
      <c r="AD22" s="308"/>
      <c r="AE22" s="308"/>
      <c r="AF22" s="308"/>
      <c r="AG22" s="308"/>
      <c r="AH22" s="308"/>
      <c r="AI22" s="308"/>
      <c r="AJ22" s="308"/>
      <c r="AK22" s="308"/>
      <c r="AL22" s="308"/>
      <c r="AM22" s="308"/>
      <c r="AN22" s="308"/>
      <c r="AO22" s="308"/>
      <c r="AP22" s="308"/>
      <c r="AQ22" s="308"/>
      <c r="AR22" s="308"/>
      <c r="AS22" s="308"/>
      <c r="AT22" s="308"/>
      <c r="AU22" s="308"/>
      <c r="AV22" s="308"/>
      <c r="AW22" s="308"/>
      <c r="AX22" s="308"/>
      <c r="AY22" s="308"/>
      <c r="AZ22" s="308"/>
      <c r="BA22" s="308"/>
      <c r="BB22" s="308"/>
      <c r="BC22" s="308"/>
      <c r="BD22" s="308"/>
      <c r="BE22" s="308"/>
      <c r="BF22" s="308"/>
      <c r="BG22" s="308"/>
      <c r="BH22" s="308"/>
      <c r="BI22" s="308"/>
      <c r="BJ22" s="308"/>
      <c r="BK22" s="308"/>
      <c r="BL22" s="308"/>
      <c r="BM22" s="308"/>
      <c r="BN22" s="308"/>
      <c r="JA22" s="308"/>
      <c r="JB22" s="308"/>
      <c r="JC22" s="308"/>
      <c r="JD22" s="308"/>
      <c r="JE22" s="308"/>
      <c r="JF22" s="308"/>
      <c r="JG22" s="308"/>
      <c r="JH22" s="308"/>
      <c r="JI22" s="308"/>
      <c r="JJ22" s="308"/>
      <c r="JK22" s="308"/>
      <c r="JL22" s="308"/>
    </row>
    <row r="23" spans="1:272" ht="25.5">
      <c r="A23" s="308"/>
      <c r="B23" s="308"/>
      <c r="C23" s="308"/>
      <c r="D23" s="308"/>
      <c r="E23" s="308"/>
      <c r="F23" s="308"/>
      <c r="G23" s="308"/>
      <c r="H23" s="308"/>
      <c r="I23" s="308"/>
      <c r="J23" s="308"/>
      <c r="K23" s="308"/>
      <c r="L23" s="308"/>
      <c r="M23" s="308"/>
      <c r="N23" s="308"/>
      <c r="O23" s="308"/>
      <c r="P23" s="308"/>
      <c r="Q23" s="317" t="s">
        <v>952</v>
      </c>
      <c r="R23" s="317">
        <f>IF(R18&gt;=36,36,0)</f>
        <v>36</v>
      </c>
      <c r="S23" s="317">
        <f>IF(AND(OR(S4="Savings Account",S4=AI9),S18&gt;=36),36,IF(AND(OR(S4="Current Account",S4=AI10),S18&gt;=12),12,0))</f>
        <v>36</v>
      </c>
      <c r="T23" s="317">
        <f>IF(AND(OR(T4="Savings Account",T4=AI9),T18&gt;=36),36,IF(AND(OR(T4="Current Account",T4=AI10),T18&gt;=12),12,0))</f>
        <v>0</v>
      </c>
      <c r="U23" s="317">
        <f>IF(AND(OR(U4="Savings Account",U4=AI9),U18&gt;=36),36,IF(AND(OR(U4="Current Account",U4=AI10),U18&gt;=12),12,0))</f>
        <v>0</v>
      </c>
      <c r="V23" s="317">
        <f>IF(AND(OR(V4="Savings Account",V4=AI9),V18&gt;=36),36,IF(AND(OR(V4="Current Account",V4=AI10),V18&gt;=12),12,0))</f>
        <v>0</v>
      </c>
      <c r="W23" s="308"/>
      <c r="X23" s="308"/>
      <c r="Y23" s="308"/>
      <c r="Z23" s="308"/>
      <c r="AA23" s="308"/>
      <c r="AB23" s="308"/>
      <c r="AC23" s="308"/>
      <c r="AD23" s="308"/>
      <c r="AE23" s="308"/>
      <c r="AF23" s="308"/>
      <c r="AG23" s="308"/>
      <c r="AH23" s="308"/>
      <c r="AI23" s="308"/>
      <c r="AJ23" s="308"/>
      <c r="AK23" s="308"/>
      <c r="AL23" s="308"/>
      <c r="AM23" s="308"/>
      <c r="AN23" s="308"/>
      <c r="AO23" s="308"/>
      <c r="AP23" s="308"/>
      <c r="AQ23" s="308"/>
      <c r="AR23" s="308"/>
      <c r="AS23" s="308"/>
      <c r="AT23" s="308"/>
      <c r="AU23" s="308"/>
      <c r="AV23" s="308"/>
      <c r="AW23" s="308"/>
      <c r="AX23" s="308"/>
      <c r="AY23" s="308"/>
      <c r="AZ23" s="308"/>
      <c r="BA23" s="308"/>
      <c r="BB23" s="308"/>
      <c r="BC23" s="308"/>
      <c r="BD23" s="308"/>
      <c r="BE23" s="308"/>
      <c r="BF23" s="308"/>
      <c r="BG23" s="308"/>
      <c r="BH23" s="308"/>
      <c r="BI23" s="308"/>
      <c r="BJ23" s="308"/>
      <c r="BK23" s="308"/>
      <c r="BL23" s="308"/>
      <c r="BM23" s="308"/>
      <c r="BN23" s="308"/>
      <c r="IY23" s="308" t="s">
        <v>953</v>
      </c>
      <c r="IZ23" s="308">
        <f>COUNTIF(B24:Q26,0)</f>
        <v>0</v>
      </c>
      <c r="JA23" s="308" t="s">
        <v>954</v>
      </c>
      <c r="JB23" s="308" t="s">
        <v>955</v>
      </c>
      <c r="JC23" s="308" t="s">
        <v>956</v>
      </c>
      <c r="JD23" s="308"/>
      <c r="JE23" s="308" t="s">
        <v>957</v>
      </c>
      <c r="JF23" s="308"/>
      <c r="JG23" s="308"/>
      <c r="JH23" s="308"/>
      <c r="JI23" s="308"/>
      <c r="JJ23" s="308"/>
      <c r="JK23" s="308"/>
      <c r="JL23" s="308"/>
    </row>
    <row r="24" spans="1:272" ht="25.5">
      <c r="A24" s="308"/>
      <c r="B24" s="308"/>
      <c r="C24" s="308"/>
      <c r="D24" s="308"/>
      <c r="E24" s="308"/>
      <c r="F24" s="308"/>
      <c r="G24" s="308"/>
      <c r="H24" s="308"/>
      <c r="I24" s="308"/>
      <c r="J24" s="308"/>
      <c r="K24" s="308"/>
      <c r="L24" s="308"/>
      <c r="M24" s="308"/>
      <c r="N24" s="308"/>
      <c r="O24" s="308"/>
      <c r="P24" s="308"/>
      <c r="Q24" s="317" t="s">
        <v>958</v>
      </c>
      <c r="R24" s="317" t="str">
        <f>IF(AND(SUM(R5:R7)&gt;=9,SUM(R8:R10)&gt;=9,SUM(R11:R13)&gt;=9,SUM(R14:R16)&gt;=9),"Allowed","Not Allowed")</f>
        <v>Allowed</v>
      </c>
      <c r="S24" s="318">
        <f>IF(OR(S4="Current Account",S4=AI10),COUNTIFS(S5:S16,0,W5:W16,"&lt;="&amp;S2)+COUNTIFS(S5:S16,"",W5:W16,"&lt;="&amp;S2),IF(OR(S4="Savings Account",S4=AI9),COUNTIFS(S5:S16,2,W5:W16,"&lt;="&amp;S2)+COUNTIFS(S5:S16,"",W5:W16,"&lt;="&amp;S2)+COUNTIFS(S5:S16,1,W5:W16,"&lt;="&amp;S2)+COUNTIFS(S5:S16,0,W5:W16,"&lt;="&amp;S2),""))</f>
        <v>0</v>
      </c>
      <c r="T24" s="317">
        <f>IF(OR(T4="Current Account",T4=AI10),COUNTIF(T5:T16,0)+COUNTIF(T5:T16,""),IF(OR(T4="Savings Account",T4=AI9),COUNTIF(T5:T16,2)+COUNTIF(T5:T16,"")+COUNTIF(T5:T16,1)+COUNTIF(T5:T16,0),""))</f>
        <v>6</v>
      </c>
      <c r="U24" s="317">
        <f>IF(OR(U4="Current Account",U4=AI10),COUNTIF(U5:U16,0)+COUNTIF(U5:U16,""),IF(OR(U4="Savings Account",U4=AI9),COUNTIF(U5:U16,2)+COUNTIF(U5:U16,"")+COUNTIF(U5:U16,1)+COUNTIF(U5:U16,0),""))</f>
        <v>7</v>
      </c>
      <c r="V24" s="317">
        <f>IF(OR(V4="Current Account",V4=AI10),COUNTIF(V5:V16,0)+COUNTIF(V5:V16,""),IF(OR(V4="Savings Account",V4=AI9),COUNTIF(V5:V16,2)+COUNTIF(V5:V16,"")+COUNTIF(V5:V16,1)+COUNTIF(V5:V16,0),""))</f>
        <v>12</v>
      </c>
      <c r="W24" s="308"/>
      <c r="X24" s="308"/>
      <c r="Y24" s="308"/>
      <c r="Z24" s="308"/>
      <c r="AA24" s="308"/>
      <c r="AB24" s="308"/>
      <c r="AC24" s="308"/>
      <c r="AD24" s="308"/>
      <c r="AE24" s="308"/>
      <c r="AF24" s="308"/>
      <c r="AG24" s="308"/>
      <c r="AH24" s="308"/>
      <c r="AI24" s="308"/>
      <c r="AJ24" s="308"/>
      <c r="AK24" s="308"/>
      <c r="AL24" s="308"/>
      <c r="AM24" s="308"/>
      <c r="AN24" s="308"/>
      <c r="AO24" s="308"/>
      <c r="AP24" s="308"/>
      <c r="AQ24" s="308"/>
      <c r="AR24" s="308"/>
      <c r="AS24" s="308"/>
      <c r="AT24" s="308"/>
      <c r="AU24" s="308"/>
      <c r="AV24" s="308"/>
      <c r="AW24" s="308"/>
      <c r="AX24" s="308"/>
      <c r="AY24" s="308"/>
      <c r="AZ24" s="308"/>
      <c r="BA24" s="308"/>
      <c r="BB24" s="308"/>
      <c r="BC24" s="308"/>
      <c r="BD24" s="308"/>
      <c r="BE24" s="308"/>
      <c r="BF24" s="308"/>
      <c r="BG24" s="308"/>
      <c r="BH24" s="308"/>
      <c r="BI24" s="308"/>
      <c r="BJ24" s="308"/>
      <c r="BK24" s="308"/>
      <c r="BL24" s="308"/>
      <c r="BM24" s="308"/>
      <c r="BN24" s="308"/>
      <c r="IY24" s="308" t="s">
        <v>959</v>
      </c>
      <c r="IZ24" s="308">
        <f>COUNTIF(B29:Q31,0)</f>
        <v>0</v>
      </c>
      <c r="JA24" s="308" t="s">
        <v>960</v>
      </c>
      <c r="JB24" s="308"/>
      <c r="JC24" s="308">
        <f>COUNTIF(B24:Q26,0)</f>
        <v>0</v>
      </c>
      <c r="JD24" s="308"/>
      <c r="JE24" s="308">
        <f>SUM(B24:B26,D24:D26,F24:F26,Q24:Q26)</f>
        <v>0</v>
      </c>
      <c r="JF24" s="308"/>
      <c r="JG24" s="308"/>
      <c r="JH24" s="308"/>
      <c r="JI24" s="308"/>
      <c r="JJ24" s="308"/>
      <c r="JK24" s="308"/>
      <c r="JL24" s="308"/>
    </row>
    <row r="25" spans="1:272">
      <c r="A25" s="308"/>
      <c r="B25" s="308"/>
      <c r="C25" s="308"/>
      <c r="D25" s="308"/>
      <c r="E25" s="308"/>
      <c r="F25" s="308"/>
      <c r="G25" s="308"/>
      <c r="H25" s="308"/>
      <c r="I25" s="308"/>
      <c r="J25" s="308"/>
      <c r="K25" s="308"/>
      <c r="L25" s="308"/>
      <c r="M25" s="308"/>
      <c r="N25" s="308"/>
      <c r="O25" s="308"/>
      <c r="P25" s="308"/>
      <c r="Q25" s="317" t="s">
        <v>104</v>
      </c>
      <c r="R25" s="317">
        <f>COUNTIF(R5:R16,0)+COUNTIF(R5:R16,"")</f>
        <v>1</v>
      </c>
      <c r="S25" s="318">
        <f>COUNTIFS(S5:S16,0,W5:W16,"&gt;="&amp;S2)+COUNTIFS(S5:S16,"",W5:W16,"&gt;="&amp;S2)</f>
        <v>0</v>
      </c>
      <c r="T25" s="317">
        <f>COUNTIF(T5:T16,0)+COUNTIF(T5:T16,"")</f>
        <v>0</v>
      </c>
      <c r="U25" s="317">
        <f>COUNTIF(U5:U16,0)+COUNTIF(U5:U16,"")</f>
        <v>3</v>
      </c>
      <c r="V25" s="317">
        <f>COUNTIF(V5:V16,0)+COUNTIF(V5:V16,"")</f>
        <v>12</v>
      </c>
      <c r="W25" s="308"/>
      <c r="X25" s="308"/>
      <c r="Y25" s="308"/>
      <c r="Z25" s="308"/>
      <c r="AA25" s="308"/>
      <c r="AB25" s="308"/>
      <c r="AC25" s="308"/>
      <c r="AD25" s="308"/>
      <c r="AE25" s="308"/>
      <c r="AF25" s="308"/>
      <c r="AG25" s="308"/>
      <c r="AH25" s="308"/>
      <c r="AI25" s="308"/>
      <c r="AJ25" s="308"/>
      <c r="AK25" s="308"/>
      <c r="AL25" s="308"/>
      <c r="AM25" s="308"/>
      <c r="AN25" s="308"/>
      <c r="AO25" s="308"/>
      <c r="AP25" s="308"/>
      <c r="AQ25" s="308"/>
      <c r="AR25" s="308"/>
      <c r="AS25" s="308"/>
      <c r="AT25" s="308"/>
      <c r="AU25" s="308"/>
      <c r="AV25" s="308"/>
      <c r="AW25" s="308"/>
      <c r="AX25" s="308"/>
      <c r="AY25" s="308"/>
      <c r="AZ25" s="308"/>
      <c r="BA25" s="308"/>
      <c r="BB25" s="308"/>
      <c r="BC25" s="308"/>
      <c r="BD25" s="308"/>
      <c r="BE25" s="308"/>
      <c r="BF25" s="308"/>
      <c r="BG25" s="308"/>
      <c r="BH25" s="308"/>
      <c r="BI25" s="308"/>
      <c r="BJ25" s="308"/>
      <c r="BK25" s="308"/>
      <c r="BL25" s="308"/>
      <c r="BM25" s="308"/>
      <c r="BN25" s="308"/>
      <c r="IY25" s="308" t="s">
        <v>961</v>
      </c>
      <c r="IZ25" s="308">
        <f>COUNTIF(B36:Q38,0)</f>
        <v>0</v>
      </c>
      <c r="JA25" s="308" t="s">
        <v>962</v>
      </c>
      <c r="JB25" s="308"/>
      <c r="JC25" s="308">
        <f>COUNTIF(B24:Q26,1)</f>
        <v>0</v>
      </c>
      <c r="JD25" s="308"/>
      <c r="JE25" s="308"/>
      <c r="JF25" s="308"/>
      <c r="JG25" s="308"/>
      <c r="JH25" s="308"/>
      <c r="JI25" s="308"/>
      <c r="JJ25" s="308"/>
      <c r="JK25" s="308"/>
      <c r="JL25" s="308"/>
    </row>
    <row r="26" spans="1:272">
      <c r="A26" s="308"/>
      <c r="B26" s="308"/>
      <c r="C26" s="308"/>
      <c r="D26" s="308"/>
      <c r="E26" s="308"/>
      <c r="F26" s="308"/>
      <c r="G26" s="308"/>
      <c r="H26" s="308"/>
      <c r="I26" s="308"/>
      <c r="J26" s="308"/>
      <c r="K26" s="308"/>
      <c r="L26" s="308"/>
      <c r="M26" s="308"/>
      <c r="N26" s="308"/>
      <c r="O26" s="308"/>
      <c r="P26" s="308"/>
      <c r="Q26" s="317" t="s">
        <v>105</v>
      </c>
      <c r="R26" s="317" t="s">
        <v>963</v>
      </c>
      <c r="S26" s="317">
        <f>COUNTIF(S14:S16,"")+COUNTIF(S14:S16,0)</f>
        <v>0</v>
      </c>
      <c r="T26" s="317">
        <f>COUNTIF(T14:T16,"")+COUNTIF(T14:T16,0)</f>
        <v>0</v>
      </c>
      <c r="U26" s="317">
        <f>COUNTIF(U14:U16,"")+COUNTIF(U14:U16,0)</f>
        <v>1</v>
      </c>
      <c r="V26" s="317">
        <f>COUNTIF(V14:V16,"")+COUNTIF(V14:V16,0)</f>
        <v>3</v>
      </c>
      <c r="W26" s="308"/>
      <c r="X26" s="308"/>
      <c r="Y26" s="308"/>
      <c r="Z26" s="308"/>
      <c r="AA26" s="308"/>
      <c r="AB26" s="308"/>
      <c r="AC26" s="308"/>
      <c r="AD26" s="308"/>
      <c r="AE26" s="308"/>
      <c r="AF26" s="308"/>
      <c r="AG26" s="308"/>
      <c r="AH26" s="308"/>
      <c r="AI26" s="308"/>
      <c r="AJ26" s="308"/>
      <c r="AK26" s="308"/>
      <c r="AL26" s="308"/>
      <c r="AM26" s="308"/>
      <c r="AN26" s="308"/>
      <c r="AO26" s="308"/>
      <c r="AP26" s="308"/>
      <c r="AQ26" s="308"/>
      <c r="AR26" s="308"/>
      <c r="AS26" s="308"/>
      <c r="AT26" s="308"/>
      <c r="AU26" s="308"/>
      <c r="AV26" s="308"/>
      <c r="AW26" s="308"/>
      <c r="AX26" s="308"/>
      <c r="AY26" s="308"/>
      <c r="AZ26" s="308"/>
      <c r="BA26" s="308"/>
      <c r="BB26" s="308"/>
      <c r="BC26" s="308"/>
      <c r="BD26" s="308"/>
      <c r="BE26" s="308"/>
      <c r="BF26" s="308"/>
      <c r="BG26" s="308"/>
      <c r="BH26" s="308"/>
      <c r="BI26" s="308"/>
      <c r="BJ26" s="308"/>
      <c r="BK26" s="308"/>
      <c r="BL26" s="308"/>
      <c r="BM26" s="308"/>
      <c r="BN26" s="308"/>
      <c r="IZ26" s="308">
        <v>2</v>
      </c>
      <c r="JA26" s="308"/>
      <c r="JB26" s="308"/>
      <c r="JC26" s="308">
        <f>COUNTIF(B24:Q26,2)</f>
        <v>0</v>
      </c>
      <c r="JD26" s="308"/>
      <c r="JE26" s="308"/>
      <c r="JF26" s="308"/>
      <c r="JG26" s="308"/>
      <c r="JH26" s="308"/>
      <c r="JI26" s="308"/>
      <c r="JJ26" s="308"/>
      <c r="JK26" s="308"/>
      <c r="JL26" s="308"/>
    </row>
    <row r="27" spans="1:272">
      <c r="A27" s="308"/>
      <c r="B27" s="308"/>
      <c r="C27" s="308">
        <v>1</v>
      </c>
      <c r="D27" s="308"/>
      <c r="E27" s="308"/>
      <c r="F27" s="308"/>
      <c r="G27" s="308"/>
      <c r="H27" s="308"/>
      <c r="I27" s="308"/>
      <c r="J27" s="308"/>
      <c r="K27" s="308"/>
      <c r="L27" s="308"/>
      <c r="M27" s="308"/>
      <c r="N27" s="308"/>
      <c r="O27" s="308"/>
      <c r="P27" s="308"/>
      <c r="Q27" s="317" t="s">
        <v>106</v>
      </c>
      <c r="R27" s="317">
        <f>COUNTIF(R14:R16,0)+COUNTIF(R14:R16,"")</f>
        <v>0</v>
      </c>
      <c r="S27" s="317">
        <f>COUNTIF(S14:S16,0)+COUNTIF(S14:S16,"")</f>
        <v>0</v>
      </c>
      <c r="T27" s="317">
        <f>COUNTIF(T14:T16,0)+COUNTIF(T14:T16,"")</f>
        <v>0</v>
      </c>
      <c r="U27" s="317">
        <f>COUNTIF(U14:U16,0)+COUNTIF(U14:U16,"")</f>
        <v>1</v>
      </c>
      <c r="V27" s="317">
        <f>COUNTIF(V14:V16,0)+COUNTIF(V14:V16,"")</f>
        <v>3</v>
      </c>
      <c r="W27" s="308"/>
      <c r="X27" s="308"/>
      <c r="Y27" s="308"/>
      <c r="Z27" s="308"/>
      <c r="AA27" s="308"/>
      <c r="AB27" s="308"/>
      <c r="AC27" s="308"/>
      <c r="AD27" s="308"/>
      <c r="AE27" s="308"/>
      <c r="AF27" s="308"/>
      <c r="AG27" s="308"/>
      <c r="AH27" s="308"/>
      <c r="AI27" s="308"/>
      <c r="AJ27" s="308"/>
      <c r="AK27" s="308"/>
      <c r="AL27" s="308"/>
      <c r="AM27" s="308"/>
      <c r="AN27" s="308"/>
      <c r="AO27" s="308"/>
      <c r="AP27" s="308"/>
      <c r="AQ27" s="308"/>
      <c r="AR27" s="308"/>
      <c r="AS27" s="308"/>
      <c r="AT27" s="308"/>
      <c r="AU27" s="308"/>
      <c r="AV27" s="308"/>
      <c r="AW27" s="308"/>
      <c r="AX27" s="308"/>
      <c r="AY27" s="308"/>
      <c r="AZ27" s="308"/>
      <c r="BA27" s="308"/>
      <c r="BB27" s="308"/>
      <c r="BC27" s="308"/>
      <c r="BD27" s="308"/>
      <c r="BE27" s="308"/>
      <c r="BF27" s="308"/>
      <c r="BG27" s="308"/>
      <c r="BH27" s="308"/>
      <c r="BI27" s="308"/>
      <c r="BJ27" s="308"/>
      <c r="BK27" s="308"/>
      <c r="BL27" s="308"/>
      <c r="BM27" s="308"/>
      <c r="BN27" s="308"/>
      <c r="JA27" s="308"/>
      <c r="JB27" s="308"/>
      <c r="JC27" s="308"/>
      <c r="JD27" s="308">
        <v>1</v>
      </c>
      <c r="JE27" s="319" t="str">
        <f>IF(JE24&lt;36,"Cannot be done under Banking product as sum of business entries is less than 36","ok")</f>
        <v>Cannot be done under Banking product as sum of business entries is less than 36</v>
      </c>
      <c r="JF27" s="308"/>
      <c r="JG27" s="308"/>
      <c r="JH27" s="308"/>
      <c r="JI27" s="308"/>
      <c r="JJ27" s="308"/>
      <c r="JK27" s="308"/>
      <c r="JL27" s="308"/>
    </row>
    <row r="28" spans="1:272" ht="25.5">
      <c r="A28" s="308"/>
      <c r="B28" s="308"/>
      <c r="C28" s="308">
        <v>2</v>
      </c>
      <c r="D28" s="308"/>
      <c r="E28" s="308"/>
      <c r="F28" s="308"/>
      <c r="G28" s="308"/>
      <c r="H28" s="308"/>
      <c r="I28" s="308"/>
      <c r="J28" s="308"/>
      <c r="K28" s="308"/>
      <c r="L28" s="308"/>
      <c r="M28" s="308"/>
      <c r="N28" s="308"/>
      <c r="O28" s="308"/>
      <c r="P28" s="308"/>
      <c r="Q28" s="308" t="s">
        <v>964</v>
      </c>
      <c r="R28" s="308" t="str">
        <f>IF(AND(SUM(R5:R7)&gt;=9,SUM(R8:R10)&gt;=9,SUM(R11:R13)&gt;=9,SUM(R14:R16)&gt;=9),"&gt;9","&lt;9")</f>
        <v>&gt;9</v>
      </c>
      <c r="S28" s="308"/>
      <c r="T28" s="308"/>
      <c r="U28" s="308"/>
      <c r="V28" s="308"/>
      <c r="W28" s="308"/>
      <c r="X28" s="308"/>
      <c r="Y28" s="308"/>
      <c r="Z28" s="308"/>
      <c r="AA28" s="308"/>
      <c r="AB28" s="308"/>
      <c r="AC28" s="308"/>
      <c r="AD28" s="308"/>
      <c r="AE28" s="308"/>
      <c r="AF28" s="308"/>
      <c r="AG28" s="308"/>
      <c r="AH28" s="308"/>
      <c r="AI28" s="308"/>
      <c r="AJ28" s="308"/>
      <c r="AK28" s="308"/>
      <c r="AL28" s="308"/>
      <c r="AM28" s="308"/>
      <c r="AN28" s="308"/>
      <c r="AO28" s="308"/>
      <c r="AP28" s="308"/>
      <c r="AQ28" s="308"/>
      <c r="AR28" s="308"/>
      <c r="AS28" s="308"/>
      <c r="AT28" s="308"/>
      <c r="AU28" s="308"/>
      <c r="AV28" s="308"/>
      <c r="AW28" s="308"/>
      <c r="AX28" s="308"/>
      <c r="AY28" s="308"/>
      <c r="AZ28" s="308"/>
      <c r="BA28" s="308"/>
      <c r="BB28" s="308"/>
      <c r="BC28" s="308"/>
      <c r="BD28" s="308"/>
      <c r="BE28" s="308"/>
      <c r="BF28" s="308"/>
      <c r="BG28" s="308"/>
      <c r="BH28" s="308"/>
      <c r="BI28" s="308"/>
      <c r="BJ28" s="308"/>
      <c r="BK28" s="308"/>
      <c r="BL28" s="308"/>
      <c r="BM28" s="308"/>
      <c r="BN28" s="308"/>
      <c r="JA28" s="308"/>
      <c r="JB28" s="308"/>
      <c r="JC28" s="308"/>
      <c r="JD28" s="308">
        <v>2</v>
      </c>
      <c r="JE28" s="308" t="s">
        <v>965</v>
      </c>
      <c r="JF28" s="308"/>
      <c r="JG28" s="319" t="s">
        <v>966</v>
      </c>
      <c r="JH28" s="308"/>
      <c r="JI28" s="308"/>
      <c r="JJ28" s="308"/>
      <c r="JK28" s="308"/>
      <c r="JL28" s="308"/>
    </row>
    <row r="29" spans="1:272">
      <c r="A29" s="308"/>
      <c r="B29" s="308"/>
      <c r="C29" s="308">
        <v>3</v>
      </c>
      <c r="D29" s="308"/>
      <c r="E29" s="308"/>
      <c r="F29" s="308"/>
      <c r="G29" s="308"/>
      <c r="H29" s="308"/>
      <c r="I29" s="308"/>
      <c r="J29" s="308"/>
      <c r="K29" s="308"/>
      <c r="L29" s="308"/>
      <c r="M29" s="308"/>
      <c r="N29" s="308"/>
      <c r="O29" s="308"/>
      <c r="P29" s="308"/>
      <c r="Q29" s="308" t="s">
        <v>967</v>
      </c>
      <c r="R29" s="308"/>
      <c r="S29" s="308"/>
      <c r="T29" s="308"/>
      <c r="U29" s="308"/>
      <c r="V29" s="308"/>
      <c r="W29" s="308"/>
      <c r="X29" s="308"/>
      <c r="Y29" s="308"/>
      <c r="Z29" s="308"/>
      <c r="AA29" s="308"/>
      <c r="AB29" s="308"/>
      <c r="AC29" s="308"/>
      <c r="AD29" s="308"/>
      <c r="AE29" s="308"/>
      <c r="AF29" s="308"/>
      <c r="AG29" s="308"/>
      <c r="AH29" s="308"/>
      <c r="AI29" s="308"/>
      <c r="AJ29" s="308"/>
      <c r="AK29" s="308"/>
      <c r="AL29" s="308"/>
      <c r="AM29" s="308"/>
      <c r="AN29" s="308"/>
      <c r="AO29" s="308"/>
      <c r="AP29" s="308"/>
      <c r="AQ29" s="308"/>
      <c r="AR29" s="308"/>
      <c r="AS29" s="308"/>
      <c r="AT29" s="308"/>
      <c r="AU29" s="308"/>
      <c r="AV29" s="308"/>
      <c r="AW29" s="308"/>
      <c r="AX29" s="308"/>
      <c r="AY29" s="308"/>
      <c r="AZ29" s="308"/>
      <c r="BA29" s="308"/>
      <c r="BB29" s="308"/>
      <c r="BC29" s="308"/>
      <c r="BD29" s="308"/>
      <c r="BE29" s="308"/>
      <c r="BF29" s="308"/>
      <c r="BG29" s="308"/>
      <c r="BH29" s="308"/>
      <c r="BI29" s="308"/>
      <c r="BJ29" s="308"/>
      <c r="BK29" s="308"/>
      <c r="BL29" s="308"/>
      <c r="BM29" s="308"/>
      <c r="BN29" s="308"/>
      <c r="JA29" s="308"/>
      <c r="JB29" s="308"/>
      <c r="JC29" s="308"/>
      <c r="JD29" s="308">
        <v>3</v>
      </c>
      <c r="JE29" s="308" t="s">
        <v>968</v>
      </c>
      <c r="JF29" s="308"/>
      <c r="JG29" s="308"/>
      <c r="JH29" s="308"/>
      <c r="JI29" s="308"/>
      <c r="JJ29" s="308"/>
      <c r="JK29" s="308"/>
      <c r="JL29" s="308"/>
    </row>
    <row r="30" spans="1:272" ht="127.5">
      <c r="A30" s="308"/>
      <c r="B30" s="308"/>
      <c r="C30" s="308">
        <v>4</v>
      </c>
      <c r="D30" s="308"/>
      <c r="E30" s="308"/>
      <c r="F30" s="308"/>
      <c r="G30" s="308"/>
      <c r="H30" s="308"/>
      <c r="I30" s="308"/>
      <c r="J30" s="308"/>
      <c r="K30" s="308"/>
      <c r="L30" s="308"/>
      <c r="M30" s="308"/>
      <c r="N30" s="308"/>
      <c r="O30" s="308"/>
      <c r="P30" s="308"/>
      <c r="Q30" s="317" t="s">
        <v>952</v>
      </c>
      <c r="R30" s="320" t="str">
        <f>IF(R23=36,"Allowed","Not Allowed")</f>
        <v>Allowed</v>
      </c>
      <c r="S30" s="320" t="str">
        <f>IF(S4="","",IF(OR(S23=12,S23=36),"Allowed","Not Allowed"))</f>
        <v>Allowed</v>
      </c>
      <c r="T30" s="320" t="str">
        <f>IF(T4="","",IF(OR(T23=12,T23=36),"Allowed","Not Allowed"))</f>
        <v>Not Allowed</v>
      </c>
      <c r="U30" s="320" t="str">
        <f>IF(U4="","",IF(OR(U23=12,U23=36),"Allowed","Not Allowed"))</f>
        <v>Not Allowed</v>
      </c>
      <c r="V30" s="320" t="str">
        <f>IF(V4="","",IF(OR(V23=12,V23=36),"Allowed","Not Allowed"))</f>
        <v/>
      </c>
      <c r="W30" s="308"/>
      <c r="X30" s="308"/>
      <c r="Y30" s="308"/>
      <c r="Z30" s="308"/>
      <c r="AA30" s="308"/>
      <c r="AB30" s="308"/>
      <c r="AC30" s="308"/>
      <c r="AD30" s="308"/>
      <c r="AE30" s="308"/>
      <c r="AF30" s="308"/>
      <c r="AG30" s="308"/>
      <c r="AH30" s="308"/>
      <c r="AI30" s="308"/>
      <c r="AJ30" s="308"/>
      <c r="AK30" s="308"/>
      <c r="AL30" s="308"/>
      <c r="AM30" s="308"/>
      <c r="AN30" s="308"/>
      <c r="AO30" s="308"/>
      <c r="AP30" s="308"/>
      <c r="AQ30" s="308"/>
      <c r="AR30" s="308"/>
      <c r="AS30" s="308"/>
      <c r="AT30" s="308"/>
      <c r="AU30" s="308"/>
      <c r="AV30" s="308"/>
      <c r="AW30" s="308"/>
      <c r="AX30" s="308"/>
      <c r="AY30" s="308"/>
      <c r="AZ30" s="308"/>
      <c r="BA30" s="308"/>
      <c r="BB30" s="308"/>
      <c r="BC30" s="308"/>
      <c r="BD30" s="308"/>
      <c r="BE30" s="308"/>
      <c r="BF30" s="308"/>
      <c r="BG30" s="308"/>
      <c r="BH30" s="308"/>
      <c r="BI30" s="308"/>
      <c r="BJ30" s="308"/>
      <c r="BK30" s="308"/>
      <c r="BL30" s="308"/>
      <c r="BM30" s="308"/>
      <c r="BN30" s="308"/>
      <c r="JA30" s="308"/>
      <c r="JB30" s="308"/>
      <c r="JC30" s="308"/>
      <c r="JD30" s="308"/>
      <c r="JE30" s="308" t="str">
        <f>CONCATENATE("1. ",JE28,"2. ",JE29,IF(JE27="ok","","3. "),IF(JE27="ok","",JE27))</f>
        <v>1. Cannot be done2. ok3. Cannot be done under Banking product as sum of business entries is less than 36</v>
      </c>
      <c r="JF30" s="308"/>
      <c r="JG30" s="308"/>
      <c r="JH30" s="308"/>
      <c r="JI30" s="308"/>
      <c r="JJ30" s="308"/>
      <c r="JK30" s="308"/>
      <c r="JL30" s="308"/>
    </row>
    <row r="31" spans="1:272" ht="25.5">
      <c r="A31" s="308"/>
      <c r="B31" s="308"/>
      <c r="C31" s="308">
        <v>5</v>
      </c>
      <c r="D31" s="308"/>
      <c r="E31" s="308"/>
      <c r="F31" s="308"/>
      <c r="G31" s="308"/>
      <c r="H31" s="308"/>
      <c r="I31" s="308"/>
      <c r="J31" s="308"/>
      <c r="K31" s="308"/>
      <c r="L31" s="308"/>
      <c r="M31" s="308"/>
      <c r="N31" s="308"/>
      <c r="O31" s="308"/>
      <c r="P31" s="308"/>
      <c r="Q31" s="317" t="s">
        <v>958</v>
      </c>
      <c r="R31" s="321" t="str">
        <f>IF(AND(SUM(R5:R7)&gt;=9,SUM(R8:R10)&gt;=9,SUM(R11:R13)&gt;=9,SUM(R14:R16)&gt;=9),"Allowed","Not Allowed")</f>
        <v>Allowed</v>
      </c>
      <c r="S31" s="321" t="str">
        <f>IF(S4="","",IF(AND(S4="Savings Account",S23=36,S24&lt;=3),IF(S24=0,"Allowed","L1"),IF(AND(S4="Current Account",S23=12,S24&lt;=3),IF(S24=0,"Allowed","L1"),"Not Allowed")))</f>
        <v>Allowed</v>
      </c>
      <c r="T31" s="321" t="str">
        <f>IF(T4="","",IF(AND(S4="Savings Account",T23=36,T24&lt;=3),IF(T24=0,"Allowed","L1"),IF(AND(T4="Current Account",T23=12,T24&lt;=3),IF(T24=0,"Allowed","L1"),"Not Allowed")))</f>
        <v>Not Allowed</v>
      </c>
      <c r="U31" s="321" t="str">
        <f>IF(U4="","",IF(AND(S4="Savings Account",U23=36,U24&lt;=3),IF(U24=0,"Allowed","L1"),IF(AND(U4="Current Account",U23=12,U24&lt;=3),IF(U24=0,"Allowed","L1"),"Not Allowed")))</f>
        <v>Not Allowed</v>
      </c>
      <c r="V31" s="321" t="str">
        <f>IF(V4="","",IF(AND(S4="Savings Account",V23=36,V24&lt;=3),IF(V24=0,"Allowed","L1"),IF(AND(V4="Current Account",V23=12,V24&lt;=3),IF(V24=0,"Allowed","L1"),"Not Allowed")))</f>
        <v/>
      </c>
      <c r="W31" s="308"/>
      <c r="X31" s="308"/>
      <c r="Y31" s="308"/>
      <c r="Z31" s="308"/>
      <c r="AA31" s="308"/>
      <c r="AB31" s="308"/>
      <c r="AC31" s="308"/>
      <c r="AD31" s="308"/>
      <c r="AE31" s="308"/>
      <c r="AF31" s="308"/>
      <c r="AG31" s="308"/>
      <c r="AH31" s="308"/>
      <c r="AI31" s="308"/>
      <c r="AJ31" s="308"/>
      <c r="AK31" s="308"/>
      <c r="AL31" s="308"/>
      <c r="AM31" s="308"/>
      <c r="AN31" s="308"/>
      <c r="AO31" s="308"/>
      <c r="AP31" s="308"/>
      <c r="AQ31" s="308"/>
      <c r="AR31" s="308"/>
      <c r="AS31" s="308"/>
      <c r="AT31" s="308"/>
      <c r="AU31" s="308"/>
      <c r="AV31" s="308"/>
      <c r="AW31" s="308"/>
      <c r="AX31" s="308"/>
      <c r="AY31" s="308"/>
      <c r="AZ31" s="308"/>
      <c r="BA31" s="308"/>
      <c r="BB31" s="308"/>
      <c r="BC31" s="308"/>
      <c r="BD31" s="308"/>
      <c r="BE31" s="308"/>
      <c r="BF31" s="308"/>
      <c r="BG31" s="308"/>
      <c r="BH31" s="308"/>
      <c r="BI31" s="308"/>
      <c r="BJ31" s="308"/>
      <c r="BK31" s="308"/>
      <c r="BL31" s="308"/>
      <c r="BM31" s="308"/>
      <c r="BN31" s="308"/>
      <c r="JA31" s="308"/>
      <c r="JB31" s="308"/>
      <c r="JC31" s="308"/>
      <c r="JD31" s="308"/>
      <c r="JE31" s="308"/>
      <c r="JF31" s="308"/>
      <c r="JG31" s="308"/>
      <c r="JH31" s="308"/>
      <c r="JI31" s="308"/>
      <c r="JJ31" s="308"/>
      <c r="JK31" s="308"/>
      <c r="JL31" s="308"/>
    </row>
    <row r="32" spans="1:272">
      <c r="A32" s="308"/>
      <c r="B32" s="308"/>
      <c r="C32" s="308"/>
      <c r="D32" s="308"/>
      <c r="E32" s="308"/>
      <c r="F32" s="308"/>
      <c r="G32" s="308"/>
      <c r="H32" s="308"/>
      <c r="I32" s="308"/>
      <c r="J32" s="308"/>
      <c r="K32" s="308"/>
      <c r="L32" s="308"/>
      <c r="M32" s="308"/>
      <c r="N32" s="308"/>
      <c r="O32" s="308"/>
      <c r="P32" s="308"/>
      <c r="Q32" s="317" t="s">
        <v>104</v>
      </c>
      <c r="R32" s="321" t="str">
        <f>IF(R25=0,"Allowed",IF(R25&lt;=1,"Head Secured Credit","Not Allowed"))</f>
        <v>Head Secured Credit</v>
      </c>
      <c r="S32" s="321" t="str">
        <f>IF(S4="","",IF(OR(S31="Allowed",S31="L1"),S31,"Not Allowed"))</f>
        <v>Allowed</v>
      </c>
      <c r="T32" s="321" t="str">
        <f t="shared" ref="T32:V32" si="4">IF(T4="","",IF(OR(T31="Allowed",T31="L1"),T31,"Not Allowed"))</f>
        <v>Not Allowed</v>
      </c>
      <c r="U32" s="321" t="str">
        <f t="shared" si="4"/>
        <v>Not Allowed</v>
      </c>
      <c r="V32" s="321" t="str">
        <f t="shared" si="4"/>
        <v/>
      </c>
      <c r="W32" s="308"/>
      <c r="X32" s="308"/>
      <c r="Y32" s="308"/>
      <c r="Z32" s="308"/>
      <c r="AA32" s="308"/>
      <c r="AB32" s="308"/>
      <c r="AC32" s="308"/>
      <c r="AD32" s="308"/>
      <c r="AE32" s="308"/>
      <c r="AF32" s="308"/>
      <c r="AG32" s="308"/>
      <c r="AH32" s="308"/>
      <c r="AI32" s="308"/>
      <c r="AJ32" s="308"/>
      <c r="AK32" s="308"/>
      <c r="AL32" s="308"/>
      <c r="AM32" s="308"/>
      <c r="AN32" s="308"/>
      <c r="AO32" s="308"/>
      <c r="AP32" s="308"/>
      <c r="AQ32" s="308"/>
      <c r="AR32" s="308"/>
      <c r="AS32" s="308"/>
      <c r="AT32" s="308"/>
      <c r="AU32" s="308"/>
      <c r="AV32" s="308"/>
      <c r="AW32" s="308"/>
      <c r="AX32" s="308"/>
      <c r="AY32" s="308"/>
      <c r="AZ32" s="308"/>
      <c r="BA32" s="308"/>
      <c r="BB32" s="308"/>
      <c r="BC32" s="308"/>
      <c r="BD32" s="308"/>
      <c r="BE32" s="308"/>
      <c r="BF32" s="308"/>
      <c r="BG32" s="308"/>
      <c r="BH32" s="308"/>
      <c r="BI32" s="308"/>
      <c r="BJ32" s="308"/>
      <c r="BK32" s="308"/>
      <c r="BL32" s="308"/>
      <c r="BM32" s="308"/>
      <c r="BN32" s="308"/>
      <c r="JA32" s="308"/>
      <c r="JB32" s="308"/>
      <c r="JC32" s="308"/>
      <c r="JD32" s="308"/>
      <c r="JE32" s="308"/>
      <c r="JF32" s="308"/>
      <c r="JG32" s="308"/>
      <c r="JH32" s="308"/>
      <c r="JI32" s="308"/>
      <c r="JJ32" s="308"/>
      <c r="JK32" s="308"/>
      <c r="JL32" s="308"/>
    </row>
    <row r="33" spans="6:22" s="308" customFormat="1">
      <c r="Q33" s="317" t="s">
        <v>105</v>
      </c>
      <c r="R33" s="320" t="s">
        <v>969</v>
      </c>
      <c r="S33" s="320" t="str">
        <f>IF(OR(S4="Current Account",S4=AI10),IF(S26&gt;0,"Not Allowed","Allowed"),IF(OR(S4="Savings Account",S4=AI9),"Allowed",""))</f>
        <v>Allowed</v>
      </c>
      <c r="T33" s="320" t="str">
        <f>IF(T4="Current Account",IF(T26&gt;0,"Not Allowed","Allowed"),IF(T4="Savings Account","Allowed",""))</f>
        <v>Allowed</v>
      </c>
      <c r="U33" s="320" t="str">
        <f>IF(U4="Current Account",IF(U26&gt;0,"Not Allowed","Allowed"),IF(U4="Savings Account","Allowed",""))</f>
        <v>Allowed</v>
      </c>
      <c r="V33" s="320" t="str">
        <f>IF(V4="Current Account",IF(V26&gt;0,"Not Allowed","Allowed"),IF(V4="Savings Account","Allowed",""))</f>
        <v/>
      </c>
    </row>
    <row r="34" spans="6:22" s="308" customFormat="1">
      <c r="Q34" s="317" t="s">
        <v>106</v>
      </c>
      <c r="R34" s="320" t="str">
        <f>IF(R27&gt;0,"Not Allowed","Allowed")</f>
        <v>Allowed</v>
      </c>
      <c r="S34" s="320" t="str">
        <f>IF(OR(S4="Current Account",S4=AI10),IF(S27&gt;0,"Not Allowed","Allowed"),IF(OR(S4="Savings Account",S4=AI9),"Allowed",""))</f>
        <v>Allowed</v>
      </c>
      <c r="T34" s="320" t="str">
        <f>IF(T4="Current Account",IF(T27&gt;0,"Not Allowed","Allowed"),IF(T4="Savings Account","Allowed",""))</f>
        <v>Allowed</v>
      </c>
      <c r="U34" s="320" t="str">
        <f>IF(U4="Current Account",IF(U27&gt;0,"Not Allowed","Allowed"),IF(U4="Savings Account","Allowed",""))</f>
        <v>Allowed</v>
      </c>
      <c r="V34" s="320" t="str">
        <f>IF(V4="Current Account",IF(V27&gt;0,"Not Allowed","Allowed"),IF(V4="Savings Account","Allowed",""))</f>
        <v/>
      </c>
    </row>
    <row r="35" spans="6:22" s="308" customFormat="1" ht="25.5">
      <c r="Q35" s="308" t="s">
        <v>970</v>
      </c>
      <c r="R35" s="308" t="str">
        <f>IF($B$1&gt;=1,"Consider","Not to be considered")</f>
        <v>Not to be considered</v>
      </c>
      <c r="S35" s="308" t="str">
        <f>IF($B$1&gt;=2,"Consider","Not to be considered")</f>
        <v>Not to be considered</v>
      </c>
      <c r="T35" s="308" t="str">
        <f>IF($B$1&gt;=3,"Consider","Not to be considered")</f>
        <v>Not to be considered</v>
      </c>
      <c r="U35" s="308" t="str">
        <f>IF($B$1&gt;=4,"Consider","Not to be considered")</f>
        <v>Not to be considered</v>
      </c>
      <c r="V35" s="308" t="str">
        <f>IF($B$1&gt;=5,"Consider","Not to be considered")</f>
        <v>Not to be considered</v>
      </c>
    </row>
    <row r="36" spans="6:22" s="308" customFormat="1">
      <c r="Q36" s="308" t="s">
        <v>971</v>
      </c>
      <c r="R36" s="308" t="str">
        <f>IF(R35="consider",COUNTIF(R30:R34,"Not Allowed"),"not")</f>
        <v>not</v>
      </c>
      <c r="S36" s="308" t="str">
        <f>IF(S35="consider",COUNTIF(S30:S34,"Not Allowed"),"not Consider")</f>
        <v>not Consider</v>
      </c>
      <c r="T36" s="308" t="str">
        <f t="shared" ref="T36:V36" si="5">IF(T35="consider",COUNTIF(T30:T34,"Not Allowed"),"not Consider")</f>
        <v>not Consider</v>
      </c>
      <c r="U36" s="308" t="str">
        <f t="shared" si="5"/>
        <v>not Consider</v>
      </c>
      <c r="V36" s="308" t="str">
        <f t="shared" si="5"/>
        <v>not Consider</v>
      </c>
    </row>
    <row r="37" spans="6:22" s="308" customFormat="1">
      <c r="Q37" s="308" t="s">
        <v>972</v>
      </c>
      <c r="R37" s="308" t="str">
        <f>IF(R35="consider",COUNTIF(R30:R34,"allowed"),"not consider")</f>
        <v>not consider</v>
      </c>
      <c r="S37" s="308" t="str">
        <f>IF(S35="consider",COUNTIF(S30:S34,"allowed"),"not consider")</f>
        <v>not consider</v>
      </c>
      <c r="T37" s="308" t="str">
        <f t="shared" ref="T37:V37" si="6">IF(T35="consider",COUNTIF(T30:T34,"allowed"),"not consider")</f>
        <v>not consider</v>
      </c>
      <c r="U37" s="308" t="str">
        <f t="shared" si="6"/>
        <v>not consider</v>
      </c>
      <c r="V37" s="308" t="str">
        <f t="shared" si="6"/>
        <v>not consider</v>
      </c>
    </row>
    <row r="38" spans="6:22" s="308" customFormat="1">
      <c r="R38" s="308" t="str">
        <f>IF(R37=5,"RAAC","Not RAAC")</f>
        <v>Not RAAC</v>
      </c>
      <c r="S38" s="308" t="str">
        <f>IF(OR(S37=5,S37="not consider"),"RAAC","Not RAAC")</f>
        <v>RAAC</v>
      </c>
      <c r="T38" s="308" t="str">
        <f>IF(OR(T37=5,T37="not consider"),"RAAC","Not RAAC")</f>
        <v>RAAC</v>
      </c>
      <c r="U38" s="308" t="str">
        <f>IF(OR(U37=5,U37="not consider"),"RAAC","Not RAAC")</f>
        <v>RAAC</v>
      </c>
      <c r="V38" s="308" t="str">
        <f>IF(OR(V37=5,V37="not consider"),"RAAC","Not RAAC")</f>
        <v>RAAC</v>
      </c>
    </row>
    <row r="39" spans="6:22" s="308" customFormat="1">
      <c r="S39" s="307"/>
    </row>
    <row r="40" spans="6:22" s="308" customFormat="1">
      <c r="Q40" s="308" t="s">
        <v>973</v>
      </c>
      <c r="R40" s="308">
        <f>COUNTIF(R33:V34,"Not Allowed")</f>
        <v>0</v>
      </c>
      <c r="S40" s="308">
        <f>COUNTIF(S31:V32,"L1")+COUNTIF(R31,U1)</f>
        <v>0</v>
      </c>
    </row>
    <row r="41" spans="6:22" s="308" customFormat="1" ht="15">
      <c r="F41" s="307"/>
      <c r="G41" s="322"/>
      <c r="H41" s="322"/>
      <c r="I41" s="322"/>
      <c r="J41" s="322"/>
      <c r="K41" s="322"/>
      <c r="L41" s="322"/>
      <c r="M41" s="322"/>
      <c r="N41" s="322"/>
      <c r="O41" s="322"/>
      <c r="P41" s="322"/>
      <c r="Q41" s="323" t="s">
        <v>974</v>
      </c>
      <c r="R41" s="307" t="str">
        <f>IF(R40&gt;0,"Cannot be Done",IF(COUNTIF(R38:V38,"RAAC")=5,"RAAC","Not a RAAC"))</f>
        <v>Not a RAAC</v>
      </c>
    </row>
    <row r="42" spans="6:22" s="308" customFormat="1" ht="15">
      <c r="F42" s="307"/>
      <c r="Q42" s="323" t="s">
        <v>975</v>
      </c>
      <c r="R42" s="307" t="str">
        <f>IF(R40&gt;0,"Cannot be Done",IF(AND(R31="ZCH",R37=4,COUNTIF(S38:V38,"RAAC")=4),"ZCH","Not at ZCH Level"))</f>
        <v>Not at ZCH Level</v>
      </c>
    </row>
    <row r="43" spans="6:22" s="308" customFormat="1" ht="15">
      <c r="F43" s="307"/>
      <c r="Q43" s="323" t="s">
        <v>976</v>
      </c>
      <c r="R43" s="307" t="str">
        <f>IF(R40&gt;0,"Cannot be Done",IF(OR(AND(S40&gt;0,R37&gt;=4),AND(R31="L1",R37=4)),"L1","Not at L1 Level"))</f>
        <v>Not at L1 Level</v>
      </c>
    </row>
    <row r="44" spans="6:22" s="308" customFormat="1" ht="15">
      <c r="G44" s="324"/>
      <c r="H44" s="324"/>
      <c r="I44" s="324"/>
      <c r="J44" s="324"/>
      <c r="K44" s="324"/>
      <c r="L44" s="324"/>
      <c r="M44" s="324"/>
      <c r="N44" s="324"/>
      <c r="O44" s="324"/>
      <c r="P44" s="324"/>
      <c r="Q44" s="323" t="s">
        <v>977</v>
      </c>
      <c r="R44" s="307" t="str">
        <f>IF(R40&gt;0,"Cannot be Done",IF(AND(R32="Head Secured Credit",R37&gt;=3),"Head Secured Credit","Not at Head Secured Credit Level"))</f>
        <v>Head Secured Credit</v>
      </c>
    </row>
    <row r="45" spans="6:22" s="308" customFormat="1" ht="15">
      <c r="F45" s="307"/>
      <c r="Q45" s="323" t="s">
        <v>978</v>
      </c>
      <c r="R45" s="307" t="str">
        <f>IF(R40&gt;0,"Cannot be Done",IF(AND(R32="Head-CPG",R37&gt;=3),"Head-CPG","Not at Head-CPG"))</f>
        <v>Not at Head-CPG</v>
      </c>
    </row>
    <row r="46" spans="6:22" s="308" customFormat="1"/>
    <row r="47" spans="6:22" s="308" customFormat="1"/>
    <row r="48" spans="6:22" s="308" customFormat="1">
      <c r="Q48" s="317"/>
      <c r="R48" s="317"/>
      <c r="S48" s="317"/>
      <c r="T48" s="317"/>
      <c r="U48" s="317"/>
      <c r="V48" s="317"/>
    </row>
    <row r="49" spans="1:272">
      <c r="A49" s="308"/>
      <c r="B49" s="308"/>
      <c r="C49" s="308"/>
      <c r="D49" s="308"/>
      <c r="E49" s="308"/>
      <c r="F49" s="308"/>
      <c r="G49" s="308"/>
      <c r="H49" s="308"/>
      <c r="I49" s="308"/>
      <c r="J49" s="308"/>
      <c r="K49" s="308"/>
      <c r="L49" s="308"/>
      <c r="M49" s="308"/>
      <c r="N49" s="308"/>
      <c r="O49" s="308"/>
      <c r="P49" s="308"/>
      <c r="Q49" s="317"/>
      <c r="R49" s="317"/>
      <c r="S49" s="317"/>
      <c r="T49" s="317"/>
      <c r="U49" s="317"/>
      <c r="V49" s="317"/>
      <c r="W49" s="308"/>
      <c r="X49" s="308"/>
      <c r="Y49" s="308"/>
      <c r="Z49" s="308"/>
      <c r="AA49" s="308"/>
      <c r="AB49" s="308"/>
      <c r="AC49" s="308"/>
      <c r="AD49" s="308"/>
      <c r="AE49" s="308"/>
      <c r="AF49" s="308"/>
      <c r="AG49" s="308"/>
      <c r="AH49" s="308"/>
      <c r="AI49" s="308"/>
      <c r="AJ49" s="308"/>
      <c r="AK49" s="308"/>
      <c r="AL49" s="308"/>
      <c r="AM49" s="308"/>
      <c r="AN49" s="308"/>
      <c r="AO49" s="308"/>
      <c r="AP49" s="308"/>
      <c r="AQ49" s="308"/>
      <c r="AR49" s="308"/>
      <c r="AS49" s="308"/>
      <c r="AT49" s="308"/>
      <c r="AU49" s="308"/>
      <c r="AV49" s="308"/>
      <c r="AW49" s="308"/>
      <c r="AX49" s="308"/>
      <c r="AY49" s="308"/>
      <c r="AZ49" s="308"/>
      <c r="BA49" s="308"/>
      <c r="BB49" s="308"/>
      <c r="BC49" s="308"/>
      <c r="BD49" s="308"/>
      <c r="BE49" s="308"/>
      <c r="BF49" s="308"/>
      <c r="BG49" s="308"/>
      <c r="BH49" s="308"/>
      <c r="BI49" s="308"/>
      <c r="BJ49" s="308"/>
      <c r="BK49" s="308"/>
      <c r="BL49" s="308"/>
      <c r="BM49" s="308"/>
      <c r="BN49" s="308"/>
      <c r="JA49" s="308"/>
      <c r="JB49" s="308"/>
      <c r="JC49" s="308"/>
      <c r="JD49" s="308"/>
      <c r="JE49" s="308"/>
      <c r="JF49" s="308"/>
      <c r="JG49" s="308"/>
      <c r="JH49" s="308"/>
      <c r="JI49" s="308"/>
      <c r="JJ49" s="308"/>
      <c r="JK49" s="308"/>
      <c r="JL49" s="308"/>
    </row>
    <row r="50" spans="1:272">
      <c r="A50" s="308"/>
      <c r="B50" s="308"/>
      <c r="C50" s="308"/>
      <c r="D50" s="308"/>
      <c r="E50" s="308"/>
      <c r="F50" s="308"/>
      <c r="G50" s="308"/>
      <c r="H50" s="308"/>
      <c r="I50" s="308"/>
      <c r="J50" s="308"/>
      <c r="K50" s="308"/>
      <c r="L50" s="308"/>
      <c r="M50" s="308"/>
      <c r="N50" s="308"/>
      <c r="O50" s="308"/>
      <c r="P50" s="308"/>
      <c r="S50" s="308"/>
      <c r="T50" s="308"/>
      <c r="U50" s="308"/>
      <c r="V50" s="308"/>
      <c r="W50" s="308"/>
      <c r="X50" s="308"/>
      <c r="Y50" s="308"/>
      <c r="Z50" s="308"/>
      <c r="AA50" s="308"/>
      <c r="AB50" s="308"/>
      <c r="AC50" s="308"/>
      <c r="AD50" s="308"/>
      <c r="AE50" s="308"/>
      <c r="AF50" s="308"/>
      <c r="AG50" s="308"/>
      <c r="AH50" s="308"/>
      <c r="AI50" s="308"/>
      <c r="AJ50" s="308"/>
      <c r="AK50" s="308"/>
      <c r="AL50" s="308"/>
      <c r="AM50" s="308"/>
      <c r="AN50" s="308"/>
      <c r="AO50" s="308"/>
      <c r="AP50" s="308"/>
      <c r="AQ50" s="308"/>
      <c r="AR50" s="308"/>
      <c r="AS50" s="308"/>
      <c r="AT50" s="308"/>
      <c r="AU50" s="308"/>
      <c r="AV50" s="308"/>
      <c r="AW50" s="308"/>
      <c r="AX50" s="308"/>
      <c r="AY50" s="308"/>
      <c r="AZ50" s="308"/>
      <c r="BA50" s="308"/>
      <c r="BB50" s="308"/>
      <c r="BC50" s="308"/>
      <c r="BD50" s="308"/>
      <c r="BE50" s="308"/>
      <c r="BF50" s="308"/>
      <c r="BG50" s="308"/>
      <c r="BH50" s="308"/>
      <c r="BI50" s="308"/>
      <c r="BJ50" s="308"/>
      <c r="BK50" s="308"/>
      <c r="BL50" s="308"/>
      <c r="BM50" s="308"/>
      <c r="BN50" s="308"/>
      <c r="JA50" s="308"/>
      <c r="JB50" s="308"/>
      <c r="JC50" s="308"/>
      <c r="JD50" s="308"/>
      <c r="JE50" s="308"/>
      <c r="JF50" s="308"/>
      <c r="JG50" s="308"/>
      <c r="JH50" s="308"/>
      <c r="JI50" s="308"/>
      <c r="JJ50" s="308"/>
      <c r="JK50" s="308"/>
      <c r="JL50" s="308"/>
    </row>
    <row r="51" spans="1:272">
      <c r="A51" s="308"/>
      <c r="B51" s="308"/>
      <c r="C51" s="308"/>
      <c r="D51" s="308"/>
      <c r="E51" s="308"/>
      <c r="F51" s="308"/>
      <c r="G51" s="308"/>
      <c r="H51" s="308"/>
      <c r="I51" s="308"/>
      <c r="J51" s="308"/>
      <c r="K51" s="308"/>
      <c r="L51" s="308"/>
      <c r="M51" s="308"/>
      <c r="N51" s="308"/>
      <c r="O51" s="308"/>
      <c r="P51" s="308"/>
      <c r="Q51" s="325" t="s">
        <v>979</v>
      </c>
      <c r="R51" s="325"/>
      <c r="S51" s="325"/>
      <c r="T51" s="325"/>
      <c r="U51" s="325"/>
      <c r="V51" s="325"/>
      <c r="W51" s="308"/>
      <c r="X51" s="308"/>
      <c r="Y51" s="308"/>
      <c r="Z51" s="308"/>
      <c r="AA51" s="308"/>
      <c r="AB51" s="308"/>
      <c r="AC51" s="308"/>
      <c r="AD51" s="308"/>
      <c r="AE51" s="308"/>
      <c r="AF51" s="308"/>
      <c r="AG51" s="308"/>
      <c r="AH51" s="308"/>
      <c r="AI51" s="308"/>
      <c r="AJ51" s="308"/>
      <c r="AK51" s="308"/>
      <c r="AL51" s="308"/>
      <c r="AM51" s="308"/>
      <c r="AN51" s="308"/>
      <c r="AO51" s="308"/>
      <c r="AP51" s="308"/>
      <c r="AQ51" s="308"/>
      <c r="AR51" s="308"/>
      <c r="AS51" s="308"/>
      <c r="AT51" s="308"/>
      <c r="AU51" s="308"/>
      <c r="AV51" s="308"/>
      <c r="AW51" s="308"/>
      <c r="AX51" s="308"/>
      <c r="AY51" s="308"/>
      <c r="AZ51" s="308"/>
      <c r="BA51" s="308"/>
      <c r="BB51" s="308"/>
      <c r="BC51" s="308"/>
      <c r="BD51" s="308"/>
      <c r="BE51" s="308"/>
      <c r="BF51" s="308"/>
      <c r="BG51" s="308"/>
      <c r="BH51" s="308"/>
      <c r="BI51" s="308"/>
      <c r="BJ51" s="308"/>
      <c r="BK51" s="308"/>
      <c r="BL51" s="308"/>
      <c r="BM51" s="308"/>
      <c r="BN51" s="308"/>
      <c r="JA51" s="308"/>
      <c r="JB51" s="308"/>
      <c r="JC51" s="308"/>
      <c r="JD51" s="308"/>
      <c r="JE51" s="308"/>
      <c r="JF51" s="308"/>
      <c r="JG51" s="308"/>
      <c r="JH51" s="308"/>
      <c r="JI51" s="308"/>
      <c r="JJ51" s="308"/>
      <c r="JK51" s="308"/>
      <c r="JL51" s="308"/>
    </row>
    <row r="52" spans="1:272">
      <c r="A52" s="308"/>
      <c r="B52" s="308"/>
      <c r="C52" s="308"/>
      <c r="D52" s="308"/>
      <c r="E52" s="308"/>
      <c r="F52" s="308"/>
      <c r="G52" s="308"/>
      <c r="H52" s="308"/>
      <c r="I52" s="308"/>
      <c r="J52" s="308"/>
      <c r="K52" s="308"/>
      <c r="L52" s="308"/>
      <c r="M52" s="308"/>
      <c r="N52" s="308"/>
      <c r="O52" s="308"/>
      <c r="P52" s="308"/>
      <c r="Q52" s="317" t="s">
        <v>952</v>
      </c>
      <c r="R52" s="320" t="str">
        <f>IF(R23=36,"Allowed"," L1")</f>
        <v>Allowed</v>
      </c>
      <c r="S52" s="320" t="str">
        <f>IF(S23&gt;=12,"Allowed",IF(S4="Current Account","L2P","L2"))</f>
        <v>Allowed</v>
      </c>
      <c r="T52" s="320" t="str">
        <f>IF(T23&gt;=12,"Allowed",IF(T4="Current Account","L2P","L2"))</f>
        <v>L2</v>
      </c>
      <c r="U52" s="320" t="str">
        <f>IF(U23&gt;=12,"Allowed",IF(U4="Current Account","L2P","L2"))</f>
        <v>L2</v>
      </c>
      <c r="V52" s="320" t="str">
        <f>IF(V23&gt;=12,"Allowed",IF(V4="Current Account","L2P","L2"))</f>
        <v>L2</v>
      </c>
      <c r="W52" s="308"/>
      <c r="X52" s="308"/>
      <c r="Y52" s="308"/>
      <c r="Z52" s="308"/>
      <c r="AA52" s="308"/>
      <c r="AB52" s="308"/>
      <c r="AC52" s="308"/>
      <c r="AD52" s="308"/>
      <c r="AE52" s="308"/>
      <c r="AF52" s="308"/>
      <c r="AG52" s="308"/>
      <c r="AH52" s="308"/>
      <c r="AI52" s="308"/>
      <c r="AJ52" s="308"/>
      <c r="AK52" s="308"/>
      <c r="AL52" s="308"/>
      <c r="AM52" s="308"/>
      <c r="AN52" s="308"/>
      <c r="AO52" s="308"/>
      <c r="AP52" s="308"/>
      <c r="AQ52" s="308"/>
      <c r="AR52" s="308"/>
      <c r="AS52" s="308"/>
      <c r="AT52" s="308"/>
      <c r="AU52" s="308"/>
      <c r="AV52" s="308"/>
      <c r="AW52" s="308"/>
      <c r="AX52" s="308"/>
      <c r="AY52" s="308"/>
      <c r="AZ52" s="308"/>
      <c r="BA52" s="308"/>
      <c r="BB52" s="308"/>
      <c r="BC52" s="308"/>
      <c r="BD52" s="308"/>
      <c r="BE52" s="308"/>
      <c r="BF52" s="308"/>
      <c r="BG52" s="308"/>
      <c r="BH52" s="308"/>
      <c r="BI52" s="308"/>
      <c r="BJ52" s="308"/>
      <c r="BK52" s="308"/>
      <c r="BL52" s="308"/>
      <c r="BM52" s="308"/>
      <c r="BN52" s="308"/>
      <c r="JA52" s="308"/>
      <c r="JB52" s="308"/>
      <c r="JC52" s="308"/>
      <c r="JD52" s="308"/>
      <c r="JE52" s="308"/>
      <c r="JF52" s="308"/>
      <c r="JG52" s="308"/>
      <c r="JH52" s="308"/>
      <c r="JI52" s="308"/>
      <c r="JJ52" s="308"/>
      <c r="JK52" s="308"/>
      <c r="JL52" s="308"/>
    </row>
    <row r="53" spans="1:272" ht="25.5">
      <c r="A53" s="308"/>
      <c r="B53" s="308"/>
      <c r="C53" s="308"/>
      <c r="D53" s="308"/>
      <c r="E53" s="308"/>
      <c r="F53" s="308"/>
      <c r="G53" s="308"/>
      <c r="H53" s="308"/>
      <c r="I53" s="308"/>
      <c r="J53" s="308"/>
      <c r="K53" s="308"/>
      <c r="L53" s="308"/>
      <c r="M53" s="308"/>
      <c r="N53" s="308"/>
      <c r="O53" s="308"/>
      <c r="P53" s="308"/>
      <c r="Q53" s="317" t="s">
        <v>958</v>
      </c>
      <c r="R53" s="320" t="str">
        <f>IF(R31="Allowed","Allowed""L1",)</f>
        <v>Allowed"L1</v>
      </c>
      <c r="S53" s="320" t="str">
        <f>IF(S24=0,"Allowed",IF(S4="Current Account","L2P","L2"))</f>
        <v>Allowed</v>
      </c>
      <c r="T53" s="320" t="str">
        <f>IF(T24=0,"Allowed",IF(T4="Current Account","L2P","L2"))</f>
        <v>L2</v>
      </c>
      <c r="U53" s="320" t="str">
        <f>IF(U24=0,"Allowed",IF(U4="Current Account","L2P","L2"))</f>
        <v>L2</v>
      </c>
      <c r="V53" s="320" t="str">
        <f>IF(V24=0,"Allowed",IF(V4="Current Account","L2P","L2"))</f>
        <v>L2</v>
      </c>
      <c r="W53" s="308"/>
      <c r="X53" s="308"/>
      <c r="Y53" s="308"/>
      <c r="Z53" s="308"/>
      <c r="AA53" s="308"/>
      <c r="AB53" s="308"/>
      <c r="AC53" s="308"/>
      <c r="AD53" s="308"/>
      <c r="AE53" s="308"/>
      <c r="AF53" s="308"/>
      <c r="AG53" s="308"/>
      <c r="AH53" s="308"/>
      <c r="AI53" s="308"/>
      <c r="AJ53" s="308"/>
      <c r="AK53" s="308"/>
      <c r="AL53" s="308"/>
      <c r="AM53" s="308"/>
      <c r="AN53" s="308"/>
      <c r="AO53" s="308"/>
      <c r="AP53" s="308"/>
      <c r="AQ53" s="308"/>
      <c r="AR53" s="308"/>
      <c r="AS53" s="308"/>
      <c r="AT53" s="308"/>
      <c r="AU53" s="308"/>
      <c r="AV53" s="308"/>
      <c r="AW53" s="308"/>
      <c r="AX53" s="308"/>
      <c r="AY53" s="308"/>
      <c r="AZ53" s="308"/>
      <c r="BA53" s="308"/>
      <c r="BB53" s="308"/>
      <c r="BC53" s="308"/>
      <c r="BD53" s="308"/>
      <c r="BE53" s="308"/>
      <c r="BF53" s="308"/>
      <c r="BG53" s="308"/>
      <c r="BH53" s="308"/>
      <c r="BI53" s="308"/>
      <c r="BJ53" s="308"/>
      <c r="BK53" s="308"/>
      <c r="BL53" s="308"/>
      <c r="BM53" s="308"/>
      <c r="BN53" s="308"/>
      <c r="JA53" s="308"/>
      <c r="JB53" s="308"/>
      <c r="JC53" s="308"/>
      <c r="JD53" s="308"/>
      <c r="JE53" s="308"/>
      <c r="JF53" s="308"/>
      <c r="JG53" s="308"/>
      <c r="JH53" s="308"/>
      <c r="JI53" s="308"/>
      <c r="JJ53" s="308"/>
      <c r="JK53" s="308"/>
      <c r="JL53" s="308"/>
    </row>
    <row r="54" spans="1:272">
      <c r="A54" s="308"/>
      <c r="B54" s="308"/>
      <c r="C54" s="308"/>
      <c r="D54" s="308"/>
      <c r="E54" s="308"/>
      <c r="F54" s="308"/>
      <c r="G54" s="308"/>
      <c r="H54" s="308"/>
      <c r="I54" s="308"/>
      <c r="J54" s="308"/>
      <c r="K54" s="308"/>
      <c r="L54" s="308"/>
      <c r="M54" s="308"/>
      <c r="N54" s="308"/>
      <c r="O54" s="308"/>
      <c r="P54" s="308"/>
      <c r="Q54" s="317"/>
      <c r="R54" s="320"/>
      <c r="S54" s="320"/>
      <c r="T54" s="320"/>
      <c r="U54" s="320"/>
      <c r="V54" s="320"/>
      <c r="W54" s="308"/>
      <c r="X54" s="308"/>
      <c r="Y54" s="308"/>
      <c r="Z54" s="308"/>
      <c r="AA54" s="308"/>
      <c r="AB54" s="308"/>
      <c r="AC54" s="308"/>
      <c r="AD54" s="308"/>
      <c r="AE54" s="308"/>
      <c r="AF54" s="308"/>
      <c r="AG54" s="308"/>
      <c r="AH54" s="308"/>
      <c r="AI54" s="308"/>
      <c r="AJ54" s="308"/>
      <c r="AK54" s="308"/>
      <c r="AL54" s="308"/>
      <c r="AM54" s="308"/>
      <c r="AN54" s="308"/>
      <c r="AO54" s="308"/>
      <c r="AP54" s="308"/>
      <c r="AQ54" s="308"/>
      <c r="AR54" s="308"/>
      <c r="AS54" s="308"/>
      <c r="AT54" s="308"/>
      <c r="AU54" s="308"/>
      <c r="AV54" s="308"/>
      <c r="AW54" s="308"/>
      <c r="AX54" s="308"/>
      <c r="AY54" s="308"/>
      <c r="AZ54" s="308"/>
      <c r="BA54" s="308"/>
      <c r="BB54" s="308"/>
      <c r="BC54" s="308"/>
      <c r="BD54" s="308"/>
      <c r="BE54" s="308"/>
      <c r="BF54" s="308"/>
      <c r="BG54" s="308"/>
      <c r="BH54" s="308"/>
      <c r="BI54" s="308"/>
      <c r="BJ54" s="308"/>
      <c r="BK54" s="308"/>
      <c r="BL54" s="308"/>
      <c r="BM54" s="308"/>
      <c r="BN54" s="308"/>
      <c r="JA54" s="308"/>
      <c r="JB54" s="308"/>
      <c r="JC54" s="308"/>
      <c r="JD54" s="308"/>
      <c r="JE54" s="308"/>
      <c r="JF54" s="308"/>
      <c r="JG54" s="308"/>
      <c r="JH54" s="308"/>
      <c r="JI54" s="308"/>
      <c r="JJ54" s="308"/>
      <c r="JK54" s="308"/>
      <c r="JL54" s="308"/>
    </row>
    <row r="55" spans="1:272">
      <c r="Q55" s="307" t="s">
        <v>980</v>
      </c>
      <c r="R55" s="307" t="str">
        <f>IF(COUNTIF(R52:R54,"L1")&gt;=1,"L1","RAAC")</f>
        <v>RAAC</v>
      </c>
      <c r="S55" s="307" t="str">
        <f>IF(S35="Consider",IF(COUNTIF(S52:S53,"L2P")&gt;=1,"L2P",IF(COUNTIF(S52:S53,"L2")&gt;=1,"L2","RAAC")),"RAAC")</f>
        <v>RAAC</v>
      </c>
      <c r="T55" s="307" t="str">
        <f>IF(T35="Consider",IF(COUNTIF(T52:T53,"L2P")&gt;=1,"L2P",IF(COUNTIF(T52:T53,"L2")&gt;=1,"L2","RAAC")),"RAAC")</f>
        <v>RAAC</v>
      </c>
      <c r="U55" s="307" t="str">
        <f>IF(U35="Consider",IF(COUNTIF(U52:U53,"L2P")&gt;=1,"L2P",IF(COUNTIF(U52:U53,"L2")&gt;=1,"L2","RAAC")),"RAAC")</f>
        <v>RAAC</v>
      </c>
      <c r="V55" s="307" t="str">
        <f>IF(V35="Consider",IF(COUNTIF(V52:V53,"L2P")&gt;=1,"L2P",IF(COUNTIF(V52:V53,"L2")&gt;=1,"L2","RAAC")),"RAAC")</f>
        <v>RAAC</v>
      </c>
    </row>
    <row r="57" spans="1:272">
      <c r="Q57" s="826" t="s">
        <v>979</v>
      </c>
      <c r="R57" s="826"/>
    </row>
    <row r="58" spans="1:272" ht="15">
      <c r="Q58" s="323" t="s">
        <v>974</v>
      </c>
      <c r="R58" s="322" t="str">
        <f>IF(COUNTIF(R55:V55,"RAAC")=5,"RAAC","Not at RAAC")</f>
        <v>RAAC</v>
      </c>
    </row>
    <row r="59" spans="1:272" ht="15">
      <c r="Q59" s="323" t="s">
        <v>981</v>
      </c>
      <c r="R59" s="308" t="str">
        <f>IF(OR(COUNTIF(R55:V55,"L1")&gt;=1,COUNTIF(R55:V55,"L2P")&gt;=1),"Not at L2",IF(COUNTIF(R55:V55,"L2")&gt;=1,"L2","Not at L2"))</f>
        <v>Not at L2</v>
      </c>
    </row>
    <row r="60" spans="1:272" ht="15">
      <c r="Q60" s="323" t="s">
        <v>975</v>
      </c>
      <c r="R60" s="308" t="str">
        <f>IF(OR(COUNTIF(R55:V55,"L1")&gt;=1,COUNTIF(R55:V55,"L2")&gt;=1),"Not at L2P",IF(COUNTIF(R55:V55,"L2P")&gt;=1,"L2P","Not at L2P"))</f>
        <v>Not at L2P</v>
      </c>
    </row>
    <row r="61" spans="1:272" ht="15">
      <c r="Q61" s="323" t="s">
        <v>976</v>
      </c>
      <c r="R61" s="307" t="str">
        <f>IF(COUNTIF(R55:V55,"L1")&gt;=1,"L1","Not at L1")</f>
        <v>Not at L1</v>
      </c>
    </row>
  </sheetData>
  <sheetProtection algorithmName="SHA-512" hashValue="ZMqiPg6QfeKEN1Mv8K/u/egnkNPE1ERxO1VlkrJRSS0PuAGOOe4fbZeKPv/I6r9aLM5PYh8QAUY61qdNSP0YIg==" saltValue="pfIZIONnirFbPKk2qZorww==" spinCount="100000" sheet="1" objects="1" scenarios="1" formatCells="0" formatColumns="0" formatRows="0"/>
  <mergeCells count="4">
    <mergeCell ref="A3:F3"/>
    <mergeCell ref="I3:N3"/>
    <mergeCell ref="Q3:V3"/>
    <mergeCell ref="Q57:R57"/>
  </mergeCells>
  <phoneticPr fontId="73" type="noConversion"/>
  <conditionalFormatting sqref="S5">
    <cfRule type="expression" dxfId="17" priority="8">
      <formula>$S$2&lt;W5</formula>
    </cfRule>
  </conditionalFormatting>
  <conditionalFormatting sqref="S6:S16">
    <cfRule type="expression" dxfId="16" priority="7">
      <formula>$S$2&lt;W6</formula>
    </cfRule>
  </conditionalFormatting>
  <conditionalFormatting sqref="T16">
    <cfRule type="expression" dxfId="15" priority="6">
      <formula>$T$2&lt;W16</formula>
    </cfRule>
  </conditionalFormatting>
  <conditionalFormatting sqref="T5:T15">
    <cfRule type="expression" dxfId="14" priority="5">
      <formula>$T$2&lt;W5</formula>
    </cfRule>
  </conditionalFormatting>
  <conditionalFormatting sqref="U16">
    <cfRule type="expression" dxfId="13" priority="4">
      <formula>$U$2&lt;W16</formula>
    </cfRule>
  </conditionalFormatting>
  <conditionalFormatting sqref="V16">
    <cfRule type="expression" dxfId="12" priority="3">
      <formula>$V$2&lt;W16</formula>
    </cfRule>
  </conditionalFormatting>
  <conditionalFormatting sqref="U5:U15">
    <cfRule type="expression" dxfId="11" priority="2">
      <formula>$U$2&lt;W5</formula>
    </cfRule>
  </conditionalFormatting>
  <conditionalFormatting sqref="V5:V15">
    <cfRule type="expression" dxfId="10" priority="1">
      <formula>$V$2&lt;W5</formula>
    </cfRule>
  </conditionalFormatting>
  <dataValidations count="7">
    <dataValidation type="list" allowBlank="1" showInputMessage="1" showErrorMessage="1" sqref="S2:V2" xr:uid="{8FC0432B-1777-45D8-A5F9-CD6E271E7AE0}">
      <formula1>$AJ$5:$AJ$11</formula1>
    </dataValidation>
    <dataValidation type="list" allowBlank="1" showInputMessage="1" showErrorMessage="1" sqref="U4:V4" xr:uid="{F10033EA-A86B-4DE6-BBFA-ED976D4C921B}">
      <formula1>IF($B$1&gt;3,$AI$7:$AI$8,$X$6)</formula1>
    </dataValidation>
    <dataValidation type="list" allowBlank="1" showInputMessage="1" showErrorMessage="1" sqref="T4" xr:uid="{3B13B564-6A02-4789-A26C-959FA9CD942E}">
      <formula1>IF($B$1&gt;2,$AI$7:$AI$8,$X$6)</formula1>
    </dataValidation>
    <dataValidation type="list" allowBlank="1" showInputMessage="1" showErrorMessage="1" sqref="S4" xr:uid="{8B09AA1E-BC2E-4E73-AFEC-8A172FAAC604}">
      <formula1>IF($B$1&gt;1,$AI$7:$AI$8,$X$6)</formula1>
    </dataValidation>
    <dataValidation type="list" allowBlank="1" showInputMessage="1" showErrorMessage="1" sqref="B1" xr:uid="{A460EA87-9E68-494A-9A50-46E850FCACFA}">
      <formula1>$C$27:$C$31</formula1>
    </dataValidation>
    <dataValidation type="whole" allowBlank="1" showInputMessage="1" showErrorMessage="1" errorTitle="Error" error="Value has to be Whole number only." sqref="B24:B26 D24:D26 F24:F26 B29 F29 D29" xr:uid="{4FAE50CF-F45B-4C5D-BBCF-36FCA351542F}">
      <formula1>0</formula1>
      <formula2>5000</formula2>
    </dataValidation>
    <dataValidation allowBlank="1" showInputMessage="1" showErrorMessage="1" errorTitle="Error" error="Value has to be Whole number only." sqref="Q66:Q65536 Q55:Q57 Q46 A30:E65536 F46:P65536 F30:P40" xr:uid="{9F18A231-E18C-4754-AFFC-C421B0A15CA1}"/>
  </dataValidations>
  <pageMargins left="0.78749999999999998" right="0.78749999999999998" top="1.0527777777777778" bottom="1.0527777777777778" header="0.78749999999999998" footer="0.78749999999999998"/>
  <pageSetup paperSize="9" firstPageNumber="0" orientation="portrait" horizontalDpi="300" verticalDpi="300" r:id="rId1"/>
  <headerFooter alignWithMargins="0">
    <oddHeader>&amp;C&amp;"Times New Roman,Regular"&amp;12&amp;A</oddHeader>
    <oddFooter>&amp;C&amp;"Times New Roman,Regular"&amp;12Page &amp;P</oddFooter>
  </headerFooter>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C156E-F7BD-4F0A-83F1-0D719E35ED7F}">
  <sheetPr codeName="Sheet22">
    <tabColor theme="3" tint="-0.499984740745262"/>
  </sheetPr>
  <dimension ref="A1:AH92"/>
  <sheetViews>
    <sheetView topLeftCell="A55" workbookViewId="0">
      <selection activeCell="E27" sqref="E27:G27"/>
    </sheetView>
  </sheetViews>
  <sheetFormatPr defaultRowHeight="12.75"/>
  <cols>
    <col min="1" max="1" width="3" style="326" customWidth="1"/>
    <col min="2" max="2" width="3.5703125" style="327" customWidth="1"/>
    <col min="3" max="3" width="10.140625" style="327" bestFit="1" customWidth="1"/>
    <col min="4" max="4" width="30.7109375" style="327" customWidth="1"/>
    <col min="5" max="5" width="12.7109375" style="327" customWidth="1"/>
    <col min="6" max="6" width="15.5703125" style="327" customWidth="1"/>
    <col min="7" max="7" width="23.5703125" style="327" customWidth="1"/>
    <col min="8" max="8" width="6.28515625" style="327" bestFit="1" customWidth="1"/>
    <col min="9" max="9" width="12.140625" style="327" customWidth="1"/>
    <col min="10" max="10" width="6.28515625" style="327" bestFit="1" customWidth="1"/>
    <col min="11" max="11" width="12.140625" style="327" customWidth="1"/>
    <col min="12" max="12" width="6.28515625" style="327" bestFit="1" customWidth="1"/>
    <col min="13" max="13" width="12.140625" style="327" customWidth="1"/>
    <col min="14" max="14" width="6.28515625" style="327" bestFit="1" customWidth="1"/>
    <col min="15" max="15" width="12.140625" style="327" customWidth="1"/>
    <col min="16" max="16" width="6.28515625" style="327" bestFit="1" customWidth="1"/>
    <col min="17" max="17" width="12.140625" style="327" customWidth="1"/>
    <col min="18" max="18" width="6.28515625" style="327" bestFit="1" customWidth="1"/>
    <col min="19" max="19" width="12.140625" style="327" customWidth="1"/>
    <col min="20" max="20" width="6.28515625" style="327" bestFit="1" customWidth="1"/>
    <col min="21" max="21" width="12.140625" style="327" customWidth="1"/>
    <col min="22" max="22" width="6.28515625" style="327" customWidth="1"/>
    <col min="23" max="23" width="12.140625" style="327" customWidth="1"/>
    <col min="24" max="24" width="6.28515625" style="327" customWidth="1"/>
    <col min="25" max="25" width="12.140625" style="327" customWidth="1"/>
    <col min="26" max="26" width="6.28515625" style="327" customWidth="1"/>
    <col min="27" max="27" width="12.140625" style="327" customWidth="1"/>
    <col min="28" max="28" width="6.28515625" style="327" customWidth="1"/>
    <col min="29" max="29" width="12.140625" style="327" customWidth="1"/>
    <col min="30" max="30" width="6.28515625" style="327" customWidth="1"/>
    <col min="31" max="31" width="12.140625" style="327" customWidth="1"/>
    <col min="32" max="32" width="6.28515625" style="327" customWidth="1"/>
    <col min="33" max="33" width="12.140625" style="327" customWidth="1"/>
    <col min="34" max="34" width="37.7109375" style="327" customWidth="1"/>
    <col min="35" max="237" width="9.140625" style="327"/>
    <col min="238" max="238" width="1.7109375" style="327" customWidth="1"/>
    <col min="239" max="239" width="3.5703125" style="327" customWidth="1"/>
    <col min="240" max="240" width="11" style="327" customWidth="1"/>
    <col min="241" max="241" width="20.7109375" style="327" customWidth="1"/>
    <col min="242" max="243" width="11.7109375" style="327" customWidth="1"/>
    <col min="244" max="244" width="9.7109375" style="327" customWidth="1"/>
    <col min="245" max="245" width="10.140625" style="327" bestFit="1" customWidth="1"/>
    <col min="246" max="247" width="7.7109375" style="327" customWidth="1"/>
    <col min="248" max="248" width="4" style="327" customWidth="1"/>
    <col min="249" max="249" width="9.7109375" style="327" customWidth="1"/>
    <col min="250" max="250" width="15.140625" style="327" customWidth="1"/>
    <col min="251" max="251" width="5.140625" style="327" customWidth="1"/>
    <col min="252" max="252" width="9.7109375" style="327" customWidth="1"/>
    <col min="253" max="253" width="13.7109375" style="327" customWidth="1"/>
    <col min="254" max="254" width="5.140625" style="327" customWidth="1"/>
    <col min="255" max="255" width="9.7109375" style="327" customWidth="1"/>
    <col min="256" max="256" width="12.5703125" style="327" customWidth="1"/>
    <col min="257" max="257" width="5.140625" style="327" customWidth="1"/>
    <col min="258" max="258" width="9.7109375" style="327" customWidth="1"/>
    <col min="259" max="259" width="12.7109375" style="327" customWidth="1"/>
    <col min="260" max="260" width="5.140625" style="327" customWidth="1"/>
    <col min="261" max="261" width="9.7109375" style="327" customWidth="1"/>
    <col min="262" max="262" width="12.7109375" style="327" customWidth="1"/>
    <col min="263" max="263" width="5.140625" style="327" customWidth="1"/>
    <col min="264" max="264" width="9.7109375" style="327" customWidth="1"/>
    <col min="265" max="265" width="12.7109375" style="327" customWidth="1"/>
    <col min="266" max="266" width="5.140625" style="327" customWidth="1"/>
    <col min="267" max="267" width="9.7109375" style="327" customWidth="1"/>
    <col min="268" max="268" width="12.7109375" style="327" customWidth="1"/>
    <col min="269" max="269" width="5.140625" style="327" customWidth="1"/>
    <col min="270" max="270" width="9.7109375" style="327" customWidth="1"/>
    <col min="271" max="271" width="12.7109375" style="327" customWidth="1"/>
    <col min="272" max="272" width="5.140625" style="327" customWidth="1"/>
    <col min="273" max="273" width="9.7109375" style="327" customWidth="1"/>
    <col min="274" max="274" width="12.7109375" style="327" customWidth="1"/>
    <col min="275" max="275" width="5.140625" style="327" customWidth="1"/>
    <col min="276" max="276" width="9.7109375" style="327" customWidth="1"/>
    <col min="277" max="277" width="12.7109375" style="327" customWidth="1"/>
    <col min="278" max="278" width="5.140625" style="327" customWidth="1"/>
    <col min="279" max="279" width="9.7109375" style="327" customWidth="1"/>
    <col min="280" max="280" width="12.7109375" style="327" customWidth="1"/>
    <col min="281" max="281" width="5.140625" style="327" customWidth="1"/>
    <col min="282" max="282" width="9.7109375" style="327" customWidth="1"/>
    <col min="283" max="283" width="12.7109375" style="327" customWidth="1"/>
    <col min="284" max="284" width="5.140625" style="327" customWidth="1"/>
    <col min="285" max="285" width="9.7109375" style="327" customWidth="1"/>
    <col min="286" max="286" width="12.7109375" style="327" customWidth="1"/>
    <col min="287" max="287" width="5.140625" style="327" customWidth="1"/>
    <col min="288" max="288" width="9.7109375" style="327" customWidth="1"/>
    <col min="289" max="289" width="12.7109375" style="327" customWidth="1"/>
    <col min="290" max="290" width="37.7109375" style="327" customWidth="1"/>
    <col min="291" max="493" width="9.140625" style="327"/>
    <col min="494" max="494" width="1.7109375" style="327" customWidth="1"/>
    <col min="495" max="495" width="3.5703125" style="327" customWidth="1"/>
    <col min="496" max="496" width="11" style="327" customWidth="1"/>
    <col min="497" max="497" width="20.7109375" style="327" customWidth="1"/>
    <col min="498" max="499" width="11.7109375" style="327" customWidth="1"/>
    <col min="500" max="500" width="9.7109375" style="327" customWidth="1"/>
    <col min="501" max="501" width="10.140625" style="327" bestFit="1" customWidth="1"/>
    <col min="502" max="503" width="7.7109375" style="327" customWidth="1"/>
    <col min="504" max="504" width="4" style="327" customWidth="1"/>
    <col min="505" max="505" width="9.7109375" style="327" customWidth="1"/>
    <col min="506" max="506" width="15.140625" style="327" customWidth="1"/>
    <col min="507" max="507" width="5.140625" style="327" customWidth="1"/>
    <col min="508" max="508" width="9.7109375" style="327" customWidth="1"/>
    <col min="509" max="509" width="13.7109375" style="327" customWidth="1"/>
    <col min="510" max="510" width="5.140625" style="327" customWidth="1"/>
    <col min="511" max="511" width="9.7109375" style="327" customWidth="1"/>
    <col min="512" max="512" width="12.5703125" style="327" customWidth="1"/>
    <col min="513" max="513" width="5.140625" style="327" customWidth="1"/>
    <col min="514" max="514" width="9.7109375" style="327" customWidth="1"/>
    <col min="515" max="515" width="12.7109375" style="327" customWidth="1"/>
    <col min="516" max="516" width="5.140625" style="327" customWidth="1"/>
    <col min="517" max="517" width="9.7109375" style="327" customWidth="1"/>
    <col min="518" max="518" width="12.7109375" style="327" customWidth="1"/>
    <col min="519" max="519" width="5.140625" style="327" customWidth="1"/>
    <col min="520" max="520" width="9.7109375" style="327" customWidth="1"/>
    <col min="521" max="521" width="12.7109375" style="327" customWidth="1"/>
    <col min="522" max="522" width="5.140625" style="327" customWidth="1"/>
    <col min="523" max="523" width="9.7109375" style="327" customWidth="1"/>
    <col min="524" max="524" width="12.7109375" style="327" customWidth="1"/>
    <col min="525" max="525" width="5.140625" style="327" customWidth="1"/>
    <col min="526" max="526" width="9.7109375" style="327" customWidth="1"/>
    <col min="527" max="527" width="12.7109375" style="327" customWidth="1"/>
    <col min="528" max="528" width="5.140625" style="327" customWidth="1"/>
    <col min="529" max="529" width="9.7109375" style="327" customWidth="1"/>
    <col min="530" max="530" width="12.7109375" style="327" customWidth="1"/>
    <col min="531" max="531" width="5.140625" style="327" customWidth="1"/>
    <col min="532" max="532" width="9.7109375" style="327" customWidth="1"/>
    <col min="533" max="533" width="12.7109375" style="327" customWidth="1"/>
    <col min="534" max="534" width="5.140625" style="327" customWidth="1"/>
    <col min="535" max="535" width="9.7109375" style="327" customWidth="1"/>
    <col min="536" max="536" width="12.7109375" style="327" customWidth="1"/>
    <col min="537" max="537" width="5.140625" style="327" customWidth="1"/>
    <col min="538" max="538" width="9.7109375" style="327" customWidth="1"/>
    <col min="539" max="539" width="12.7109375" style="327" customWidth="1"/>
    <col min="540" max="540" width="5.140625" style="327" customWidth="1"/>
    <col min="541" max="541" width="9.7109375" style="327" customWidth="1"/>
    <col min="542" max="542" width="12.7109375" style="327" customWidth="1"/>
    <col min="543" max="543" width="5.140625" style="327" customWidth="1"/>
    <col min="544" max="544" width="9.7109375" style="327" customWidth="1"/>
    <col min="545" max="545" width="12.7109375" style="327" customWidth="1"/>
    <col min="546" max="546" width="37.7109375" style="327" customWidth="1"/>
    <col min="547" max="749" width="9.140625" style="327"/>
    <col min="750" max="750" width="1.7109375" style="327" customWidth="1"/>
    <col min="751" max="751" width="3.5703125" style="327" customWidth="1"/>
    <col min="752" max="752" width="11" style="327" customWidth="1"/>
    <col min="753" max="753" width="20.7109375" style="327" customWidth="1"/>
    <col min="754" max="755" width="11.7109375" style="327" customWidth="1"/>
    <col min="756" max="756" width="9.7109375" style="327" customWidth="1"/>
    <col min="757" max="757" width="10.140625" style="327" bestFit="1" customWidth="1"/>
    <col min="758" max="759" width="7.7109375" style="327" customWidth="1"/>
    <col min="760" max="760" width="4" style="327" customWidth="1"/>
    <col min="761" max="761" width="9.7109375" style="327" customWidth="1"/>
    <col min="762" max="762" width="15.140625" style="327" customWidth="1"/>
    <col min="763" max="763" width="5.140625" style="327" customWidth="1"/>
    <col min="764" max="764" width="9.7109375" style="327" customWidth="1"/>
    <col min="765" max="765" width="13.7109375" style="327" customWidth="1"/>
    <col min="766" max="766" width="5.140625" style="327" customWidth="1"/>
    <col min="767" max="767" width="9.7109375" style="327" customWidth="1"/>
    <col min="768" max="768" width="12.5703125" style="327" customWidth="1"/>
    <col min="769" max="769" width="5.140625" style="327" customWidth="1"/>
    <col min="770" max="770" width="9.7109375" style="327" customWidth="1"/>
    <col min="771" max="771" width="12.7109375" style="327" customWidth="1"/>
    <col min="772" max="772" width="5.140625" style="327" customWidth="1"/>
    <col min="773" max="773" width="9.7109375" style="327" customWidth="1"/>
    <col min="774" max="774" width="12.7109375" style="327" customWidth="1"/>
    <col min="775" max="775" width="5.140625" style="327" customWidth="1"/>
    <col min="776" max="776" width="9.7109375" style="327" customWidth="1"/>
    <col min="777" max="777" width="12.7109375" style="327" customWidth="1"/>
    <col min="778" max="778" width="5.140625" style="327" customWidth="1"/>
    <col min="779" max="779" width="9.7109375" style="327" customWidth="1"/>
    <col min="780" max="780" width="12.7109375" style="327" customWidth="1"/>
    <col min="781" max="781" width="5.140625" style="327" customWidth="1"/>
    <col min="782" max="782" width="9.7109375" style="327" customWidth="1"/>
    <col min="783" max="783" width="12.7109375" style="327" customWidth="1"/>
    <col min="784" max="784" width="5.140625" style="327" customWidth="1"/>
    <col min="785" max="785" width="9.7109375" style="327" customWidth="1"/>
    <col min="786" max="786" width="12.7109375" style="327" customWidth="1"/>
    <col min="787" max="787" width="5.140625" style="327" customWidth="1"/>
    <col min="788" max="788" width="9.7109375" style="327" customWidth="1"/>
    <col min="789" max="789" width="12.7109375" style="327" customWidth="1"/>
    <col min="790" max="790" width="5.140625" style="327" customWidth="1"/>
    <col min="791" max="791" width="9.7109375" style="327" customWidth="1"/>
    <col min="792" max="792" width="12.7109375" style="327" customWidth="1"/>
    <col min="793" max="793" width="5.140625" style="327" customWidth="1"/>
    <col min="794" max="794" width="9.7109375" style="327" customWidth="1"/>
    <col min="795" max="795" width="12.7109375" style="327" customWidth="1"/>
    <col min="796" max="796" width="5.140625" style="327" customWidth="1"/>
    <col min="797" max="797" width="9.7109375" style="327" customWidth="1"/>
    <col min="798" max="798" width="12.7109375" style="327" customWidth="1"/>
    <col min="799" max="799" width="5.140625" style="327" customWidth="1"/>
    <col min="800" max="800" width="9.7109375" style="327" customWidth="1"/>
    <col min="801" max="801" width="12.7109375" style="327" customWidth="1"/>
    <col min="802" max="802" width="37.7109375" style="327" customWidth="1"/>
    <col min="803" max="1005" width="9.140625" style="327"/>
    <col min="1006" max="1006" width="1.7109375" style="327" customWidth="1"/>
    <col min="1007" max="1007" width="3.5703125" style="327" customWidth="1"/>
    <col min="1008" max="1008" width="11" style="327" customWidth="1"/>
    <col min="1009" max="1009" width="20.7109375" style="327" customWidth="1"/>
    <col min="1010" max="1011" width="11.7109375" style="327" customWidth="1"/>
    <col min="1012" max="1012" width="9.7109375" style="327" customWidth="1"/>
    <col min="1013" max="1013" width="10.140625" style="327" bestFit="1" customWidth="1"/>
    <col min="1014" max="1015" width="7.7109375" style="327" customWidth="1"/>
    <col min="1016" max="1016" width="4" style="327" customWidth="1"/>
    <col min="1017" max="1017" width="9.7109375" style="327" customWidth="1"/>
    <col min="1018" max="1018" width="15.140625" style="327" customWidth="1"/>
    <col min="1019" max="1019" width="5.140625" style="327" customWidth="1"/>
    <col min="1020" max="1020" width="9.7109375" style="327" customWidth="1"/>
    <col min="1021" max="1021" width="13.7109375" style="327" customWidth="1"/>
    <col min="1022" max="1022" width="5.140625" style="327" customWidth="1"/>
    <col min="1023" max="1023" width="9.7109375" style="327" customWidth="1"/>
    <col min="1024" max="1024" width="12.5703125" style="327" customWidth="1"/>
    <col min="1025" max="1025" width="5.140625" style="327" customWidth="1"/>
    <col min="1026" max="1026" width="9.7109375" style="327" customWidth="1"/>
    <col min="1027" max="1027" width="12.7109375" style="327" customWidth="1"/>
    <col min="1028" max="1028" width="5.140625" style="327" customWidth="1"/>
    <col min="1029" max="1029" width="9.7109375" style="327" customWidth="1"/>
    <col min="1030" max="1030" width="12.7109375" style="327" customWidth="1"/>
    <col min="1031" max="1031" width="5.140625" style="327" customWidth="1"/>
    <col min="1032" max="1032" width="9.7109375" style="327" customWidth="1"/>
    <col min="1033" max="1033" width="12.7109375" style="327" customWidth="1"/>
    <col min="1034" max="1034" width="5.140625" style="327" customWidth="1"/>
    <col min="1035" max="1035" width="9.7109375" style="327" customWidth="1"/>
    <col min="1036" max="1036" width="12.7109375" style="327" customWidth="1"/>
    <col min="1037" max="1037" width="5.140625" style="327" customWidth="1"/>
    <col min="1038" max="1038" width="9.7109375" style="327" customWidth="1"/>
    <col min="1039" max="1039" width="12.7109375" style="327" customWidth="1"/>
    <col min="1040" max="1040" width="5.140625" style="327" customWidth="1"/>
    <col min="1041" max="1041" width="9.7109375" style="327" customWidth="1"/>
    <col min="1042" max="1042" width="12.7109375" style="327" customWidth="1"/>
    <col min="1043" max="1043" width="5.140625" style="327" customWidth="1"/>
    <col min="1044" max="1044" width="9.7109375" style="327" customWidth="1"/>
    <col min="1045" max="1045" width="12.7109375" style="327" customWidth="1"/>
    <col min="1046" max="1046" width="5.140625" style="327" customWidth="1"/>
    <col min="1047" max="1047" width="9.7109375" style="327" customWidth="1"/>
    <col min="1048" max="1048" width="12.7109375" style="327" customWidth="1"/>
    <col min="1049" max="1049" width="5.140625" style="327" customWidth="1"/>
    <col min="1050" max="1050" width="9.7109375" style="327" customWidth="1"/>
    <col min="1051" max="1051" width="12.7109375" style="327" customWidth="1"/>
    <col min="1052" max="1052" width="5.140625" style="327" customWidth="1"/>
    <col min="1053" max="1053" width="9.7109375" style="327" customWidth="1"/>
    <col min="1054" max="1054" width="12.7109375" style="327" customWidth="1"/>
    <col min="1055" max="1055" width="5.140625" style="327" customWidth="1"/>
    <col min="1056" max="1056" width="9.7109375" style="327" customWidth="1"/>
    <col min="1057" max="1057" width="12.7109375" style="327" customWidth="1"/>
    <col min="1058" max="1058" width="37.7109375" style="327" customWidth="1"/>
    <col min="1059" max="1261" width="9.140625" style="327"/>
    <col min="1262" max="1262" width="1.7109375" style="327" customWidth="1"/>
    <col min="1263" max="1263" width="3.5703125" style="327" customWidth="1"/>
    <col min="1264" max="1264" width="11" style="327" customWidth="1"/>
    <col min="1265" max="1265" width="20.7109375" style="327" customWidth="1"/>
    <col min="1266" max="1267" width="11.7109375" style="327" customWidth="1"/>
    <col min="1268" max="1268" width="9.7109375" style="327" customWidth="1"/>
    <col min="1269" max="1269" width="10.140625" style="327" bestFit="1" customWidth="1"/>
    <col min="1270" max="1271" width="7.7109375" style="327" customWidth="1"/>
    <col min="1272" max="1272" width="4" style="327" customWidth="1"/>
    <col min="1273" max="1273" width="9.7109375" style="327" customWidth="1"/>
    <col min="1274" max="1274" width="15.140625" style="327" customWidth="1"/>
    <col min="1275" max="1275" width="5.140625" style="327" customWidth="1"/>
    <col min="1276" max="1276" width="9.7109375" style="327" customWidth="1"/>
    <col min="1277" max="1277" width="13.7109375" style="327" customWidth="1"/>
    <col min="1278" max="1278" width="5.140625" style="327" customWidth="1"/>
    <col min="1279" max="1279" width="9.7109375" style="327" customWidth="1"/>
    <col min="1280" max="1280" width="12.5703125" style="327" customWidth="1"/>
    <col min="1281" max="1281" width="5.140625" style="327" customWidth="1"/>
    <col min="1282" max="1282" width="9.7109375" style="327" customWidth="1"/>
    <col min="1283" max="1283" width="12.7109375" style="327" customWidth="1"/>
    <col min="1284" max="1284" width="5.140625" style="327" customWidth="1"/>
    <col min="1285" max="1285" width="9.7109375" style="327" customWidth="1"/>
    <col min="1286" max="1286" width="12.7109375" style="327" customWidth="1"/>
    <col min="1287" max="1287" width="5.140625" style="327" customWidth="1"/>
    <col min="1288" max="1288" width="9.7109375" style="327" customWidth="1"/>
    <col min="1289" max="1289" width="12.7109375" style="327" customWidth="1"/>
    <col min="1290" max="1290" width="5.140625" style="327" customWidth="1"/>
    <col min="1291" max="1291" width="9.7109375" style="327" customWidth="1"/>
    <col min="1292" max="1292" width="12.7109375" style="327" customWidth="1"/>
    <col min="1293" max="1293" width="5.140625" style="327" customWidth="1"/>
    <col min="1294" max="1294" width="9.7109375" style="327" customWidth="1"/>
    <col min="1295" max="1295" width="12.7109375" style="327" customWidth="1"/>
    <col min="1296" max="1296" width="5.140625" style="327" customWidth="1"/>
    <col min="1297" max="1297" width="9.7109375" style="327" customWidth="1"/>
    <col min="1298" max="1298" width="12.7109375" style="327" customWidth="1"/>
    <col min="1299" max="1299" width="5.140625" style="327" customWidth="1"/>
    <col min="1300" max="1300" width="9.7109375" style="327" customWidth="1"/>
    <col min="1301" max="1301" width="12.7109375" style="327" customWidth="1"/>
    <col min="1302" max="1302" width="5.140625" style="327" customWidth="1"/>
    <col min="1303" max="1303" width="9.7109375" style="327" customWidth="1"/>
    <col min="1304" max="1304" width="12.7109375" style="327" customWidth="1"/>
    <col min="1305" max="1305" width="5.140625" style="327" customWidth="1"/>
    <col min="1306" max="1306" width="9.7109375" style="327" customWidth="1"/>
    <col min="1307" max="1307" width="12.7109375" style="327" customWidth="1"/>
    <col min="1308" max="1308" width="5.140625" style="327" customWidth="1"/>
    <col min="1309" max="1309" width="9.7109375" style="327" customWidth="1"/>
    <col min="1310" max="1310" width="12.7109375" style="327" customWidth="1"/>
    <col min="1311" max="1311" width="5.140625" style="327" customWidth="1"/>
    <col min="1312" max="1312" width="9.7109375" style="327" customWidth="1"/>
    <col min="1313" max="1313" width="12.7109375" style="327" customWidth="1"/>
    <col min="1314" max="1314" width="37.7109375" style="327" customWidth="1"/>
    <col min="1315" max="1517" width="9.140625" style="327"/>
    <col min="1518" max="1518" width="1.7109375" style="327" customWidth="1"/>
    <col min="1519" max="1519" width="3.5703125" style="327" customWidth="1"/>
    <col min="1520" max="1520" width="11" style="327" customWidth="1"/>
    <col min="1521" max="1521" width="20.7109375" style="327" customWidth="1"/>
    <col min="1522" max="1523" width="11.7109375" style="327" customWidth="1"/>
    <col min="1524" max="1524" width="9.7109375" style="327" customWidth="1"/>
    <col min="1525" max="1525" width="10.140625" style="327" bestFit="1" customWidth="1"/>
    <col min="1526" max="1527" width="7.7109375" style="327" customWidth="1"/>
    <col min="1528" max="1528" width="4" style="327" customWidth="1"/>
    <col min="1529" max="1529" width="9.7109375" style="327" customWidth="1"/>
    <col min="1530" max="1530" width="15.140625" style="327" customWidth="1"/>
    <col min="1531" max="1531" width="5.140625" style="327" customWidth="1"/>
    <col min="1532" max="1532" width="9.7109375" style="327" customWidth="1"/>
    <col min="1533" max="1533" width="13.7109375" style="327" customWidth="1"/>
    <col min="1534" max="1534" width="5.140625" style="327" customWidth="1"/>
    <col min="1535" max="1535" width="9.7109375" style="327" customWidth="1"/>
    <col min="1536" max="1536" width="12.5703125" style="327" customWidth="1"/>
    <col min="1537" max="1537" width="5.140625" style="327" customWidth="1"/>
    <col min="1538" max="1538" width="9.7109375" style="327" customWidth="1"/>
    <col min="1539" max="1539" width="12.7109375" style="327" customWidth="1"/>
    <col min="1540" max="1540" width="5.140625" style="327" customWidth="1"/>
    <col min="1541" max="1541" width="9.7109375" style="327" customWidth="1"/>
    <col min="1542" max="1542" width="12.7109375" style="327" customWidth="1"/>
    <col min="1543" max="1543" width="5.140625" style="327" customWidth="1"/>
    <col min="1544" max="1544" width="9.7109375" style="327" customWidth="1"/>
    <col min="1545" max="1545" width="12.7109375" style="327" customWidth="1"/>
    <col min="1546" max="1546" width="5.140625" style="327" customWidth="1"/>
    <col min="1547" max="1547" width="9.7109375" style="327" customWidth="1"/>
    <col min="1548" max="1548" width="12.7109375" style="327" customWidth="1"/>
    <col min="1549" max="1549" width="5.140625" style="327" customWidth="1"/>
    <col min="1550" max="1550" width="9.7109375" style="327" customWidth="1"/>
    <col min="1551" max="1551" width="12.7109375" style="327" customWidth="1"/>
    <col min="1552" max="1552" width="5.140625" style="327" customWidth="1"/>
    <col min="1553" max="1553" width="9.7109375" style="327" customWidth="1"/>
    <col min="1554" max="1554" width="12.7109375" style="327" customWidth="1"/>
    <col min="1555" max="1555" width="5.140625" style="327" customWidth="1"/>
    <col min="1556" max="1556" width="9.7109375" style="327" customWidth="1"/>
    <col min="1557" max="1557" width="12.7109375" style="327" customWidth="1"/>
    <col min="1558" max="1558" width="5.140625" style="327" customWidth="1"/>
    <col min="1559" max="1559" width="9.7109375" style="327" customWidth="1"/>
    <col min="1560" max="1560" width="12.7109375" style="327" customWidth="1"/>
    <col min="1561" max="1561" width="5.140625" style="327" customWidth="1"/>
    <col min="1562" max="1562" width="9.7109375" style="327" customWidth="1"/>
    <col min="1563" max="1563" width="12.7109375" style="327" customWidth="1"/>
    <col min="1564" max="1564" width="5.140625" style="327" customWidth="1"/>
    <col min="1565" max="1565" width="9.7109375" style="327" customWidth="1"/>
    <col min="1566" max="1566" width="12.7109375" style="327" customWidth="1"/>
    <col min="1567" max="1567" width="5.140625" style="327" customWidth="1"/>
    <col min="1568" max="1568" width="9.7109375" style="327" customWidth="1"/>
    <col min="1569" max="1569" width="12.7109375" style="327" customWidth="1"/>
    <col min="1570" max="1570" width="37.7109375" style="327" customWidth="1"/>
    <col min="1571" max="1773" width="9.140625" style="327"/>
    <col min="1774" max="1774" width="1.7109375" style="327" customWidth="1"/>
    <col min="1775" max="1775" width="3.5703125" style="327" customWidth="1"/>
    <col min="1776" max="1776" width="11" style="327" customWidth="1"/>
    <col min="1777" max="1777" width="20.7109375" style="327" customWidth="1"/>
    <col min="1778" max="1779" width="11.7109375" style="327" customWidth="1"/>
    <col min="1780" max="1780" width="9.7109375" style="327" customWidth="1"/>
    <col min="1781" max="1781" width="10.140625" style="327" bestFit="1" customWidth="1"/>
    <col min="1782" max="1783" width="7.7109375" style="327" customWidth="1"/>
    <col min="1784" max="1784" width="4" style="327" customWidth="1"/>
    <col min="1785" max="1785" width="9.7109375" style="327" customWidth="1"/>
    <col min="1786" max="1786" width="15.140625" style="327" customWidth="1"/>
    <col min="1787" max="1787" width="5.140625" style="327" customWidth="1"/>
    <col min="1788" max="1788" width="9.7109375" style="327" customWidth="1"/>
    <col min="1789" max="1789" width="13.7109375" style="327" customWidth="1"/>
    <col min="1790" max="1790" width="5.140625" style="327" customWidth="1"/>
    <col min="1791" max="1791" width="9.7109375" style="327" customWidth="1"/>
    <col min="1792" max="1792" width="12.5703125" style="327" customWidth="1"/>
    <col min="1793" max="1793" width="5.140625" style="327" customWidth="1"/>
    <col min="1794" max="1794" width="9.7109375" style="327" customWidth="1"/>
    <col min="1795" max="1795" width="12.7109375" style="327" customWidth="1"/>
    <col min="1796" max="1796" width="5.140625" style="327" customWidth="1"/>
    <col min="1797" max="1797" width="9.7109375" style="327" customWidth="1"/>
    <col min="1798" max="1798" width="12.7109375" style="327" customWidth="1"/>
    <col min="1799" max="1799" width="5.140625" style="327" customWidth="1"/>
    <col min="1800" max="1800" width="9.7109375" style="327" customWidth="1"/>
    <col min="1801" max="1801" width="12.7109375" style="327" customWidth="1"/>
    <col min="1802" max="1802" width="5.140625" style="327" customWidth="1"/>
    <col min="1803" max="1803" width="9.7109375" style="327" customWidth="1"/>
    <col min="1804" max="1804" width="12.7109375" style="327" customWidth="1"/>
    <col min="1805" max="1805" width="5.140625" style="327" customWidth="1"/>
    <col min="1806" max="1806" width="9.7109375" style="327" customWidth="1"/>
    <col min="1807" max="1807" width="12.7109375" style="327" customWidth="1"/>
    <col min="1808" max="1808" width="5.140625" style="327" customWidth="1"/>
    <col min="1809" max="1809" width="9.7109375" style="327" customWidth="1"/>
    <col min="1810" max="1810" width="12.7109375" style="327" customWidth="1"/>
    <col min="1811" max="1811" width="5.140625" style="327" customWidth="1"/>
    <col min="1812" max="1812" width="9.7109375" style="327" customWidth="1"/>
    <col min="1813" max="1813" width="12.7109375" style="327" customWidth="1"/>
    <col min="1814" max="1814" width="5.140625" style="327" customWidth="1"/>
    <col min="1815" max="1815" width="9.7109375" style="327" customWidth="1"/>
    <col min="1816" max="1816" width="12.7109375" style="327" customWidth="1"/>
    <col min="1817" max="1817" width="5.140625" style="327" customWidth="1"/>
    <col min="1818" max="1818" width="9.7109375" style="327" customWidth="1"/>
    <col min="1819" max="1819" width="12.7109375" style="327" customWidth="1"/>
    <col min="1820" max="1820" width="5.140625" style="327" customWidth="1"/>
    <col min="1821" max="1821" width="9.7109375" style="327" customWidth="1"/>
    <col min="1822" max="1822" width="12.7109375" style="327" customWidth="1"/>
    <col min="1823" max="1823" width="5.140625" style="327" customWidth="1"/>
    <col min="1824" max="1824" width="9.7109375" style="327" customWidth="1"/>
    <col min="1825" max="1825" width="12.7109375" style="327" customWidth="1"/>
    <col min="1826" max="1826" width="37.7109375" style="327" customWidth="1"/>
    <col min="1827" max="2029" width="9.140625" style="327"/>
    <col min="2030" max="2030" width="1.7109375" style="327" customWidth="1"/>
    <col min="2031" max="2031" width="3.5703125" style="327" customWidth="1"/>
    <col min="2032" max="2032" width="11" style="327" customWidth="1"/>
    <col min="2033" max="2033" width="20.7109375" style="327" customWidth="1"/>
    <col min="2034" max="2035" width="11.7109375" style="327" customWidth="1"/>
    <col min="2036" max="2036" width="9.7109375" style="327" customWidth="1"/>
    <col min="2037" max="2037" width="10.140625" style="327" bestFit="1" customWidth="1"/>
    <col min="2038" max="2039" width="7.7109375" style="327" customWidth="1"/>
    <col min="2040" max="2040" width="4" style="327" customWidth="1"/>
    <col min="2041" max="2041" width="9.7109375" style="327" customWidth="1"/>
    <col min="2042" max="2042" width="15.140625" style="327" customWidth="1"/>
    <col min="2043" max="2043" width="5.140625" style="327" customWidth="1"/>
    <col min="2044" max="2044" width="9.7109375" style="327" customWidth="1"/>
    <col min="2045" max="2045" width="13.7109375" style="327" customWidth="1"/>
    <col min="2046" max="2046" width="5.140625" style="327" customWidth="1"/>
    <col min="2047" max="2047" width="9.7109375" style="327" customWidth="1"/>
    <col min="2048" max="2048" width="12.5703125" style="327" customWidth="1"/>
    <col min="2049" max="2049" width="5.140625" style="327" customWidth="1"/>
    <col min="2050" max="2050" width="9.7109375" style="327" customWidth="1"/>
    <col min="2051" max="2051" width="12.7109375" style="327" customWidth="1"/>
    <col min="2052" max="2052" width="5.140625" style="327" customWidth="1"/>
    <col min="2053" max="2053" width="9.7109375" style="327" customWidth="1"/>
    <col min="2054" max="2054" width="12.7109375" style="327" customWidth="1"/>
    <col min="2055" max="2055" width="5.140625" style="327" customWidth="1"/>
    <col min="2056" max="2056" width="9.7109375" style="327" customWidth="1"/>
    <col min="2057" max="2057" width="12.7109375" style="327" customWidth="1"/>
    <col min="2058" max="2058" width="5.140625" style="327" customWidth="1"/>
    <col min="2059" max="2059" width="9.7109375" style="327" customWidth="1"/>
    <col min="2060" max="2060" width="12.7109375" style="327" customWidth="1"/>
    <col min="2061" max="2061" width="5.140625" style="327" customWidth="1"/>
    <col min="2062" max="2062" width="9.7109375" style="327" customWidth="1"/>
    <col min="2063" max="2063" width="12.7109375" style="327" customWidth="1"/>
    <col min="2064" max="2064" width="5.140625" style="327" customWidth="1"/>
    <col min="2065" max="2065" width="9.7109375" style="327" customWidth="1"/>
    <col min="2066" max="2066" width="12.7109375" style="327" customWidth="1"/>
    <col min="2067" max="2067" width="5.140625" style="327" customWidth="1"/>
    <col min="2068" max="2068" width="9.7109375" style="327" customWidth="1"/>
    <col min="2069" max="2069" width="12.7109375" style="327" customWidth="1"/>
    <col min="2070" max="2070" width="5.140625" style="327" customWidth="1"/>
    <col min="2071" max="2071" width="9.7109375" style="327" customWidth="1"/>
    <col min="2072" max="2072" width="12.7109375" style="327" customWidth="1"/>
    <col min="2073" max="2073" width="5.140625" style="327" customWidth="1"/>
    <col min="2074" max="2074" width="9.7109375" style="327" customWidth="1"/>
    <col min="2075" max="2075" width="12.7109375" style="327" customWidth="1"/>
    <col min="2076" max="2076" width="5.140625" style="327" customWidth="1"/>
    <col min="2077" max="2077" width="9.7109375" style="327" customWidth="1"/>
    <col min="2078" max="2078" width="12.7109375" style="327" customWidth="1"/>
    <col min="2079" max="2079" width="5.140625" style="327" customWidth="1"/>
    <col min="2080" max="2080" width="9.7109375" style="327" customWidth="1"/>
    <col min="2081" max="2081" width="12.7109375" style="327" customWidth="1"/>
    <col min="2082" max="2082" width="37.7109375" style="327" customWidth="1"/>
    <col min="2083" max="2285" width="9.140625" style="327"/>
    <col min="2286" max="2286" width="1.7109375" style="327" customWidth="1"/>
    <col min="2287" max="2287" width="3.5703125" style="327" customWidth="1"/>
    <col min="2288" max="2288" width="11" style="327" customWidth="1"/>
    <col min="2289" max="2289" width="20.7109375" style="327" customWidth="1"/>
    <col min="2290" max="2291" width="11.7109375" style="327" customWidth="1"/>
    <col min="2292" max="2292" width="9.7109375" style="327" customWidth="1"/>
    <col min="2293" max="2293" width="10.140625" style="327" bestFit="1" customWidth="1"/>
    <col min="2294" max="2295" width="7.7109375" style="327" customWidth="1"/>
    <col min="2296" max="2296" width="4" style="327" customWidth="1"/>
    <col min="2297" max="2297" width="9.7109375" style="327" customWidth="1"/>
    <col min="2298" max="2298" width="15.140625" style="327" customWidth="1"/>
    <col min="2299" max="2299" width="5.140625" style="327" customWidth="1"/>
    <col min="2300" max="2300" width="9.7109375" style="327" customWidth="1"/>
    <col min="2301" max="2301" width="13.7109375" style="327" customWidth="1"/>
    <col min="2302" max="2302" width="5.140625" style="327" customWidth="1"/>
    <col min="2303" max="2303" width="9.7109375" style="327" customWidth="1"/>
    <col min="2304" max="2304" width="12.5703125" style="327" customWidth="1"/>
    <col min="2305" max="2305" width="5.140625" style="327" customWidth="1"/>
    <col min="2306" max="2306" width="9.7109375" style="327" customWidth="1"/>
    <col min="2307" max="2307" width="12.7109375" style="327" customWidth="1"/>
    <col min="2308" max="2308" width="5.140625" style="327" customWidth="1"/>
    <col min="2309" max="2309" width="9.7109375" style="327" customWidth="1"/>
    <col min="2310" max="2310" width="12.7109375" style="327" customWidth="1"/>
    <col min="2311" max="2311" width="5.140625" style="327" customWidth="1"/>
    <col min="2312" max="2312" width="9.7109375" style="327" customWidth="1"/>
    <col min="2313" max="2313" width="12.7109375" style="327" customWidth="1"/>
    <col min="2314" max="2314" width="5.140625" style="327" customWidth="1"/>
    <col min="2315" max="2315" width="9.7109375" style="327" customWidth="1"/>
    <col min="2316" max="2316" width="12.7109375" style="327" customWidth="1"/>
    <col min="2317" max="2317" width="5.140625" style="327" customWidth="1"/>
    <col min="2318" max="2318" width="9.7109375" style="327" customWidth="1"/>
    <col min="2319" max="2319" width="12.7109375" style="327" customWidth="1"/>
    <col min="2320" max="2320" width="5.140625" style="327" customWidth="1"/>
    <col min="2321" max="2321" width="9.7109375" style="327" customWidth="1"/>
    <col min="2322" max="2322" width="12.7109375" style="327" customWidth="1"/>
    <col min="2323" max="2323" width="5.140625" style="327" customWidth="1"/>
    <col min="2324" max="2324" width="9.7109375" style="327" customWidth="1"/>
    <col min="2325" max="2325" width="12.7109375" style="327" customWidth="1"/>
    <col min="2326" max="2326" width="5.140625" style="327" customWidth="1"/>
    <col min="2327" max="2327" width="9.7109375" style="327" customWidth="1"/>
    <col min="2328" max="2328" width="12.7109375" style="327" customWidth="1"/>
    <col min="2329" max="2329" width="5.140625" style="327" customWidth="1"/>
    <col min="2330" max="2330" width="9.7109375" style="327" customWidth="1"/>
    <col min="2331" max="2331" width="12.7109375" style="327" customWidth="1"/>
    <col min="2332" max="2332" width="5.140625" style="327" customWidth="1"/>
    <col min="2333" max="2333" width="9.7109375" style="327" customWidth="1"/>
    <col min="2334" max="2334" width="12.7109375" style="327" customWidth="1"/>
    <col min="2335" max="2335" width="5.140625" style="327" customWidth="1"/>
    <col min="2336" max="2336" width="9.7109375" style="327" customWidth="1"/>
    <col min="2337" max="2337" width="12.7109375" style="327" customWidth="1"/>
    <col min="2338" max="2338" width="37.7109375" style="327" customWidth="1"/>
    <col min="2339" max="2541" width="9.140625" style="327"/>
    <col min="2542" max="2542" width="1.7109375" style="327" customWidth="1"/>
    <col min="2543" max="2543" width="3.5703125" style="327" customWidth="1"/>
    <col min="2544" max="2544" width="11" style="327" customWidth="1"/>
    <col min="2545" max="2545" width="20.7109375" style="327" customWidth="1"/>
    <col min="2546" max="2547" width="11.7109375" style="327" customWidth="1"/>
    <col min="2548" max="2548" width="9.7109375" style="327" customWidth="1"/>
    <col min="2549" max="2549" width="10.140625" style="327" bestFit="1" customWidth="1"/>
    <col min="2550" max="2551" width="7.7109375" style="327" customWidth="1"/>
    <col min="2552" max="2552" width="4" style="327" customWidth="1"/>
    <col min="2553" max="2553" width="9.7109375" style="327" customWidth="1"/>
    <col min="2554" max="2554" width="15.140625" style="327" customWidth="1"/>
    <col min="2555" max="2555" width="5.140625" style="327" customWidth="1"/>
    <col min="2556" max="2556" width="9.7109375" style="327" customWidth="1"/>
    <col min="2557" max="2557" width="13.7109375" style="327" customWidth="1"/>
    <col min="2558" max="2558" width="5.140625" style="327" customWidth="1"/>
    <col min="2559" max="2559" width="9.7109375" style="327" customWidth="1"/>
    <col min="2560" max="2560" width="12.5703125" style="327" customWidth="1"/>
    <col min="2561" max="2561" width="5.140625" style="327" customWidth="1"/>
    <col min="2562" max="2562" width="9.7109375" style="327" customWidth="1"/>
    <col min="2563" max="2563" width="12.7109375" style="327" customWidth="1"/>
    <col min="2564" max="2564" width="5.140625" style="327" customWidth="1"/>
    <col min="2565" max="2565" width="9.7109375" style="327" customWidth="1"/>
    <col min="2566" max="2566" width="12.7109375" style="327" customWidth="1"/>
    <col min="2567" max="2567" width="5.140625" style="327" customWidth="1"/>
    <col min="2568" max="2568" width="9.7109375" style="327" customWidth="1"/>
    <col min="2569" max="2569" width="12.7109375" style="327" customWidth="1"/>
    <col min="2570" max="2570" width="5.140625" style="327" customWidth="1"/>
    <col min="2571" max="2571" width="9.7109375" style="327" customWidth="1"/>
    <col min="2572" max="2572" width="12.7109375" style="327" customWidth="1"/>
    <col min="2573" max="2573" width="5.140625" style="327" customWidth="1"/>
    <col min="2574" max="2574" width="9.7109375" style="327" customWidth="1"/>
    <col min="2575" max="2575" width="12.7109375" style="327" customWidth="1"/>
    <col min="2576" max="2576" width="5.140625" style="327" customWidth="1"/>
    <col min="2577" max="2577" width="9.7109375" style="327" customWidth="1"/>
    <col min="2578" max="2578" width="12.7109375" style="327" customWidth="1"/>
    <col min="2579" max="2579" width="5.140625" style="327" customWidth="1"/>
    <col min="2580" max="2580" width="9.7109375" style="327" customWidth="1"/>
    <col min="2581" max="2581" width="12.7109375" style="327" customWidth="1"/>
    <col min="2582" max="2582" width="5.140625" style="327" customWidth="1"/>
    <col min="2583" max="2583" width="9.7109375" style="327" customWidth="1"/>
    <col min="2584" max="2584" width="12.7109375" style="327" customWidth="1"/>
    <col min="2585" max="2585" width="5.140625" style="327" customWidth="1"/>
    <col min="2586" max="2586" width="9.7109375" style="327" customWidth="1"/>
    <col min="2587" max="2587" width="12.7109375" style="327" customWidth="1"/>
    <col min="2588" max="2588" width="5.140625" style="327" customWidth="1"/>
    <col min="2589" max="2589" width="9.7109375" style="327" customWidth="1"/>
    <col min="2590" max="2590" width="12.7109375" style="327" customWidth="1"/>
    <col min="2591" max="2591" width="5.140625" style="327" customWidth="1"/>
    <col min="2592" max="2592" width="9.7109375" style="327" customWidth="1"/>
    <col min="2593" max="2593" width="12.7109375" style="327" customWidth="1"/>
    <col min="2594" max="2594" width="37.7109375" style="327" customWidth="1"/>
    <col min="2595" max="2797" width="9.140625" style="327"/>
    <col min="2798" max="2798" width="1.7109375" style="327" customWidth="1"/>
    <col min="2799" max="2799" width="3.5703125" style="327" customWidth="1"/>
    <col min="2800" max="2800" width="11" style="327" customWidth="1"/>
    <col min="2801" max="2801" width="20.7109375" style="327" customWidth="1"/>
    <col min="2802" max="2803" width="11.7109375" style="327" customWidth="1"/>
    <col min="2804" max="2804" width="9.7109375" style="327" customWidth="1"/>
    <col min="2805" max="2805" width="10.140625" style="327" bestFit="1" customWidth="1"/>
    <col min="2806" max="2807" width="7.7109375" style="327" customWidth="1"/>
    <col min="2808" max="2808" width="4" style="327" customWidth="1"/>
    <col min="2809" max="2809" width="9.7109375" style="327" customWidth="1"/>
    <col min="2810" max="2810" width="15.140625" style="327" customWidth="1"/>
    <col min="2811" max="2811" width="5.140625" style="327" customWidth="1"/>
    <col min="2812" max="2812" width="9.7109375" style="327" customWidth="1"/>
    <col min="2813" max="2813" width="13.7109375" style="327" customWidth="1"/>
    <col min="2814" max="2814" width="5.140625" style="327" customWidth="1"/>
    <col min="2815" max="2815" width="9.7109375" style="327" customWidth="1"/>
    <col min="2816" max="2816" width="12.5703125" style="327" customWidth="1"/>
    <col min="2817" max="2817" width="5.140625" style="327" customWidth="1"/>
    <col min="2818" max="2818" width="9.7109375" style="327" customWidth="1"/>
    <col min="2819" max="2819" width="12.7109375" style="327" customWidth="1"/>
    <col min="2820" max="2820" width="5.140625" style="327" customWidth="1"/>
    <col min="2821" max="2821" width="9.7109375" style="327" customWidth="1"/>
    <col min="2822" max="2822" width="12.7109375" style="327" customWidth="1"/>
    <col min="2823" max="2823" width="5.140625" style="327" customWidth="1"/>
    <col min="2824" max="2824" width="9.7109375" style="327" customWidth="1"/>
    <col min="2825" max="2825" width="12.7109375" style="327" customWidth="1"/>
    <col min="2826" max="2826" width="5.140625" style="327" customWidth="1"/>
    <col min="2827" max="2827" width="9.7109375" style="327" customWidth="1"/>
    <col min="2828" max="2828" width="12.7109375" style="327" customWidth="1"/>
    <col min="2829" max="2829" width="5.140625" style="327" customWidth="1"/>
    <col min="2830" max="2830" width="9.7109375" style="327" customWidth="1"/>
    <col min="2831" max="2831" width="12.7109375" style="327" customWidth="1"/>
    <col min="2832" max="2832" width="5.140625" style="327" customWidth="1"/>
    <col min="2833" max="2833" width="9.7109375" style="327" customWidth="1"/>
    <col min="2834" max="2834" width="12.7109375" style="327" customWidth="1"/>
    <col min="2835" max="2835" width="5.140625" style="327" customWidth="1"/>
    <col min="2836" max="2836" width="9.7109375" style="327" customWidth="1"/>
    <col min="2837" max="2837" width="12.7109375" style="327" customWidth="1"/>
    <col min="2838" max="2838" width="5.140625" style="327" customWidth="1"/>
    <col min="2839" max="2839" width="9.7109375" style="327" customWidth="1"/>
    <col min="2840" max="2840" width="12.7109375" style="327" customWidth="1"/>
    <col min="2841" max="2841" width="5.140625" style="327" customWidth="1"/>
    <col min="2842" max="2842" width="9.7109375" style="327" customWidth="1"/>
    <col min="2843" max="2843" width="12.7109375" style="327" customWidth="1"/>
    <col min="2844" max="2844" width="5.140625" style="327" customWidth="1"/>
    <col min="2845" max="2845" width="9.7109375" style="327" customWidth="1"/>
    <col min="2846" max="2846" width="12.7109375" style="327" customWidth="1"/>
    <col min="2847" max="2847" width="5.140625" style="327" customWidth="1"/>
    <col min="2848" max="2848" width="9.7109375" style="327" customWidth="1"/>
    <col min="2849" max="2849" width="12.7109375" style="327" customWidth="1"/>
    <col min="2850" max="2850" width="37.7109375" style="327" customWidth="1"/>
    <col min="2851" max="3053" width="9.140625" style="327"/>
    <col min="3054" max="3054" width="1.7109375" style="327" customWidth="1"/>
    <col min="3055" max="3055" width="3.5703125" style="327" customWidth="1"/>
    <col min="3056" max="3056" width="11" style="327" customWidth="1"/>
    <col min="3057" max="3057" width="20.7109375" style="327" customWidth="1"/>
    <col min="3058" max="3059" width="11.7109375" style="327" customWidth="1"/>
    <col min="3060" max="3060" width="9.7109375" style="327" customWidth="1"/>
    <col min="3061" max="3061" width="10.140625" style="327" bestFit="1" customWidth="1"/>
    <col min="3062" max="3063" width="7.7109375" style="327" customWidth="1"/>
    <col min="3064" max="3064" width="4" style="327" customWidth="1"/>
    <col min="3065" max="3065" width="9.7109375" style="327" customWidth="1"/>
    <col min="3066" max="3066" width="15.140625" style="327" customWidth="1"/>
    <col min="3067" max="3067" width="5.140625" style="327" customWidth="1"/>
    <col min="3068" max="3068" width="9.7109375" style="327" customWidth="1"/>
    <col min="3069" max="3069" width="13.7109375" style="327" customWidth="1"/>
    <col min="3070" max="3070" width="5.140625" style="327" customWidth="1"/>
    <col min="3071" max="3071" width="9.7109375" style="327" customWidth="1"/>
    <col min="3072" max="3072" width="12.5703125" style="327" customWidth="1"/>
    <col min="3073" max="3073" width="5.140625" style="327" customWidth="1"/>
    <col min="3074" max="3074" width="9.7109375" style="327" customWidth="1"/>
    <col min="3075" max="3075" width="12.7109375" style="327" customWidth="1"/>
    <col min="3076" max="3076" width="5.140625" style="327" customWidth="1"/>
    <col min="3077" max="3077" width="9.7109375" style="327" customWidth="1"/>
    <col min="3078" max="3078" width="12.7109375" style="327" customWidth="1"/>
    <col min="3079" max="3079" width="5.140625" style="327" customWidth="1"/>
    <col min="3080" max="3080" width="9.7109375" style="327" customWidth="1"/>
    <col min="3081" max="3081" width="12.7109375" style="327" customWidth="1"/>
    <col min="3082" max="3082" width="5.140625" style="327" customWidth="1"/>
    <col min="3083" max="3083" width="9.7109375" style="327" customWidth="1"/>
    <col min="3084" max="3084" width="12.7109375" style="327" customWidth="1"/>
    <col min="3085" max="3085" width="5.140625" style="327" customWidth="1"/>
    <col min="3086" max="3086" width="9.7109375" style="327" customWidth="1"/>
    <col min="3087" max="3087" width="12.7109375" style="327" customWidth="1"/>
    <col min="3088" max="3088" width="5.140625" style="327" customWidth="1"/>
    <col min="3089" max="3089" width="9.7109375" style="327" customWidth="1"/>
    <col min="3090" max="3090" width="12.7109375" style="327" customWidth="1"/>
    <col min="3091" max="3091" width="5.140625" style="327" customWidth="1"/>
    <col min="3092" max="3092" width="9.7109375" style="327" customWidth="1"/>
    <col min="3093" max="3093" width="12.7109375" style="327" customWidth="1"/>
    <col min="3094" max="3094" width="5.140625" style="327" customWidth="1"/>
    <col min="3095" max="3095" width="9.7109375" style="327" customWidth="1"/>
    <col min="3096" max="3096" width="12.7109375" style="327" customWidth="1"/>
    <col min="3097" max="3097" width="5.140625" style="327" customWidth="1"/>
    <col min="3098" max="3098" width="9.7109375" style="327" customWidth="1"/>
    <col min="3099" max="3099" width="12.7109375" style="327" customWidth="1"/>
    <col min="3100" max="3100" width="5.140625" style="327" customWidth="1"/>
    <col min="3101" max="3101" width="9.7109375" style="327" customWidth="1"/>
    <col min="3102" max="3102" width="12.7109375" style="327" customWidth="1"/>
    <col min="3103" max="3103" width="5.140625" style="327" customWidth="1"/>
    <col min="3104" max="3104" width="9.7109375" style="327" customWidth="1"/>
    <col min="3105" max="3105" width="12.7109375" style="327" customWidth="1"/>
    <col min="3106" max="3106" width="37.7109375" style="327" customWidth="1"/>
    <col min="3107" max="3309" width="9.140625" style="327"/>
    <col min="3310" max="3310" width="1.7109375" style="327" customWidth="1"/>
    <col min="3311" max="3311" width="3.5703125" style="327" customWidth="1"/>
    <col min="3312" max="3312" width="11" style="327" customWidth="1"/>
    <col min="3313" max="3313" width="20.7109375" style="327" customWidth="1"/>
    <col min="3314" max="3315" width="11.7109375" style="327" customWidth="1"/>
    <col min="3316" max="3316" width="9.7109375" style="327" customWidth="1"/>
    <col min="3317" max="3317" width="10.140625" style="327" bestFit="1" customWidth="1"/>
    <col min="3318" max="3319" width="7.7109375" style="327" customWidth="1"/>
    <col min="3320" max="3320" width="4" style="327" customWidth="1"/>
    <col min="3321" max="3321" width="9.7109375" style="327" customWidth="1"/>
    <col min="3322" max="3322" width="15.140625" style="327" customWidth="1"/>
    <col min="3323" max="3323" width="5.140625" style="327" customWidth="1"/>
    <col min="3324" max="3324" width="9.7109375" style="327" customWidth="1"/>
    <col min="3325" max="3325" width="13.7109375" style="327" customWidth="1"/>
    <col min="3326" max="3326" width="5.140625" style="327" customWidth="1"/>
    <col min="3327" max="3327" width="9.7109375" style="327" customWidth="1"/>
    <col min="3328" max="3328" width="12.5703125" style="327" customWidth="1"/>
    <col min="3329" max="3329" width="5.140625" style="327" customWidth="1"/>
    <col min="3330" max="3330" width="9.7109375" style="327" customWidth="1"/>
    <col min="3331" max="3331" width="12.7109375" style="327" customWidth="1"/>
    <col min="3332" max="3332" width="5.140625" style="327" customWidth="1"/>
    <col min="3333" max="3333" width="9.7109375" style="327" customWidth="1"/>
    <col min="3334" max="3334" width="12.7109375" style="327" customWidth="1"/>
    <col min="3335" max="3335" width="5.140625" style="327" customWidth="1"/>
    <col min="3336" max="3336" width="9.7109375" style="327" customWidth="1"/>
    <col min="3337" max="3337" width="12.7109375" style="327" customWidth="1"/>
    <col min="3338" max="3338" width="5.140625" style="327" customWidth="1"/>
    <col min="3339" max="3339" width="9.7109375" style="327" customWidth="1"/>
    <col min="3340" max="3340" width="12.7109375" style="327" customWidth="1"/>
    <col min="3341" max="3341" width="5.140625" style="327" customWidth="1"/>
    <col min="3342" max="3342" width="9.7109375" style="327" customWidth="1"/>
    <col min="3343" max="3343" width="12.7109375" style="327" customWidth="1"/>
    <col min="3344" max="3344" width="5.140625" style="327" customWidth="1"/>
    <col min="3345" max="3345" width="9.7109375" style="327" customWidth="1"/>
    <col min="3346" max="3346" width="12.7109375" style="327" customWidth="1"/>
    <col min="3347" max="3347" width="5.140625" style="327" customWidth="1"/>
    <col min="3348" max="3348" width="9.7109375" style="327" customWidth="1"/>
    <col min="3349" max="3349" width="12.7109375" style="327" customWidth="1"/>
    <col min="3350" max="3350" width="5.140625" style="327" customWidth="1"/>
    <col min="3351" max="3351" width="9.7109375" style="327" customWidth="1"/>
    <col min="3352" max="3352" width="12.7109375" style="327" customWidth="1"/>
    <col min="3353" max="3353" width="5.140625" style="327" customWidth="1"/>
    <col min="3354" max="3354" width="9.7109375" style="327" customWidth="1"/>
    <col min="3355" max="3355" width="12.7109375" style="327" customWidth="1"/>
    <col min="3356" max="3356" width="5.140625" style="327" customWidth="1"/>
    <col min="3357" max="3357" width="9.7109375" style="327" customWidth="1"/>
    <col min="3358" max="3358" width="12.7109375" style="327" customWidth="1"/>
    <col min="3359" max="3359" width="5.140625" style="327" customWidth="1"/>
    <col min="3360" max="3360" width="9.7109375" style="327" customWidth="1"/>
    <col min="3361" max="3361" width="12.7109375" style="327" customWidth="1"/>
    <col min="3362" max="3362" width="37.7109375" style="327" customWidth="1"/>
    <col min="3363" max="3565" width="9.140625" style="327"/>
    <col min="3566" max="3566" width="1.7109375" style="327" customWidth="1"/>
    <col min="3567" max="3567" width="3.5703125" style="327" customWidth="1"/>
    <col min="3568" max="3568" width="11" style="327" customWidth="1"/>
    <col min="3569" max="3569" width="20.7109375" style="327" customWidth="1"/>
    <col min="3570" max="3571" width="11.7109375" style="327" customWidth="1"/>
    <col min="3572" max="3572" width="9.7109375" style="327" customWidth="1"/>
    <col min="3573" max="3573" width="10.140625" style="327" bestFit="1" customWidth="1"/>
    <col min="3574" max="3575" width="7.7109375" style="327" customWidth="1"/>
    <col min="3576" max="3576" width="4" style="327" customWidth="1"/>
    <col min="3577" max="3577" width="9.7109375" style="327" customWidth="1"/>
    <col min="3578" max="3578" width="15.140625" style="327" customWidth="1"/>
    <col min="3579" max="3579" width="5.140625" style="327" customWidth="1"/>
    <col min="3580" max="3580" width="9.7109375" style="327" customWidth="1"/>
    <col min="3581" max="3581" width="13.7109375" style="327" customWidth="1"/>
    <col min="3582" max="3582" width="5.140625" style="327" customWidth="1"/>
    <col min="3583" max="3583" width="9.7109375" style="327" customWidth="1"/>
    <col min="3584" max="3584" width="12.5703125" style="327" customWidth="1"/>
    <col min="3585" max="3585" width="5.140625" style="327" customWidth="1"/>
    <col min="3586" max="3586" width="9.7109375" style="327" customWidth="1"/>
    <col min="3587" max="3587" width="12.7109375" style="327" customWidth="1"/>
    <col min="3588" max="3588" width="5.140625" style="327" customWidth="1"/>
    <col min="3589" max="3589" width="9.7109375" style="327" customWidth="1"/>
    <col min="3590" max="3590" width="12.7109375" style="327" customWidth="1"/>
    <col min="3591" max="3591" width="5.140625" style="327" customWidth="1"/>
    <col min="3592" max="3592" width="9.7109375" style="327" customWidth="1"/>
    <col min="3593" max="3593" width="12.7109375" style="327" customWidth="1"/>
    <col min="3594" max="3594" width="5.140625" style="327" customWidth="1"/>
    <col min="3595" max="3595" width="9.7109375" style="327" customWidth="1"/>
    <col min="3596" max="3596" width="12.7109375" style="327" customWidth="1"/>
    <col min="3597" max="3597" width="5.140625" style="327" customWidth="1"/>
    <col min="3598" max="3598" width="9.7109375" style="327" customWidth="1"/>
    <col min="3599" max="3599" width="12.7109375" style="327" customWidth="1"/>
    <col min="3600" max="3600" width="5.140625" style="327" customWidth="1"/>
    <col min="3601" max="3601" width="9.7109375" style="327" customWidth="1"/>
    <col min="3602" max="3602" width="12.7109375" style="327" customWidth="1"/>
    <col min="3603" max="3603" width="5.140625" style="327" customWidth="1"/>
    <col min="3604" max="3604" width="9.7109375" style="327" customWidth="1"/>
    <col min="3605" max="3605" width="12.7109375" style="327" customWidth="1"/>
    <col min="3606" max="3606" width="5.140625" style="327" customWidth="1"/>
    <col min="3607" max="3607" width="9.7109375" style="327" customWidth="1"/>
    <col min="3608" max="3608" width="12.7109375" style="327" customWidth="1"/>
    <col min="3609" max="3609" width="5.140625" style="327" customWidth="1"/>
    <col min="3610" max="3610" width="9.7109375" style="327" customWidth="1"/>
    <col min="3611" max="3611" width="12.7109375" style="327" customWidth="1"/>
    <col min="3612" max="3612" width="5.140625" style="327" customWidth="1"/>
    <col min="3613" max="3613" width="9.7109375" style="327" customWidth="1"/>
    <col min="3614" max="3614" width="12.7109375" style="327" customWidth="1"/>
    <col min="3615" max="3615" width="5.140625" style="327" customWidth="1"/>
    <col min="3616" max="3616" width="9.7109375" style="327" customWidth="1"/>
    <col min="3617" max="3617" width="12.7109375" style="327" customWidth="1"/>
    <col min="3618" max="3618" width="37.7109375" style="327" customWidth="1"/>
    <col min="3619" max="3821" width="9.140625" style="327"/>
    <col min="3822" max="3822" width="1.7109375" style="327" customWidth="1"/>
    <col min="3823" max="3823" width="3.5703125" style="327" customWidth="1"/>
    <col min="3824" max="3824" width="11" style="327" customWidth="1"/>
    <col min="3825" max="3825" width="20.7109375" style="327" customWidth="1"/>
    <col min="3826" max="3827" width="11.7109375" style="327" customWidth="1"/>
    <col min="3828" max="3828" width="9.7109375" style="327" customWidth="1"/>
    <col min="3829" max="3829" width="10.140625" style="327" bestFit="1" customWidth="1"/>
    <col min="3830" max="3831" width="7.7109375" style="327" customWidth="1"/>
    <col min="3832" max="3832" width="4" style="327" customWidth="1"/>
    <col min="3833" max="3833" width="9.7109375" style="327" customWidth="1"/>
    <col min="3834" max="3834" width="15.140625" style="327" customWidth="1"/>
    <col min="3835" max="3835" width="5.140625" style="327" customWidth="1"/>
    <col min="3836" max="3836" width="9.7109375" style="327" customWidth="1"/>
    <col min="3837" max="3837" width="13.7109375" style="327" customWidth="1"/>
    <col min="3838" max="3838" width="5.140625" style="327" customWidth="1"/>
    <col min="3839" max="3839" width="9.7109375" style="327" customWidth="1"/>
    <col min="3840" max="3840" width="12.5703125" style="327" customWidth="1"/>
    <col min="3841" max="3841" width="5.140625" style="327" customWidth="1"/>
    <col min="3842" max="3842" width="9.7109375" style="327" customWidth="1"/>
    <col min="3843" max="3843" width="12.7109375" style="327" customWidth="1"/>
    <col min="3844" max="3844" width="5.140625" style="327" customWidth="1"/>
    <col min="3845" max="3845" width="9.7109375" style="327" customWidth="1"/>
    <col min="3846" max="3846" width="12.7109375" style="327" customWidth="1"/>
    <col min="3847" max="3847" width="5.140625" style="327" customWidth="1"/>
    <col min="3848" max="3848" width="9.7109375" style="327" customWidth="1"/>
    <col min="3849" max="3849" width="12.7109375" style="327" customWidth="1"/>
    <col min="3850" max="3850" width="5.140625" style="327" customWidth="1"/>
    <col min="3851" max="3851" width="9.7109375" style="327" customWidth="1"/>
    <col min="3852" max="3852" width="12.7109375" style="327" customWidth="1"/>
    <col min="3853" max="3853" width="5.140625" style="327" customWidth="1"/>
    <col min="3854" max="3854" width="9.7109375" style="327" customWidth="1"/>
    <col min="3855" max="3855" width="12.7109375" style="327" customWidth="1"/>
    <col min="3856" max="3856" width="5.140625" style="327" customWidth="1"/>
    <col min="3857" max="3857" width="9.7109375" style="327" customWidth="1"/>
    <col min="3858" max="3858" width="12.7109375" style="327" customWidth="1"/>
    <col min="3859" max="3859" width="5.140625" style="327" customWidth="1"/>
    <col min="3860" max="3860" width="9.7109375" style="327" customWidth="1"/>
    <col min="3861" max="3861" width="12.7109375" style="327" customWidth="1"/>
    <col min="3862" max="3862" width="5.140625" style="327" customWidth="1"/>
    <col min="3863" max="3863" width="9.7109375" style="327" customWidth="1"/>
    <col min="3864" max="3864" width="12.7109375" style="327" customWidth="1"/>
    <col min="3865" max="3865" width="5.140625" style="327" customWidth="1"/>
    <col min="3866" max="3866" width="9.7109375" style="327" customWidth="1"/>
    <col min="3867" max="3867" width="12.7109375" style="327" customWidth="1"/>
    <col min="3868" max="3868" width="5.140625" style="327" customWidth="1"/>
    <col min="3869" max="3869" width="9.7109375" style="327" customWidth="1"/>
    <col min="3870" max="3870" width="12.7109375" style="327" customWidth="1"/>
    <col min="3871" max="3871" width="5.140625" style="327" customWidth="1"/>
    <col min="3872" max="3872" width="9.7109375" style="327" customWidth="1"/>
    <col min="3873" max="3873" width="12.7109375" style="327" customWidth="1"/>
    <col min="3874" max="3874" width="37.7109375" style="327" customWidth="1"/>
    <col min="3875" max="4077" width="9.140625" style="327"/>
    <col min="4078" max="4078" width="1.7109375" style="327" customWidth="1"/>
    <col min="4079" max="4079" width="3.5703125" style="327" customWidth="1"/>
    <col min="4080" max="4080" width="11" style="327" customWidth="1"/>
    <col min="4081" max="4081" width="20.7109375" style="327" customWidth="1"/>
    <col min="4082" max="4083" width="11.7109375" style="327" customWidth="1"/>
    <col min="4084" max="4084" width="9.7109375" style="327" customWidth="1"/>
    <col min="4085" max="4085" width="10.140625" style="327" bestFit="1" customWidth="1"/>
    <col min="4086" max="4087" width="7.7109375" style="327" customWidth="1"/>
    <col min="4088" max="4088" width="4" style="327" customWidth="1"/>
    <col min="4089" max="4089" width="9.7109375" style="327" customWidth="1"/>
    <col min="4090" max="4090" width="15.140625" style="327" customWidth="1"/>
    <col min="4091" max="4091" width="5.140625" style="327" customWidth="1"/>
    <col min="4092" max="4092" width="9.7109375" style="327" customWidth="1"/>
    <col min="4093" max="4093" width="13.7109375" style="327" customWidth="1"/>
    <col min="4094" max="4094" width="5.140625" style="327" customWidth="1"/>
    <col min="4095" max="4095" width="9.7109375" style="327" customWidth="1"/>
    <col min="4096" max="4096" width="12.5703125" style="327" customWidth="1"/>
    <col min="4097" max="4097" width="5.140625" style="327" customWidth="1"/>
    <col min="4098" max="4098" width="9.7109375" style="327" customWidth="1"/>
    <col min="4099" max="4099" width="12.7109375" style="327" customWidth="1"/>
    <col min="4100" max="4100" width="5.140625" style="327" customWidth="1"/>
    <col min="4101" max="4101" width="9.7109375" style="327" customWidth="1"/>
    <col min="4102" max="4102" width="12.7109375" style="327" customWidth="1"/>
    <col min="4103" max="4103" width="5.140625" style="327" customWidth="1"/>
    <col min="4104" max="4104" width="9.7109375" style="327" customWidth="1"/>
    <col min="4105" max="4105" width="12.7109375" style="327" customWidth="1"/>
    <col min="4106" max="4106" width="5.140625" style="327" customWidth="1"/>
    <col min="4107" max="4107" width="9.7109375" style="327" customWidth="1"/>
    <col min="4108" max="4108" width="12.7109375" style="327" customWidth="1"/>
    <col min="4109" max="4109" width="5.140625" style="327" customWidth="1"/>
    <col min="4110" max="4110" width="9.7109375" style="327" customWidth="1"/>
    <col min="4111" max="4111" width="12.7109375" style="327" customWidth="1"/>
    <col min="4112" max="4112" width="5.140625" style="327" customWidth="1"/>
    <col min="4113" max="4113" width="9.7109375" style="327" customWidth="1"/>
    <col min="4114" max="4114" width="12.7109375" style="327" customWidth="1"/>
    <col min="4115" max="4115" width="5.140625" style="327" customWidth="1"/>
    <col min="4116" max="4116" width="9.7109375" style="327" customWidth="1"/>
    <col min="4117" max="4117" width="12.7109375" style="327" customWidth="1"/>
    <col min="4118" max="4118" width="5.140625" style="327" customWidth="1"/>
    <col min="4119" max="4119" width="9.7109375" style="327" customWidth="1"/>
    <col min="4120" max="4120" width="12.7109375" style="327" customWidth="1"/>
    <col min="4121" max="4121" width="5.140625" style="327" customWidth="1"/>
    <col min="4122" max="4122" width="9.7109375" style="327" customWidth="1"/>
    <col min="4123" max="4123" width="12.7109375" style="327" customWidth="1"/>
    <col min="4124" max="4124" width="5.140625" style="327" customWidth="1"/>
    <col min="4125" max="4125" width="9.7109375" style="327" customWidth="1"/>
    <col min="4126" max="4126" width="12.7109375" style="327" customWidth="1"/>
    <col min="4127" max="4127" width="5.140625" style="327" customWidth="1"/>
    <col min="4128" max="4128" width="9.7109375" style="327" customWidth="1"/>
    <col min="4129" max="4129" width="12.7109375" style="327" customWidth="1"/>
    <col min="4130" max="4130" width="37.7109375" style="327" customWidth="1"/>
    <col min="4131" max="4333" width="9.140625" style="327"/>
    <col min="4334" max="4334" width="1.7109375" style="327" customWidth="1"/>
    <col min="4335" max="4335" width="3.5703125" style="327" customWidth="1"/>
    <col min="4336" max="4336" width="11" style="327" customWidth="1"/>
    <col min="4337" max="4337" width="20.7109375" style="327" customWidth="1"/>
    <col min="4338" max="4339" width="11.7109375" style="327" customWidth="1"/>
    <col min="4340" max="4340" width="9.7109375" style="327" customWidth="1"/>
    <col min="4341" max="4341" width="10.140625" style="327" bestFit="1" customWidth="1"/>
    <col min="4342" max="4343" width="7.7109375" style="327" customWidth="1"/>
    <col min="4344" max="4344" width="4" style="327" customWidth="1"/>
    <col min="4345" max="4345" width="9.7109375" style="327" customWidth="1"/>
    <col min="4346" max="4346" width="15.140625" style="327" customWidth="1"/>
    <col min="4347" max="4347" width="5.140625" style="327" customWidth="1"/>
    <col min="4348" max="4348" width="9.7109375" style="327" customWidth="1"/>
    <col min="4349" max="4349" width="13.7109375" style="327" customWidth="1"/>
    <col min="4350" max="4350" width="5.140625" style="327" customWidth="1"/>
    <col min="4351" max="4351" width="9.7109375" style="327" customWidth="1"/>
    <col min="4352" max="4352" width="12.5703125" style="327" customWidth="1"/>
    <col min="4353" max="4353" width="5.140625" style="327" customWidth="1"/>
    <col min="4354" max="4354" width="9.7109375" style="327" customWidth="1"/>
    <col min="4355" max="4355" width="12.7109375" style="327" customWidth="1"/>
    <col min="4356" max="4356" width="5.140625" style="327" customWidth="1"/>
    <col min="4357" max="4357" width="9.7109375" style="327" customWidth="1"/>
    <col min="4358" max="4358" width="12.7109375" style="327" customWidth="1"/>
    <col min="4359" max="4359" width="5.140625" style="327" customWidth="1"/>
    <col min="4360" max="4360" width="9.7109375" style="327" customWidth="1"/>
    <col min="4361" max="4361" width="12.7109375" style="327" customWidth="1"/>
    <col min="4362" max="4362" width="5.140625" style="327" customWidth="1"/>
    <col min="4363" max="4363" width="9.7109375" style="327" customWidth="1"/>
    <col min="4364" max="4364" width="12.7109375" style="327" customWidth="1"/>
    <col min="4365" max="4365" width="5.140625" style="327" customWidth="1"/>
    <col min="4366" max="4366" width="9.7109375" style="327" customWidth="1"/>
    <col min="4367" max="4367" width="12.7109375" style="327" customWidth="1"/>
    <col min="4368" max="4368" width="5.140625" style="327" customWidth="1"/>
    <col min="4369" max="4369" width="9.7109375" style="327" customWidth="1"/>
    <col min="4370" max="4370" width="12.7109375" style="327" customWidth="1"/>
    <col min="4371" max="4371" width="5.140625" style="327" customWidth="1"/>
    <col min="4372" max="4372" width="9.7109375" style="327" customWidth="1"/>
    <col min="4373" max="4373" width="12.7109375" style="327" customWidth="1"/>
    <col min="4374" max="4374" width="5.140625" style="327" customWidth="1"/>
    <col min="4375" max="4375" width="9.7109375" style="327" customWidth="1"/>
    <col min="4376" max="4376" width="12.7109375" style="327" customWidth="1"/>
    <col min="4377" max="4377" width="5.140625" style="327" customWidth="1"/>
    <col min="4378" max="4378" width="9.7109375" style="327" customWidth="1"/>
    <col min="4379" max="4379" width="12.7109375" style="327" customWidth="1"/>
    <col min="4380" max="4380" width="5.140625" style="327" customWidth="1"/>
    <col min="4381" max="4381" width="9.7109375" style="327" customWidth="1"/>
    <col min="4382" max="4382" width="12.7109375" style="327" customWidth="1"/>
    <col min="4383" max="4383" width="5.140625" style="327" customWidth="1"/>
    <col min="4384" max="4384" width="9.7109375" style="327" customWidth="1"/>
    <col min="4385" max="4385" width="12.7109375" style="327" customWidth="1"/>
    <col min="4386" max="4386" width="37.7109375" style="327" customWidth="1"/>
    <col min="4387" max="4589" width="9.140625" style="327"/>
    <col min="4590" max="4590" width="1.7109375" style="327" customWidth="1"/>
    <col min="4591" max="4591" width="3.5703125" style="327" customWidth="1"/>
    <col min="4592" max="4592" width="11" style="327" customWidth="1"/>
    <col min="4593" max="4593" width="20.7109375" style="327" customWidth="1"/>
    <col min="4594" max="4595" width="11.7109375" style="327" customWidth="1"/>
    <col min="4596" max="4596" width="9.7109375" style="327" customWidth="1"/>
    <col min="4597" max="4597" width="10.140625" style="327" bestFit="1" customWidth="1"/>
    <col min="4598" max="4599" width="7.7109375" style="327" customWidth="1"/>
    <col min="4600" max="4600" width="4" style="327" customWidth="1"/>
    <col min="4601" max="4601" width="9.7109375" style="327" customWidth="1"/>
    <col min="4602" max="4602" width="15.140625" style="327" customWidth="1"/>
    <col min="4603" max="4603" width="5.140625" style="327" customWidth="1"/>
    <col min="4604" max="4604" width="9.7109375" style="327" customWidth="1"/>
    <col min="4605" max="4605" width="13.7109375" style="327" customWidth="1"/>
    <col min="4606" max="4606" width="5.140625" style="327" customWidth="1"/>
    <col min="4607" max="4607" width="9.7109375" style="327" customWidth="1"/>
    <col min="4608" max="4608" width="12.5703125" style="327" customWidth="1"/>
    <col min="4609" max="4609" width="5.140625" style="327" customWidth="1"/>
    <col min="4610" max="4610" width="9.7109375" style="327" customWidth="1"/>
    <col min="4611" max="4611" width="12.7109375" style="327" customWidth="1"/>
    <col min="4612" max="4612" width="5.140625" style="327" customWidth="1"/>
    <col min="4613" max="4613" width="9.7109375" style="327" customWidth="1"/>
    <col min="4614" max="4614" width="12.7109375" style="327" customWidth="1"/>
    <col min="4615" max="4615" width="5.140625" style="327" customWidth="1"/>
    <col min="4616" max="4616" width="9.7109375" style="327" customWidth="1"/>
    <col min="4617" max="4617" width="12.7109375" style="327" customWidth="1"/>
    <col min="4618" max="4618" width="5.140625" style="327" customWidth="1"/>
    <col min="4619" max="4619" width="9.7109375" style="327" customWidth="1"/>
    <col min="4620" max="4620" width="12.7109375" style="327" customWidth="1"/>
    <col min="4621" max="4621" width="5.140625" style="327" customWidth="1"/>
    <col min="4622" max="4622" width="9.7109375" style="327" customWidth="1"/>
    <col min="4623" max="4623" width="12.7109375" style="327" customWidth="1"/>
    <col min="4624" max="4624" width="5.140625" style="327" customWidth="1"/>
    <col min="4625" max="4625" width="9.7109375" style="327" customWidth="1"/>
    <col min="4626" max="4626" width="12.7109375" style="327" customWidth="1"/>
    <col min="4627" max="4627" width="5.140625" style="327" customWidth="1"/>
    <col min="4628" max="4628" width="9.7109375" style="327" customWidth="1"/>
    <col min="4629" max="4629" width="12.7109375" style="327" customWidth="1"/>
    <col min="4630" max="4630" width="5.140625" style="327" customWidth="1"/>
    <col min="4631" max="4631" width="9.7109375" style="327" customWidth="1"/>
    <col min="4632" max="4632" width="12.7109375" style="327" customWidth="1"/>
    <col min="4633" max="4633" width="5.140625" style="327" customWidth="1"/>
    <col min="4634" max="4634" width="9.7109375" style="327" customWidth="1"/>
    <col min="4635" max="4635" width="12.7109375" style="327" customWidth="1"/>
    <col min="4636" max="4636" width="5.140625" style="327" customWidth="1"/>
    <col min="4637" max="4637" width="9.7109375" style="327" customWidth="1"/>
    <col min="4638" max="4638" width="12.7109375" style="327" customWidth="1"/>
    <col min="4639" max="4639" width="5.140625" style="327" customWidth="1"/>
    <col min="4640" max="4640" width="9.7109375" style="327" customWidth="1"/>
    <col min="4641" max="4641" width="12.7109375" style="327" customWidth="1"/>
    <col min="4642" max="4642" width="37.7109375" style="327" customWidth="1"/>
    <col min="4643" max="4845" width="9.140625" style="327"/>
    <col min="4846" max="4846" width="1.7109375" style="327" customWidth="1"/>
    <col min="4847" max="4847" width="3.5703125" style="327" customWidth="1"/>
    <col min="4848" max="4848" width="11" style="327" customWidth="1"/>
    <col min="4849" max="4849" width="20.7109375" style="327" customWidth="1"/>
    <col min="4850" max="4851" width="11.7109375" style="327" customWidth="1"/>
    <col min="4852" max="4852" width="9.7109375" style="327" customWidth="1"/>
    <col min="4853" max="4853" width="10.140625" style="327" bestFit="1" customWidth="1"/>
    <col min="4854" max="4855" width="7.7109375" style="327" customWidth="1"/>
    <col min="4856" max="4856" width="4" style="327" customWidth="1"/>
    <col min="4857" max="4857" width="9.7109375" style="327" customWidth="1"/>
    <col min="4858" max="4858" width="15.140625" style="327" customWidth="1"/>
    <col min="4859" max="4859" width="5.140625" style="327" customWidth="1"/>
    <col min="4860" max="4860" width="9.7109375" style="327" customWidth="1"/>
    <col min="4861" max="4861" width="13.7109375" style="327" customWidth="1"/>
    <col min="4862" max="4862" width="5.140625" style="327" customWidth="1"/>
    <col min="4863" max="4863" width="9.7109375" style="327" customWidth="1"/>
    <col min="4864" max="4864" width="12.5703125" style="327" customWidth="1"/>
    <col min="4865" max="4865" width="5.140625" style="327" customWidth="1"/>
    <col min="4866" max="4866" width="9.7109375" style="327" customWidth="1"/>
    <col min="4867" max="4867" width="12.7109375" style="327" customWidth="1"/>
    <col min="4868" max="4868" width="5.140625" style="327" customWidth="1"/>
    <col min="4869" max="4869" width="9.7109375" style="327" customWidth="1"/>
    <col min="4870" max="4870" width="12.7109375" style="327" customWidth="1"/>
    <col min="4871" max="4871" width="5.140625" style="327" customWidth="1"/>
    <col min="4872" max="4872" width="9.7109375" style="327" customWidth="1"/>
    <col min="4873" max="4873" width="12.7109375" style="327" customWidth="1"/>
    <col min="4874" max="4874" width="5.140625" style="327" customWidth="1"/>
    <col min="4875" max="4875" width="9.7109375" style="327" customWidth="1"/>
    <col min="4876" max="4876" width="12.7109375" style="327" customWidth="1"/>
    <col min="4877" max="4877" width="5.140625" style="327" customWidth="1"/>
    <col min="4878" max="4878" width="9.7109375" style="327" customWidth="1"/>
    <col min="4879" max="4879" width="12.7109375" style="327" customWidth="1"/>
    <col min="4880" max="4880" width="5.140625" style="327" customWidth="1"/>
    <col min="4881" max="4881" width="9.7109375" style="327" customWidth="1"/>
    <col min="4882" max="4882" width="12.7109375" style="327" customWidth="1"/>
    <col min="4883" max="4883" width="5.140625" style="327" customWidth="1"/>
    <col min="4884" max="4884" width="9.7109375" style="327" customWidth="1"/>
    <col min="4885" max="4885" width="12.7109375" style="327" customWidth="1"/>
    <col min="4886" max="4886" width="5.140625" style="327" customWidth="1"/>
    <col min="4887" max="4887" width="9.7109375" style="327" customWidth="1"/>
    <col min="4888" max="4888" width="12.7109375" style="327" customWidth="1"/>
    <col min="4889" max="4889" width="5.140625" style="327" customWidth="1"/>
    <col min="4890" max="4890" width="9.7109375" style="327" customWidth="1"/>
    <col min="4891" max="4891" width="12.7109375" style="327" customWidth="1"/>
    <col min="4892" max="4892" width="5.140625" style="327" customWidth="1"/>
    <col min="4893" max="4893" width="9.7109375" style="327" customWidth="1"/>
    <col min="4894" max="4894" width="12.7109375" style="327" customWidth="1"/>
    <col min="4895" max="4895" width="5.140625" style="327" customWidth="1"/>
    <col min="4896" max="4896" width="9.7109375" style="327" customWidth="1"/>
    <col min="4897" max="4897" width="12.7109375" style="327" customWidth="1"/>
    <col min="4898" max="4898" width="37.7109375" style="327" customWidth="1"/>
    <col min="4899" max="5101" width="9.140625" style="327"/>
    <col min="5102" max="5102" width="1.7109375" style="327" customWidth="1"/>
    <col min="5103" max="5103" width="3.5703125" style="327" customWidth="1"/>
    <col min="5104" max="5104" width="11" style="327" customWidth="1"/>
    <col min="5105" max="5105" width="20.7109375" style="327" customWidth="1"/>
    <col min="5106" max="5107" width="11.7109375" style="327" customWidth="1"/>
    <col min="5108" max="5108" width="9.7109375" style="327" customWidth="1"/>
    <col min="5109" max="5109" width="10.140625" style="327" bestFit="1" customWidth="1"/>
    <col min="5110" max="5111" width="7.7109375" style="327" customWidth="1"/>
    <col min="5112" max="5112" width="4" style="327" customWidth="1"/>
    <col min="5113" max="5113" width="9.7109375" style="327" customWidth="1"/>
    <col min="5114" max="5114" width="15.140625" style="327" customWidth="1"/>
    <col min="5115" max="5115" width="5.140625" style="327" customWidth="1"/>
    <col min="5116" max="5116" width="9.7109375" style="327" customWidth="1"/>
    <col min="5117" max="5117" width="13.7109375" style="327" customWidth="1"/>
    <col min="5118" max="5118" width="5.140625" style="327" customWidth="1"/>
    <col min="5119" max="5119" width="9.7109375" style="327" customWidth="1"/>
    <col min="5120" max="5120" width="12.5703125" style="327" customWidth="1"/>
    <col min="5121" max="5121" width="5.140625" style="327" customWidth="1"/>
    <col min="5122" max="5122" width="9.7109375" style="327" customWidth="1"/>
    <col min="5123" max="5123" width="12.7109375" style="327" customWidth="1"/>
    <col min="5124" max="5124" width="5.140625" style="327" customWidth="1"/>
    <col min="5125" max="5125" width="9.7109375" style="327" customWidth="1"/>
    <col min="5126" max="5126" width="12.7109375" style="327" customWidth="1"/>
    <col min="5127" max="5127" width="5.140625" style="327" customWidth="1"/>
    <col min="5128" max="5128" width="9.7109375" style="327" customWidth="1"/>
    <col min="5129" max="5129" width="12.7109375" style="327" customWidth="1"/>
    <col min="5130" max="5130" width="5.140625" style="327" customWidth="1"/>
    <col min="5131" max="5131" width="9.7109375" style="327" customWidth="1"/>
    <col min="5132" max="5132" width="12.7109375" style="327" customWidth="1"/>
    <col min="5133" max="5133" width="5.140625" style="327" customWidth="1"/>
    <col min="5134" max="5134" width="9.7109375" style="327" customWidth="1"/>
    <col min="5135" max="5135" width="12.7109375" style="327" customWidth="1"/>
    <col min="5136" max="5136" width="5.140625" style="327" customWidth="1"/>
    <col min="5137" max="5137" width="9.7109375" style="327" customWidth="1"/>
    <col min="5138" max="5138" width="12.7109375" style="327" customWidth="1"/>
    <col min="5139" max="5139" width="5.140625" style="327" customWidth="1"/>
    <col min="5140" max="5140" width="9.7109375" style="327" customWidth="1"/>
    <col min="5141" max="5141" width="12.7109375" style="327" customWidth="1"/>
    <col min="5142" max="5142" width="5.140625" style="327" customWidth="1"/>
    <col min="5143" max="5143" width="9.7109375" style="327" customWidth="1"/>
    <col min="5144" max="5144" width="12.7109375" style="327" customWidth="1"/>
    <col min="5145" max="5145" width="5.140625" style="327" customWidth="1"/>
    <col min="5146" max="5146" width="9.7109375" style="327" customWidth="1"/>
    <col min="5147" max="5147" width="12.7109375" style="327" customWidth="1"/>
    <col min="5148" max="5148" width="5.140625" style="327" customWidth="1"/>
    <col min="5149" max="5149" width="9.7109375" style="327" customWidth="1"/>
    <col min="5150" max="5150" width="12.7109375" style="327" customWidth="1"/>
    <col min="5151" max="5151" width="5.140625" style="327" customWidth="1"/>
    <col min="5152" max="5152" width="9.7109375" style="327" customWidth="1"/>
    <col min="5153" max="5153" width="12.7109375" style="327" customWidth="1"/>
    <col min="5154" max="5154" width="37.7109375" style="327" customWidth="1"/>
    <col min="5155" max="5357" width="9.140625" style="327"/>
    <col min="5358" max="5358" width="1.7109375" style="327" customWidth="1"/>
    <col min="5359" max="5359" width="3.5703125" style="327" customWidth="1"/>
    <col min="5360" max="5360" width="11" style="327" customWidth="1"/>
    <col min="5361" max="5361" width="20.7109375" style="327" customWidth="1"/>
    <col min="5362" max="5363" width="11.7109375" style="327" customWidth="1"/>
    <col min="5364" max="5364" width="9.7109375" style="327" customWidth="1"/>
    <col min="5365" max="5365" width="10.140625" style="327" bestFit="1" customWidth="1"/>
    <col min="5366" max="5367" width="7.7109375" style="327" customWidth="1"/>
    <col min="5368" max="5368" width="4" style="327" customWidth="1"/>
    <col min="5369" max="5369" width="9.7109375" style="327" customWidth="1"/>
    <col min="5370" max="5370" width="15.140625" style="327" customWidth="1"/>
    <col min="5371" max="5371" width="5.140625" style="327" customWidth="1"/>
    <col min="5372" max="5372" width="9.7109375" style="327" customWidth="1"/>
    <col min="5373" max="5373" width="13.7109375" style="327" customWidth="1"/>
    <col min="5374" max="5374" width="5.140625" style="327" customWidth="1"/>
    <col min="5375" max="5375" width="9.7109375" style="327" customWidth="1"/>
    <col min="5376" max="5376" width="12.5703125" style="327" customWidth="1"/>
    <col min="5377" max="5377" width="5.140625" style="327" customWidth="1"/>
    <col min="5378" max="5378" width="9.7109375" style="327" customWidth="1"/>
    <col min="5379" max="5379" width="12.7109375" style="327" customWidth="1"/>
    <col min="5380" max="5380" width="5.140625" style="327" customWidth="1"/>
    <col min="5381" max="5381" width="9.7109375" style="327" customWidth="1"/>
    <col min="5382" max="5382" width="12.7109375" style="327" customWidth="1"/>
    <col min="5383" max="5383" width="5.140625" style="327" customWidth="1"/>
    <col min="5384" max="5384" width="9.7109375" style="327" customWidth="1"/>
    <col min="5385" max="5385" width="12.7109375" style="327" customWidth="1"/>
    <col min="5386" max="5386" width="5.140625" style="327" customWidth="1"/>
    <col min="5387" max="5387" width="9.7109375" style="327" customWidth="1"/>
    <col min="5388" max="5388" width="12.7109375" style="327" customWidth="1"/>
    <col min="5389" max="5389" width="5.140625" style="327" customWidth="1"/>
    <col min="5390" max="5390" width="9.7109375" style="327" customWidth="1"/>
    <col min="5391" max="5391" width="12.7109375" style="327" customWidth="1"/>
    <col min="5392" max="5392" width="5.140625" style="327" customWidth="1"/>
    <col min="5393" max="5393" width="9.7109375" style="327" customWidth="1"/>
    <col min="5394" max="5394" width="12.7109375" style="327" customWidth="1"/>
    <col min="5395" max="5395" width="5.140625" style="327" customWidth="1"/>
    <col min="5396" max="5396" width="9.7109375" style="327" customWidth="1"/>
    <col min="5397" max="5397" width="12.7109375" style="327" customWidth="1"/>
    <col min="5398" max="5398" width="5.140625" style="327" customWidth="1"/>
    <col min="5399" max="5399" width="9.7109375" style="327" customWidth="1"/>
    <col min="5400" max="5400" width="12.7109375" style="327" customWidth="1"/>
    <col min="5401" max="5401" width="5.140625" style="327" customWidth="1"/>
    <col min="5402" max="5402" width="9.7109375" style="327" customWidth="1"/>
    <col min="5403" max="5403" width="12.7109375" style="327" customWidth="1"/>
    <col min="5404" max="5404" width="5.140625" style="327" customWidth="1"/>
    <col min="5405" max="5405" width="9.7109375" style="327" customWidth="1"/>
    <col min="5406" max="5406" width="12.7109375" style="327" customWidth="1"/>
    <col min="5407" max="5407" width="5.140625" style="327" customWidth="1"/>
    <col min="5408" max="5408" width="9.7109375" style="327" customWidth="1"/>
    <col min="5409" max="5409" width="12.7109375" style="327" customWidth="1"/>
    <col min="5410" max="5410" width="37.7109375" style="327" customWidth="1"/>
    <col min="5411" max="5613" width="9.140625" style="327"/>
    <col min="5614" max="5614" width="1.7109375" style="327" customWidth="1"/>
    <col min="5615" max="5615" width="3.5703125" style="327" customWidth="1"/>
    <col min="5616" max="5616" width="11" style="327" customWidth="1"/>
    <col min="5617" max="5617" width="20.7109375" style="327" customWidth="1"/>
    <col min="5618" max="5619" width="11.7109375" style="327" customWidth="1"/>
    <col min="5620" max="5620" width="9.7109375" style="327" customWidth="1"/>
    <col min="5621" max="5621" width="10.140625" style="327" bestFit="1" customWidth="1"/>
    <col min="5622" max="5623" width="7.7109375" style="327" customWidth="1"/>
    <col min="5624" max="5624" width="4" style="327" customWidth="1"/>
    <col min="5625" max="5625" width="9.7109375" style="327" customWidth="1"/>
    <col min="5626" max="5626" width="15.140625" style="327" customWidth="1"/>
    <col min="5627" max="5627" width="5.140625" style="327" customWidth="1"/>
    <col min="5628" max="5628" width="9.7109375" style="327" customWidth="1"/>
    <col min="5629" max="5629" width="13.7109375" style="327" customWidth="1"/>
    <col min="5630" max="5630" width="5.140625" style="327" customWidth="1"/>
    <col min="5631" max="5631" width="9.7109375" style="327" customWidth="1"/>
    <col min="5632" max="5632" width="12.5703125" style="327" customWidth="1"/>
    <col min="5633" max="5633" width="5.140625" style="327" customWidth="1"/>
    <col min="5634" max="5634" width="9.7109375" style="327" customWidth="1"/>
    <col min="5635" max="5635" width="12.7109375" style="327" customWidth="1"/>
    <col min="5636" max="5636" width="5.140625" style="327" customWidth="1"/>
    <col min="5637" max="5637" width="9.7109375" style="327" customWidth="1"/>
    <col min="5638" max="5638" width="12.7109375" style="327" customWidth="1"/>
    <col min="5639" max="5639" width="5.140625" style="327" customWidth="1"/>
    <col min="5640" max="5640" width="9.7109375" style="327" customWidth="1"/>
    <col min="5641" max="5641" width="12.7109375" style="327" customWidth="1"/>
    <col min="5642" max="5642" width="5.140625" style="327" customWidth="1"/>
    <col min="5643" max="5643" width="9.7109375" style="327" customWidth="1"/>
    <col min="5644" max="5644" width="12.7109375" style="327" customWidth="1"/>
    <col min="5645" max="5645" width="5.140625" style="327" customWidth="1"/>
    <col min="5646" max="5646" width="9.7109375" style="327" customWidth="1"/>
    <col min="5647" max="5647" width="12.7109375" style="327" customWidth="1"/>
    <col min="5648" max="5648" width="5.140625" style="327" customWidth="1"/>
    <col min="5649" max="5649" width="9.7109375" style="327" customWidth="1"/>
    <col min="5650" max="5650" width="12.7109375" style="327" customWidth="1"/>
    <col min="5651" max="5651" width="5.140625" style="327" customWidth="1"/>
    <col min="5652" max="5652" width="9.7109375" style="327" customWidth="1"/>
    <col min="5653" max="5653" width="12.7109375" style="327" customWidth="1"/>
    <col min="5654" max="5654" width="5.140625" style="327" customWidth="1"/>
    <col min="5655" max="5655" width="9.7109375" style="327" customWidth="1"/>
    <col min="5656" max="5656" width="12.7109375" style="327" customWidth="1"/>
    <col min="5657" max="5657" width="5.140625" style="327" customWidth="1"/>
    <col min="5658" max="5658" width="9.7109375" style="327" customWidth="1"/>
    <col min="5659" max="5659" width="12.7109375" style="327" customWidth="1"/>
    <col min="5660" max="5660" width="5.140625" style="327" customWidth="1"/>
    <col min="5661" max="5661" width="9.7109375" style="327" customWidth="1"/>
    <col min="5662" max="5662" width="12.7109375" style="327" customWidth="1"/>
    <col min="5663" max="5663" width="5.140625" style="327" customWidth="1"/>
    <col min="5664" max="5664" width="9.7109375" style="327" customWidth="1"/>
    <col min="5665" max="5665" width="12.7109375" style="327" customWidth="1"/>
    <col min="5666" max="5666" width="37.7109375" style="327" customWidth="1"/>
    <col min="5667" max="5869" width="9.140625" style="327"/>
    <col min="5870" max="5870" width="1.7109375" style="327" customWidth="1"/>
    <col min="5871" max="5871" width="3.5703125" style="327" customWidth="1"/>
    <col min="5872" max="5872" width="11" style="327" customWidth="1"/>
    <col min="5873" max="5873" width="20.7109375" style="327" customWidth="1"/>
    <col min="5874" max="5875" width="11.7109375" style="327" customWidth="1"/>
    <col min="5876" max="5876" width="9.7109375" style="327" customWidth="1"/>
    <col min="5877" max="5877" width="10.140625" style="327" bestFit="1" customWidth="1"/>
    <col min="5878" max="5879" width="7.7109375" style="327" customWidth="1"/>
    <col min="5880" max="5880" width="4" style="327" customWidth="1"/>
    <col min="5881" max="5881" width="9.7109375" style="327" customWidth="1"/>
    <col min="5882" max="5882" width="15.140625" style="327" customWidth="1"/>
    <col min="5883" max="5883" width="5.140625" style="327" customWidth="1"/>
    <col min="5884" max="5884" width="9.7109375" style="327" customWidth="1"/>
    <col min="5885" max="5885" width="13.7109375" style="327" customWidth="1"/>
    <col min="5886" max="5886" width="5.140625" style="327" customWidth="1"/>
    <col min="5887" max="5887" width="9.7109375" style="327" customWidth="1"/>
    <col min="5888" max="5888" width="12.5703125" style="327" customWidth="1"/>
    <col min="5889" max="5889" width="5.140625" style="327" customWidth="1"/>
    <col min="5890" max="5890" width="9.7109375" style="327" customWidth="1"/>
    <col min="5891" max="5891" width="12.7109375" style="327" customWidth="1"/>
    <col min="5892" max="5892" width="5.140625" style="327" customWidth="1"/>
    <col min="5893" max="5893" width="9.7109375" style="327" customWidth="1"/>
    <col min="5894" max="5894" width="12.7109375" style="327" customWidth="1"/>
    <col min="5895" max="5895" width="5.140625" style="327" customWidth="1"/>
    <col min="5896" max="5896" width="9.7109375" style="327" customWidth="1"/>
    <col min="5897" max="5897" width="12.7109375" style="327" customWidth="1"/>
    <col min="5898" max="5898" width="5.140625" style="327" customWidth="1"/>
    <col min="5899" max="5899" width="9.7109375" style="327" customWidth="1"/>
    <col min="5900" max="5900" width="12.7109375" style="327" customWidth="1"/>
    <col min="5901" max="5901" width="5.140625" style="327" customWidth="1"/>
    <col min="5902" max="5902" width="9.7109375" style="327" customWidth="1"/>
    <col min="5903" max="5903" width="12.7109375" style="327" customWidth="1"/>
    <col min="5904" max="5904" width="5.140625" style="327" customWidth="1"/>
    <col min="5905" max="5905" width="9.7109375" style="327" customWidth="1"/>
    <col min="5906" max="5906" width="12.7109375" style="327" customWidth="1"/>
    <col min="5907" max="5907" width="5.140625" style="327" customWidth="1"/>
    <col min="5908" max="5908" width="9.7109375" style="327" customWidth="1"/>
    <col min="5909" max="5909" width="12.7109375" style="327" customWidth="1"/>
    <col min="5910" max="5910" width="5.140625" style="327" customWidth="1"/>
    <col min="5911" max="5911" width="9.7109375" style="327" customWidth="1"/>
    <col min="5912" max="5912" width="12.7109375" style="327" customWidth="1"/>
    <col min="5913" max="5913" width="5.140625" style="327" customWidth="1"/>
    <col min="5914" max="5914" width="9.7109375" style="327" customWidth="1"/>
    <col min="5915" max="5915" width="12.7109375" style="327" customWidth="1"/>
    <col min="5916" max="5916" width="5.140625" style="327" customWidth="1"/>
    <col min="5917" max="5917" width="9.7109375" style="327" customWidth="1"/>
    <col min="5918" max="5918" width="12.7109375" style="327" customWidth="1"/>
    <col min="5919" max="5919" width="5.140625" style="327" customWidth="1"/>
    <col min="5920" max="5920" width="9.7109375" style="327" customWidth="1"/>
    <col min="5921" max="5921" width="12.7109375" style="327" customWidth="1"/>
    <col min="5922" max="5922" width="37.7109375" style="327" customWidth="1"/>
    <col min="5923" max="6125" width="9.140625" style="327"/>
    <col min="6126" max="6126" width="1.7109375" style="327" customWidth="1"/>
    <col min="6127" max="6127" width="3.5703125" style="327" customWidth="1"/>
    <col min="6128" max="6128" width="11" style="327" customWidth="1"/>
    <col min="6129" max="6129" width="20.7109375" style="327" customWidth="1"/>
    <col min="6130" max="6131" width="11.7109375" style="327" customWidth="1"/>
    <col min="6132" max="6132" width="9.7109375" style="327" customWidth="1"/>
    <col min="6133" max="6133" width="10.140625" style="327" bestFit="1" customWidth="1"/>
    <col min="6134" max="6135" width="7.7109375" style="327" customWidth="1"/>
    <col min="6136" max="6136" width="4" style="327" customWidth="1"/>
    <col min="6137" max="6137" width="9.7109375" style="327" customWidth="1"/>
    <col min="6138" max="6138" width="15.140625" style="327" customWidth="1"/>
    <col min="6139" max="6139" width="5.140625" style="327" customWidth="1"/>
    <col min="6140" max="6140" width="9.7109375" style="327" customWidth="1"/>
    <col min="6141" max="6141" width="13.7109375" style="327" customWidth="1"/>
    <col min="6142" max="6142" width="5.140625" style="327" customWidth="1"/>
    <col min="6143" max="6143" width="9.7109375" style="327" customWidth="1"/>
    <col min="6144" max="6144" width="12.5703125" style="327" customWidth="1"/>
    <col min="6145" max="6145" width="5.140625" style="327" customWidth="1"/>
    <col min="6146" max="6146" width="9.7109375" style="327" customWidth="1"/>
    <col min="6147" max="6147" width="12.7109375" style="327" customWidth="1"/>
    <col min="6148" max="6148" width="5.140625" style="327" customWidth="1"/>
    <col min="6149" max="6149" width="9.7109375" style="327" customWidth="1"/>
    <col min="6150" max="6150" width="12.7109375" style="327" customWidth="1"/>
    <col min="6151" max="6151" width="5.140625" style="327" customWidth="1"/>
    <col min="6152" max="6152" width="9.7109375" style="327" customWidth="1"/>
    <col min="6153" max="6153" width="12.7109375" style="327" customWidth="1"/>
    <col min="6154" max="6154" width="5.140625" style="327" customWidth="1"/>
    <col min="6155" max="6155" width="9.7109375" style="327" customWidth="1"/>
    <col min="6156" max="6156" width="12.7109375" style="327" customWidth="1"/>
    <col min="6157" max="6157" width="5.140625" style="327" customWidth="1"/>
    <col min="6158" max="6158" width="9.7109375" style="327" customWidth="1"/>
    <col min="6159" max="6159" width="12.7109375" style="327" customWidth="1"/>
    <col min="6160" max="6160" width="5.140625" style="327" customWidth="1"/>
    <col min="6161" max="6161" width="9.7109375" style="327" customWidth="1"/>
    <col min="6162" max="6162" width="12.7109375" style="327" customWidth="1"/>
    <col min="6163" max="6163" width="5.140625" style="327" customWidth="1"/>
    <col min="6164" max="6164" width="9.7109375" style="327" customWidth="1"/>
    <col min="6165" max="6165" width="12.7109375" style="327" customWidth="1"/>
    <col min="6166" max="6166" width="5.140625" style="327" customWidth="1"/>
    <col min="6167" max="6167" width="9.7109375" style="327" customWidth="1"/>
    <col min="6168" max="6168" width="12.7109375" style="327" customWidth="1"/>
    <col min="6169" max="6169" width="5.140625" style="327" customWidth="1"/>
    <col min="6170" max="6170" width="9.7109375" style="327" customWidth="1"/>
    <col min="6171" max="6171" width="12.7109375" style="327" customWidth="1"/>
    <col min="6172" max="6172" width="5.140625" style="327" customWidth="1"/>
    <col min="6173" max="6173" width="9.7109375" style="327" customWidth="1"/>
    <col min="6174" max="6174" width="12.7109375" style="327" customWidth="1"/>
    <col min="6175" max="6175" width="5.140625" style="327" customWidth="1"/>
    <col min="6176" max="6176" width="9.7109375" style="327" customWidth="1"/>
    <col min="6177" max="6177" width="12.7109375" style="327" customWidth="1"/>
    <col min="6178" max="6178" width="37.7109375" style="327" customWidth="1"/>
    <col min="6179" max="6381" width="9.140625" style="327"/>
    <col min="6382" max="6382" width="1.7109375" style="327" customWidth="1"/>
    <col min="6383" max="6383" width="3.5703125" style="327" customWidth="1"/>
    <col min="6384" max="6384" width="11" style="327" customWidth="1"/>
    <col min="6385" max="6385" width="20.7109375" style="327" customWidth="1"/>
    <col min="6386" max="6387" width="11.7109375" style="327" customWidth="1"/>
    <col min="6388" max="6388" width="9.7109375" style="327" customWidth="1"/>
    <col min="6389" max="6389" width="10.140625" style="327" bestFit="1" customWidth="1"/>
    <col min="6390" max="6391" width="7.7109375" style="327" customWidth="1"/>
    <col min="6392" max="6392" width="4" style="327" customWidth="1"/>
    <col min="6393" max="6393" width="9.7109375" style="327" customWidth="1"/>
    <col min="6394" max="6394" width="15.140625" style="327" customWidth="1"/>
    <col min="6395" max="6395" width="5.140625" style="327" customWidth="1"/>
    <col min="6396" max="6396" width="9.7109375" style="327" customWidth="1"/>
    <col min="6397" max="6397" width="13.7109375" style="327" customWidth="1"/>
    <col min="6398" max="6398" width="5.140625" style="327" customWidth="1"/>
    <col min="6399" max="6399" width="9.7109375" style="327" customWidth="1"/>
    <col min="6400" max="6400" width="12.5703125" style="327" customWidth="1"/>
    <col min="6401" max="6401" width="5.140625" style="327" customWidth="1"/>
    <col min="6402" max="6402" width="9.7109375" style="327" customWidth="1"/>
    <col min="6403" max="6403" width="12.7109375" style="327" customWidth="1"/>
    <col min="6404" max="6404" width="5.140625" style="327" customWidth="1"/>
    <col min="6405" max="6405" width="9.7109375" style="327" customWidth="1"/>
    <col min="6406" max="6406" width="12.7109375" style="327" customWidth="1"/>
    <col min="6407" max="6407" width="5.140625" style="327" customWidth="1"/>
    <col min="6408" max="6408" width="9.7109375" style="327" customWidth="1"/>
    <col min="6409" max="6409" width="12.7109375" style="327" customWidth="1"/>
    <col min="6410" max="6410" width="5.140625" style="327" customWidth="1"/>
    <col min="6411" max="6411" width="9.7109375" style="327" customWidth="1"/>
    <col min="6412" max="6412" width="12.7109375" style="327" customWidth="1"/>
    <col min="6413" max="6413" width="5.140625" style="327" customWidth="1"/>
    <col min="6414" max="6414" width="9.7109375" style="327" customWidth="1"/>
    <col min="6415" max="6415" width="12.7109375" style="327" customWidth="1"/>
    <col min="6416" max="6416" width="5.140625" style="327" customWidth="1"/>
    <col min="6417" max="6417" width="9.7109375" style="327" customWidth="1"/>
    <col min="6418" max="6418" width="12.7109375" style="327" customWidth="1"/>
    <col min="6419" max="6419" width="5.140625" style="327" customWidth="1"/>
    <col min="6420" max="6420" width="9.7109375" style="327" customWidth="1"/>
    <col min="6421" max="6421" width="12.7109375" style="327" customWidth="1"/>
    <col min="6422" max="6422" width="5.140625" style="327" customWidth="1"/>
    <col min="6423" max="6423" width="9.7109375" style="327" customWidth="1"/>
    <col min="6424" max="6424" width="12.7109375" style="327" customWidth="1"/>
    <col min="6425" max="6425" width="5.140625" style="327" customWidth="1"/>
    <col min="6426" max="6426" width="9.7109375" style="327" customWidth="1"/>
    <col min="6427" max="6427" width="12.7109375" style="327" customWidth="1"/>
    <col min="6428" max="6428" width="5.140625" style="327" customWidth="1"/>
    <col min="6429" max="6429" width="9.7109375" style="327" customWidth="1"/>
    <col min="6430" max="6430" width="12.7109375" style="327" customWidth="1"/>
    <col min="6431" max="6431" width="5.140625" style="327" customWidth="1"/>
    <col min="6432" max="6432" width="9.7109375" style="327" customWidth="1"/>
    <col min="6433" max="6433" width="12.7109375" style="327" customWidth="1"/>
    <col min="6434" max="6434" width="37.7109375" style="327" customWidth="1"/>
    <col min="6435" max="6637" width="9.140625" style="327"/>
    <col min="6638" max="6638" width="1.7109375" style="327" customWidth="1"/>
    <col min="6639" max="6639" width="3.5703125" style="327" customWidth="1"/>
    <col min="6640" max="6640" width="11" style="327" customWidth="1"/>
    <col min="6641" max="6641" width="20.7109375" style="327" customWidth="1"/>
    <col min="6642" max="6643" width="11.7109375" style="327" customWidth="1"/>
    <col min="6644" max="6644" width="9.7109375" style="327" customWidth="1"/>
    <col min="6645" max="6645" width="10.140625" style="327" bestFit="1" customWidth="1"/>
    <col min="6646" max="6647" width="7.7109375" style="327" customWidth="1"/>
    <col min="6648" max="6648" width="4" style="327" customWidth="1"/>
    <col min="6649" max="6649" width="9.7109375" style="327" customWidth="1"/>
    <col min="6650" max="6650" width="15.140625" style="327" customWidth="1"/>
    <col min="6651" max="6651" width="5.140625" style="327" customWidth="1"/>
    <col min="6652" max="6652" width="9.7109375" style="327" customWidth="1"/>
    <col min="6653" max="6653" width="13.7109375" style="327" customWidth="1"/>
    <col min="6654" max="6654" width="5.140625" style="327" customWidth="1"/>
    <col min="6655" max="6655" width="9.7109375" style="327" customWidth="1"/>
    <col min="6656" max="6656" width="12.5703125" style="327" customWidth="1"/>
    <col min="6657" max="6657" width="5.140625" style="327" customWidth="1"/>
    <col min="6658" max="6658" width="9.7109375" style="327" customWidth="1"/>
    <col min="6659" max="6659" width="12.7109375" style="327" customWidth="1"/>
    <col min="6660" max="6660" width="5.140625" style="327" customWidth="1"/>
    <col min="6661" max="6661" width="9.7109375" style="327" customWidth="1"/>
    <col min="6662" max="6662" width="12.7109375" style="327" customWidth="1"/>
    <col min="6663" max="6663" width="5.140625" style="327" customWidth="1"/>
    <col min="6664" max="6664" width="9.7109375" style="327" customWidth="1"/>
    <col min="6665" max="6665" width="12.7109375" style="327" customWidth="1"/>
    <col min="6666" max="6666" width="5.140625" style="327" customWidth="1"/>
    <col min="6667" max="6667" width="9.7109375" style="327" customWidth="1"/>
    <col min="6668" max="6668" width="12.7109375" style="327" customWidth="1"/>
    <col min="6669" max="6669" width="5.140625" style="327" customWidth="1"/>
    <col min="6670" max="6670" width="9.7109375" style="327" customWidth="1"/>
    <col min="6671" max="6671" width="12.7109375" style="327" customWidth="1"/>
    <col min="6672" max="6672" width="5.140625" style="327" customWidth="1"/>
    <col min="6673" max="6673" width="9.7109375" style="327" customWidth="1"/>
    <col min="6674" max="6674" width="12.7109375" style="327" customWidth="1"/>
    <col min="6675" max="6675" width="5.140625" style="327" customWidth="1"/>
    <col min="6676" max="6676" width="9.7109375" style="327" customWidth="1"/>
    <col min="6677" max="6677" width="12.7109375" style="327" customWidth="1"/>
    <col min="6678" max="6678" width="5.140625" style="327" customWidth="1"/>
    <col min="6679" max="6679" width="9.7109375" style="327" customWidth="1"/>
    <col min="6680" max="6680" width="12.7109375" style="327" customWidth="1"/>
    <col min="6681" max="6681" width="5.140625" style="327" customWidth="1"/>
    <col min="6682" max="6682" width="9.7109375" style="327" customWidth="1"/>
    <col min="6683" max="6683" width="12.7109375" style="327" customWidth="1"/>
    <col min="6684" max="6684" width="5.140625" style="327" customWidth="1"/>
    <col min="6685" max="6685" width="9.7109375" style="327" customWidth="1"/>
    <col min="6686" max="6686" width="12.7109375" style="327" customWidth="1"/>
    <col min="6687" max="6687" width="5.140625" style="327" customWidth="1"/>
    <col min="6688" max="6688" width="9.7109375" style="327" customWidth="1"/>
    <col min="6689" max="6689" width="12.7109375" style="327" customWidth="1"/>
    <col min="6690" max="6690" width="37.7109375" style="327" customWidth="1"/>
    <col min="6691" max="6893" width="9.140625" style="327"/>
    <col min="6894" max="6894" width="1.7109375" style="327" customWidth="1"/>
    <col min="6895" max="6895" width="3.5703125" style="327" customWidth="1"/>
    <col min="6896" max="6896" width="11" style="327" customWidth="1"/>
    <col min="6897" max="6897" width="20.7109375" style="327" customWidth="1"/>
    <col min="6898" max="6899" width="11.7109375" style="327" customWidth="1"/>
    <col min="6900" max="6900" width="9.7109375" style="327" customWidth="1"/>
    <col min="6901" max="6901" width="10.140625" style="327" bestFit="1" customWidth="1"/>
    <col min="6902" max="6903" width="7.7109375" style="327" customWidth="1"/>
    <col min="6904" max="6904" width="4" style="327" customWidth="1"/>
    <col min="6905" max="6905" width="9.7109375" style="327" customWidth="1"/>
    <col min="6906" max="6906" width="15.140625" style="327" customWidth="1"/>
    <col min="6907" max="6907" width="5.140625" style="327" customWidth="1"/>
    <col min="6908" max="6908" width="9.7109375" style="327" customWidth="1"/>
    <col min="6909" max="6909" width="13.7109375" style="327" customWidth="1"/>
    <col min="6910" max="6910" width="5.140625" style="327" customWidth="1"/>
    <col min="6911" max="6911" width="9.7109375" style="327" customWidth="1"/>
    <col min="6912" max="6912" width="12.5703125" style="327" customWidth="1"/>
    <col min="6913" max="6913" width="5.140625" style="327" customWidth="1"/>
    <col min="6914" max="6914" width="9.7109375" style="327" customWidth="1"/>
    <col min="6915" max="6915" width="12.7109375" style="327" customWidth="1"/>
    <col min="6916" max="6916" width="5.140625" style="327" customWidth="1"/>
    <col min="6917" max="6917" width="9.7109375" style="327" customWidth="1"/>
    <col min="6918" max="6918" width="12.7109375" style="327" customWidth="1"/>
    <col min="6919" max="6919" width="5.140625" style="327" customWidth="1"/>
    <col min="6920" max="6920" width="9.7109375" style="327" customWidth="1"/>
    <col min="6921" max="6921" width="12.7109375" style="327" customWidth="1"/>
    <col min="6922" max="6922" width="5.140625" style="327" customWidth="1"/>
    <col min="6923" max="6923" width="9.7109375" style="327" customWidth="1"/>
    <col min="6924" max="6924" width="12.7109375" style="327" customWidth="1"/>
    <col min="6925" max="6925" width="5.140625" style="327" customWidth="1"/>
    <col min="6926" max="6926" width="9.7109375" style="327" customWidth="1"/>
    <col min="6927" max="6927" width="12.7109375" style="327" customWidth="1"/>
    <col min="6928" max="6928" width="5.140625" style="327" customWidth="1"/>
    <col min="6929" max="6929" width="9.7109375" style="327" customWidth="1"/>
    <col min="6930" max="6930" width="12.7109375" style="327" customWidth="1"/>
    <col min="6931" max="6931" width="5.140625" style="327" customWidth="1"/>
    <col min="6932" max="6932" width="9.7109375" style="327" customWidth="1"/>
    <col min="6933" max="6933" width="12.7109375" style="327" customWidth="1"/>
    <col min="6934" max="6934" width="5.140625" style="327" customWidth="1"/>
    <col min="6935" max="6935" width="9.7109375" style="327" customWidth="1"/>
    <col min="6936" max="6936" width="12.7109375" style="327" customWidth="1"/>
    <col min="6937" max="6937" width="5.140625" style="327" customWidth="1"/>
    <col min="6938" max="6938" width="9.7109375" style="327" customWidth="1"/>
    <col min="6939" max="6939" width="12.7109375" style="327" customWidth="1"/>
    <col min="6940" max="6940" width="5.140625" style="327" customWidth="1"/>
    <col min="6941" max="6941" width="9.7109375" style="327" customWidth="1"/>
    <col min="6942" max="6942" width="12.7109375" style="327" customWidth="1"/>
    <col min="6943" max="6943" width="5.140625" style="327" customWidth="1"/>
    <col min="6944" max="6944" width="9.7109375" style="327" customWidth="1"/>
    <col min="6945" max="6945" width="12.7109375" style="327" customWidth="1"/>
    <col min="6946" max="6946" width="37.7109375" style="327" customWidth="1"/>
    <col min="6947" max="7149" width="9.140625" style="327"/>
    <col min="7150" max="7150" width="1.7109375" style="327" customWidth="1"/>
    <col min="7151" max="7151" width="3.5703125" style="327" customWidth="1"/>
    <col min="7152" max="7152" width="11" style="327" customWidth="1"/>
    <col min="7153" max="7153" width="20.7109375" style="327" customWidth="1"/>
    <col min="7154" max="7155" width="11.7109375" style="327" customWidth="1"/>
    <col min="7156" max="7156" width="9.7109375" style="327" customWidth="1"/>
    <col min="7157" max="7157" width="10.140625" style="327" bestFit="1" customWidth="1"/>
    <col min="7158" max="7159" width="7.7109375" style="327" customWidth="1"/>
    <col min="7160" max="7160" width="4" style="327" customWidth="1"/>
    <col min="7161" max="7161" width="9.7109375" style="327" customWidth="1"/>
    <col min="7162" max="7162" width="15.140625" style="327" customWidth="1"/>
    <col min="7163" max="7163" width="5.140625" style="327" customWidth="1"/>
    <col min="7164" max="7164" width="9.7109375" style="327" customWidth="1"/>
    <col min="7165" max="7165" width="13.7109375" style="327" customWidth="1"/>
    <col min="7166" max="7166" width="5.140625" style="327" customWidth="1"/>
    <col min="7167" max="7167" width="9.7109375" style="327" customWidth="1"/>
    <col min="7168" max="7168" width="12.5703125" style="327" customWidth="1"/>
    <col min="7169" max="7169" width="5.140625" style="327" customWidth="1"/>
    <col min="7170" max="7170" width="9.7109375" style="327" customWidth="1"/>
    <col min="7171" max="7171" width="12.7109375" style="327" customWidth="1"/>
    <col min="7172" max="7172" width="5.140625" style="327" customWidth="1"/>
    <col min="7173" max="7173" width="9.7109375" style="327" customWidth="1"/>
    <col min="7174" max="7174" width="12.7109375" style="327" customWidth="1"/>
    <col min="7175" max="7175" width="5.140625" style="327" customWidth="1"/>
    <col min="7176" max="7176" width="9.7109375" style="327" customWidth="1"/>
    <col min="7177" max="7177" width="12.7109375" style="327" customWidth="1"/>
    <col min="7178" max="7178" width="5.140625" style="327" customWidth="1"/>
    <col min="7179" max="7179" width="9.7109375" style="327" customWidth="1"/>
    <col min="7180" max="7180" width="12.7109375" style="327" customWidth="1"/>
    <col min="7181" max="7181" width="5.140625" style="327" customWidth="1"/>
    <col min="7182" max="7182" width="9.7109375" style="327" customWidth="1"/>
    <col min="7183" max="7183" width="12.7109375" style="327" customWidth="1"/>
    <col min="7184" max="7184" width="5.140625" style="327" customWidth="1"/>
    <col min="7185" max="7185" width="9.7109375" style="327" customWidth="1"/>
    <col min="7186" max="7186" width="12.7109375" style="327" customWidth="1"/>
    <col min="7187" max="7187" width="5.140625" style="327" customWidth="1"/>
    <col min="7188" max="7188" width="9.7109375" style="327" customWidth="1"/>
    <col min="7189" max="7189" width="12.7109375" style="327" customWidth="1"/>
    <col min="7190" max="7190" width="5.140625" style="327" customWidth="1"/>
    <col min="7191" max="7191" width="9.7109375" style="327" customWidth="1"/>
    <col min="7192" max="7192" width="12.7109375" style="327" customWidth="1"/>
    <col min="7193" max="7193" width="5.140625" style="327" customWidth="1"/>
    <col min="7194" max="7194" width="9.7109375" style="327" customWidth="1"/>
    <col min="7195" max="7195" width="12.7109375" style="327" customWidth="1"/>
    <col min="7196" max="7196" width="5.140625" style="327" customWidth="1"/>
    <col min="7197" max="7197" width="9.7109375" style="327" customWidth="1"/>
    <col min="7198" max="7198" width="12.7109375" style="327" customWidth="1"/>
    <col min="7199" max="7199" width="5.140625" style="327" customWidth="1"/>
    <col min="7200" max="7200" width="9.7109375" style="327" customWidth="1"/>
    <col min="7201" max="7201" width="12.7109375" style="327" customWidth="1"/>
    <col min="7202" max="7202" width="37.7109375" style="327" customWidth="1"/>
    <col min="7203" max="7405" width="9.140625" style="327"/>
    <col min="7406" max="7406" width="1.7109375" style="327" customWidth="1"/>
    <col min="7407" max="7407" width="3.5703125" style="327" customWidth="1"/>
    <col min="7408" max="7408" width="11" style="327" customWidth="1"/>
    <col min="7409" max="7409" width="20.7109375" style="327" customWidth="1"/>
    <col min="7410" max="7411" width="11.7109375" style="327" customWidth="1"/>
    <col min="7412" max="7412" width="9.7109375" style="327" customWidth="1"/>
    <col min="7413" max="7413" width="10.140625" style="327" bestFit="1" customWidth="1"/>
    <col min="7414" max="7415" width="7.7109375" style="327" customWidth="1"/>
    <col min="7416" max="7416" width="4" style="327" customWidth="1"/>
    <col min="7417" max="7417" width="9.7109375" style="327" customWidth="1"/>
    <col min="7418" max="7418" width="15.140625" style="327" customWidth="1"/>
    <col min="7419" max="7419" width="5.140625" style="327" customWidth="1"/>
    <col min="7420" max="7420" width="9.7109375" style="327" customWidth="1"/>
    <col min="7421" max="7421" width="13.7109375" style="327" customWidth="1"/>
    <col min="7422" max="7422" width="5.140625" style="327" customWidth="1"/>
    <col min="7423" max="7423" width="9.7109375" style="327" customWidth="1"/>
    <col min="7424" max="7424" width="12.5703125" style="327" customWidth="1"/>
    <col min="7425" max="7425" width="5.140625" style="327" customWidth="1"/>
    <col min="7426" max="7426" width="9.7109375" style="327" customWidth="1"/>
    <col min="7427" max="7427" width="12.7109375" style="327" customWidth="1"/>
    <col min="7428" max="7428" width="5.140625" style="327" customWidth="1"/>
    <col min="7429" max="7429" width="9.7109375" style="327" customWidth="1"/>
    <col min="7430" max="7430" width="12.7109375" style="327" customWidth="1"/>
    <col min="7431" max="7431" width="5.140625" style="327" customWidth="1"/>
    <col min="7432" max="7432" width="9.7109375" style="327" customWidth="1"/>
    <col min="7433" max="7433" width="12.7109375" style="327" customWidth="1"/>
    <col min="7434" max="7434" width="5.140625" style="327" customWidth="1"/>
    <col min="7435" max="7435" width="9.7109375" style="327" customWidth="1"/>
    <col min="7436" max="7436" width="12.7109375" style="327" customWidth="1"/>
    <col min="7437" max="7437" width="5.140625" style="327" customWidth="1"/>
    <col min="7438" max="7438" width="9.7109375" style="327" customWidth="1"/>
    <col min="7439" max="7439" width="12.7109375" style="327" customWidth="1"/>
    <col min="7440" max="7440" width="5.140625" style="327" customWidth="1"/>
    <col min="7441" max="7441" width="9.7109375" style="327" customWidth="1"/>
    <col min="7442" max="7442" width="12.7109375" style="327" customWidth="1"/>
    <col min="7443" max="7443" width="5.140625" style="327" customWidth="1"/>
    <col min="7444" max="7444" width="9.7109375" style="327" customWidth="1"/>
    <col min="7445" max="7445" width="12.7109375" style="327" customWidth="1"/>
    <col min="7446" max="7446" width="5.140625" style="327" customWidth="1"/>
    <col min="7447" max="7447" width="9.7109375" style="327" customWidth="1"/>
    <col min="7448" max="7448" width="12.7109375" style="327" customWidth="1"/>
    <col min="7449" max="7449" width="5.140625" style="327" customWidth="1"/>
    <col min="7450" max="7450" width="9.7109375" style="327" customWidth="1"/>
    <col min="7451" max="7451" width="12.7109375" style="327" customWidth="1"/>
    <col min="7452" max="7452" width="5.140625" style="327" customWidth="1"/>
    <col min="7453" max="7453" width="9.7109375" style="327" customWidth="1"/>
    <col min="7454" max="7454" width="12.7109375" style="327" customWidth="1"/>
    <col min="7455" max="7455" width="5.140625" style="327" customWidth="1"/>
    <col min="7456" max="7456" width="9.7109375" style="327" customWidth="1"/>
    <col min="7457" max="7457" width="12.7109375" style="327" customWidth="1"/>
    <col min="7458" max="7458" width="37.7109375" style="327" customWidth="1"/>
    <col min="7459" max="7661" width="9.140625" style="327"/>
    <col min="7662" max="7662" width="1.7109375" style="327" customWidth="1"/>
    <col min="7663" max="7663" width="3.5703125" style="327" customWidth="1"/>
    <col min="7664" max="7664" width="11" style="327" customWidth="1"/>
    <col min="7665" max="7665" width="20.7109375" style="327" customWidth="1"/>
    <col min="7666" max="7667" width="11.7109375" style="327" customWidth="1"/>
    <col min="7668" max="7668" width="9.7109375" style="327" customWidth="1"/>
    <col min="7669" max="7669" width="10.140625" style="327" bestFit="1" customWidth="1"/>
    <col min="7670" max="7671" width="7.7109375" style="327" customWidth="1"/>
    <col min="7672" max="7672" width="4" style="327" customWidth="1"/>
    <col min="7673" max="7673" width="9.7109375" style="327" customWidth="1"/>
    <col min="7674" max="7674" width="15.140625" style="327" customWidth="1"/>
    <col min="7675" max="7675" width="5.140625" style="327" customWidth="1"/>
    <col min="7676" max="7676" width="9.7109375" style="327" customWidth="1"/>
    <col min="7677" max="7677" width="13.7109375" style="327" customWidth="1"/>
    <col min="7678" max="7678" width="5.140625" style="327" customWidth="1"/>
    <col min="7679" max="7679" width="9.7109375" style="327" customWidth="1"/>
    <col min="7680" max="7680" width="12.5703125" style="327" customWidth="1"/>
    <col min="7681" max="7681" width="5.140625" style="327" customWidth="1"/>
    <col min="7682" max="7682" width="9.7109375" style="327" customWidth="1"/>
    <col min="7683" max="7683" width="12.7109375" style="327" customWidth="1"/>
    <col min="7684" max="7684" width="5.140625" style="327" customWidth="1"/>
    <col min="7685" max="7685" width="9.7109375" style="327" customWidth="1"/>
    <col min="7686" max="7686" width="12.7109375" style="327" customWidth="1"/>
    <col min="7687" max="7687" width="5.140625" style="327" customWidth="1"/>
    <col min="7688" max="7688" width="9.7109375" style="327" customWidth="1"/>
    <col min="7689" max="7689" width="12.7109375" style="327" customWidth="1"/>
    <col min="7690" max="7690" width="5.140625" style="327" customWidth="1"/>
    <col min="7691" max="7691" width="9.7109375" style="327" customWidth="1"/>
    <col min="7692" max="7692" width="12.7109375" style="327" customWidth="1"/>
    <col min="7693" max="7693" width="5.140625" style="327" customWidth="1"/>
    <col min="7694" max="7694" width="9.7109375" style="327" customWidth="1"/>
    <col min="7695" max="7695" width="12.7109375" style="327" customWidth="1"/>
    <col min="7696" max="7696" width="5.140625" style="327" customWidth="1"/>
    <col min="7697" max="7697" width="9.7109375" style="327" customWidth="1"/>
    <col min="7698" max="7698" width="12.7109375" style="327" customWidth="1"/>
    <col min="7699" max="7699" width="5.140625" style="327" customWidth="1"/>
    <col min="7700" max="7700" width="9.7109375" style="327" customWidth="1"/>
    <col min="7701" max="7701" width="12.7109375" style="327" customWidth="1"/>
    <col min="7702" max="7702" width="5.140625" style="327" customWidth="1"/>
    <col min="7703" max="7703" width="9.7109375" style="327" customWidth="1"/>
    <col min="7704" max="7704" width="12.7109375" style="327" customWidth="1"/>
    <col min="7705" max="7705" width="5.140625" style="327" customWidth="1"/>
    <col min="7706" max="7706" width="9.7109375" style="327" customWidth="1"/>
    <col min="7707" max="7707" width="12.7109375" style="327" customWidth="1"/>
    <col min="7708" max="7708" width="5.140625" style="327" customWidth="1"/>
    <col min="7709" max="7709" width="9.7109375" style="327" customWidth="1"/>
    <col min="7710" max="7710" width="12.7109375" style="327" customWidth="1"/>
    <col min="7711" max="7711" width="5.140625" style="327" customWidth="1"/>
    <col min="7712" max="7712" width="9.7109375" style="327" customWidth="1"/>
    <col min="7713" max="7713" width="12.7109375" style="327" customWidth="1"/>
    <col min="7714" max="7714" width="37.7109375" style="327" customWidth="1"/>
    <col min="7715" max="7917" width="9.140625" style="327"/>
    <col min="7918" max="7918" width="1.7109375" style="327" customWidth="1"/>
    <col min="7919" max="7919" width="3.5703125" style="327" customWidth="1"/>
    <col min="7920" max="7920" width="11" style="327" customWidth="1"/>
    <col min="7921" max="7921" width="20.7109375" style="327" customWidth="1"/>
    <col min="7922" max="7923" width="11.7109375" style="327" customWidth="1"/>
    <col min="7924" max="7924" width="9.7109375" style="327" customWidth="1"/>
    <col min="7925" max="7925" width="10.140625" style="327" bestFit="1" customWidth="1"/>
    <col min="7926" max="7927" width="7.7109375" style="327" customWidth="1"/>
    <col min="7928" max="7928" width="4" style="327" customWidth="1"/>
    <col min="7929" max="7929" width="9.7109375" style="327" customWidth="1"/>
    <col min="7930" max="7930" width="15.140625" style="327" customWidth="1"/>
    <col min="7931" max="7931" width="5.140625" style="327" customWidth="1"/>
    <col min="7932" max="7932" width="9.7109375" style="327" customWidth="1"/>
    <col min="7933" max="7933" width="13.7109375" style="327" customWidth="1"/>
    <col min="7934" max="7934" width="5.140625" style="327" customWidth="1"/>
    <col min="7935" max="7935" width="9.7109375" style="327" customWidth="1"/>
    <col min="7936" max="7936" width="12.5703125" style="327" customWidth="1"/>
    <col min="7937" max="7937" width="5.140625" style="327" customWidth="1"/>
    <col min="7938" max="7938" width="9.7109375" style="327" customWidth="1"/>
    <col min="7939" max="7939" width="12.7109375" style="327" customWidth="1"/>
    <col min="7940" max="7940" width="5.140625" style="327" customWidth="1"/>
    <col min="7941" max="7941" width="9.7109375" style="327" customWidth="1"/>
    <col min="7942" max="7942" width="12.7109375" style="327" customWidth="1"/>
    <col min="7943" max="7943" width="5.140625" style="327" customWidth="1"/>
    <col min="7944" max="7944" width="9.7109375" style="327" customWidth="1"/>
    <col min="7945" max="7945" width="12.7109375" style="327" customWidth="1"/>
    <col min="7946" max="7946" width="5.140625" style="327" customWidth="1"/>
    <col min="7947" max="7947" width="9.7109375" style="327" customWidth="1"/>
    <col min="7948" max="7948" width="12.7109375" style="327" customWidth="1"/>
    <col min="7949" max="7949" width="5.140625" style="327" customWidth="1"/>
    <col min="7950" max="7950" width="9.7109375" style="327" customWidth="1"/>
    <col min="7951" max="7951" width="12.7109375" style="327" customWidth="1"/>
    <col min="7952" max="7952" width="5.140625" style="327" customWidth="1"/>
    <col min="7953" max="7953" width="9.7109375" style="327" customWidth="1"/>
    <col min="7954" max="7954" width="12.7109375" style="327" customWidth="1"/>
    <col min="7955" max="7955" width="5.140625" style="327" customWidth="1"/>
    <col min="7956" max="7956" width="9.7109375" style="327" customWidth="1"/>
    <col min="7957" max="7957" width="12.7109375" style="327" customWidth="1"/>
    <col min="7958" max="7958" width="5.140625" style="327" customWidth="1"/>
    <col min="7959" max="7959" width="9.7109375" style="327" customWidth="1"/>
    <col min="7960" max="7960" width="12.7109375" style="327" customWidth="1"/>
    <col min="7961" max="7961" width="5.140625" style="327" customWidth="1"/>
    <col min="7962" max="7962" width="9.7109375" style="327" customWidth="1"/>
    <col min="7963" max="7963" width="12.7109375" style="327" customWidth="1"/>
    <col min="7964" max="7964" width="5.140625" style="327" customWidth="1"/>
    <col min="7965" max="7965" width="9.7109375" style="327" customWidth="1"/>
    <col min="7966" max="7966" width="12.7109375" style="327" customWidth="1"/>
    <col min="7967" max="7967" width="5.140625" style="327" customWidth="1"/>
    <col min="7968" max="7968" width="9.7109375" style="327" customWidth="1"/>
    <col min="7969" max="7969" width="12.7109375" style="327" customWidth="1"/>
    <col min="7970" max="7970" width="37.7109375" style="327" customWidth="1"/>
    <col min="7971" max="8173" width="9.140625" style="327"/>
    <col min="8174" max="8174" width="1.7109375" style="327" customWidth="1"/>
    <col min="8175" max="8175" width="3.5703125" style="327" customWidth="1"/>
    <col min="8176" max="8176" width="11" style="327" customWidth="1"/>
    <col min="8177" max="8177" width="20.7109375" style="327" customWidth="1"/>
    <col min="8178" max="8179" width="11.7109375" style="327" customWidth="1"/>
    <col min="8180" max="8180" width="9.7109375" style="327" customWidth="1"/>
    <col min="8181" max="8181" width="10.140625" style="327" bestFit="1" customWidth="1"/>
    <col min="8182" max="8183" width="7.7109375" style="327" customWidth="1"/>
    <col min="8184" max="8184" width="4" style="327" customWidth="1"/>
    <col min="8185" max="8185" width="9.7109375" style="327" customWidth="1"/>
    <col min="8186" max="8186" width="15.140625" style="327" customWidth="1"/>
    <col min="8187" max="8187" width="5.140625" style="327" customWidth="1"/>
    <col min="8188" max="8188" width="9.7109375" style="327" customWidth="1"/>
    <col min="8189" max="8189" width="13.7109375" style="327" customWidth="1"/>
    <col min="8190" max="8190" width="5.140625" style="327" customWidth="1"/>
    <col min="8191" max="8191" width="9.7109375" style="327" customWidth="1"/>
    <col min="8192" max="8192" width="12.5703125" style="327" customWidth="1"/>
    <col min="8193" max="8193" width="5.140625" style="327" customWidth="1"/>
    <col min="8194" max="8194" width="9.7109375" style="327" customWidth="1"/>
    <col min="8195" max="8195" width="12.7109375" style="327" customWidth="1"/>
    <col min="8196" max="8196" width="5.140625" style="327" customWidth="1"/>
    <col min="8197" max="8197" width="9.7109375" style="327" customWidth="1"/>
    <col min="8198" max="8198" width="12.7109375" style="327" customWidth="1"/>
    <col min="8199" max="8199" width="5.140625" style="327" customWidth="1"/>
    <col min="8200" max="8200" width="9.7109375" style="327" customWidth="1"/>
    <col min="8201" max="8201" width="12.7109375" style="327" customWidth="1"/>
    <col min="8202" max="8202" width="5.140625" style="327" customWidth="1"/>
    <col min="8203" max="8203" width="9.7109375" style="327" customWidth="1"/>
    <col min="8204" max="8204" width="12.7109375" style="327" customWidth="1"/>
    <col min="8205" max="8205" width="5.140625" style="327" customWidth="1"/>
    <col min="8206" max="8206" width="9.7109375" style="327" customWidth="1"/>
    <col min="8207" max="8207" width="12.7109375" style="327" customWidth="1"/>
    <col min="8208" max="8208" width="5.140625" style="327" customWidth="1"/>
    <col min="8209" max="8209" width="9.7109375" style="327" customWidth="1"/>
    <col min="8210" max="8210" width="12.7109375" style="327" customWidth="1"/>
    <col min="8211" max="8211" width="5.140625" style="327" customWidth="1"/>
    <col min="8212" max="8212" width="9.7109375" style="327" customWidth="1"/>
    <col min="8213" max="8213" width="12.7109375" style="327" customWidth="1"/>
    <col min="8214" max="8214" width="5.140625" style="327" customWidth="1"/>
    <col min="8215" max="8215" width="9.7109375" style="327" customWidth="1"/>
    <col min="8216" max="8216" width="12.7109375" style="327" customWidth="1"/>
    <col min="8217" max="8217" width="5.140625" style="327" customWidth="1"/>
    <col min="8218" max="8218" width="9.7109375" style="327" customWidth="1"/>
    <col min="8219" max="8219" width="12.7109375" style="327" customWidth="1"/>
    <col min="8220" max="8220" width="5.140625" style="327" customWidth="1"/>
    <col min="8221" max="8221" width="9.7109375" style="327" customWidth="1"/>
    <col min="8222" max="8222" width="12.7109375" style="327" customWidth="1"/>
    <col min="8223" max="8223" width="5.140625" style="327" customWidth="1"/>
    <col min="8224" max="8224" width="9.7109375" style="327" customWidth="1"/>
    <col min="8225" max="8225" width="12.7109375" style="327" customWidth="1"/>
    <col min="8226" max="8226" width="37.7109375" style="327" customWidth="1"/>
    <col min="8227" max="8429" width="9.140625" style="327"/>
    <col min="8430" max="8430" width="1.7109375" style="327" customWidth="1"/>
    <col min="8431" max="8431" width="3.5703125" style="327" customWidth="1"/>
    <col min="8432" max="8432" width="11" style="327" customWidth="1"/>
    <col min="8433" max="8433" width="20.7109375" style="327" customWidth="1"/>
    <col min="8434" max="8435" width="11.7109375" style="327" customWidth="1"/>
    <col min="8436" max="8436" width="9.7109375" style="327" customWidth="1"/>
    <col min="8437" max="8437" width="10.140625" style="327" bestFit="1" customWidth="1"/>
    <col min="8438" max="8439" width="7.7109375" style="327" customWidth="1"/>
    <col min="8440" max="8440" width="4" style="327" customWidth="1"/>
    <col min="8441" max="8441" width="9.7109375" style="327" customWidth="1"/>
    <col min="8442" max="8442" width="15.140625" style="327" customWidth="1"/>
    <col min="8443" max="8443" width="5.140625" style="327" customWidth="1"/>
    <col min="8444" max="8444" width="9.7109375" style="327" customWidth="1"/>
    <col min="8445" max="8445" width="13.7109375" style="327" customWidth="1"/>
    <col min="8446" max="8446" width="5.140625" style="327" customWidth="1"/>
    <col min="8447" max="8447" width="9.7109375" style="327" customWidth="1"/>
    <col min="8448" max="8448" width="12.5703125" style="327" customWidth="1"/>
    <col min="8449" max="8449" width="5.140625" style="327" customWidth="1"/>
    <col min="8450" max="8450" width="9.7109375" style="327" customWidth="1"/>
    <col min="8451" max="8451" width="12.7109375" style="327" customWidth="1"/>
    <col min="8452" max="8452" width="5.140625" style="327" customWidth="1"/>
    <col min="8453" max="8453" width="9.7109375" style="327" customWidth="1"/>
    <col min="8454" max="8454" width="12.7109375" style="327" customWidth="1"/>
    <col min="8455" max="8455" width="5.140625" style="327" customWidth="1"/>
    <col min="8456" max="8456" width="9.7109375" style="327" customWidth="1"/>
    <col min="8457" max="8457" width="12.7109375" style="327" customWidth="1"/>
    <col min="8458" max="8458" width="5.140625" style="327" customWidth="1"/>
    <col min="8459" max="8459" width="9.7109375" style="327" customWidth="1"/>
    <col min="8460" max="8460" width="12.7109375" style="327" customWidth="1"/>
    <col min="8461" max="8461" width="5.140625" style="327" customWidth="1"/>
    <col min="8462" max="8462" width="9.7109375" style="327" customWidth="1"/>
    <col min="8463" max="8463" width="12.7109375" style="327" customWidth="1"/>
    <col min="8464" max="8464" width="5.140625" style="327" customWidth="1"/>
    <col min="8465" max="8465" width="9.7109375" style="327" customWidth="1"/>
    <col min="8466" max="8466" width="12.7109375" style="327" customWidth="1"/>
    <col min="8467" max="8467" width="5.140625" style="327" customWidth="1"/>
    <col min="8468" max="8468" width="9.7109375" style="327" customWidth="1"/>
    <col min="8469" max="8469" width="12.7109375" style="327" customWidth="1"/>
    <col min="8470" max="8470" width="5.140625" style="327" customWidth="1"/>
    <col min="8471" max="8471" width="9.7109375" style="327" customWidth="1"/>
    <col min="8472" max="8472" width="12.7109375" style="327" customWidth="1"/>
    <col min="8473" max="8473" width="5.140625" style="327" customWidth="1"/>
    <col min="8474" max="8474" width="9.7109375" style="327" customWidth="1"/>
    <col min="8475" max="8475" width="12.7109375" style="327" customWidth="1"/>
    <col min="8476" max="8476" width="5.140625" style="327" customWidth="1"/>
    <col min="8477" max="8477" width="9.7109375" style="327" customWidth="1"/>
    <col min="8478" max="8478" width="12.7109375" style="327" customWidth="1"/>
    <col min="8479" max="8479" width="5.140625" style="327" customWidth="1"/>
    <col min="8480" max="8480" width="9.7109375" style="327" customWidth="1"/>
    <col min="8481" max="8481" width="12.7109375" style="327" customWidth="1"/>
    <col min="8482" max="8482" width="37.7109375" style="327" customWidth="1"/>
    <col min="8483" max="8685" width="9.140625" style="327"/>
    <col min="8686" max="8686" width="1.7109375" style="327" customWidth="1"/>
    <col min="8687" max="8687" width="3.5703125" style="327" customWidth="1"/>
    <col min="8688" max="8688" width="11" style="327" customWidth="1"/>
    <col min="8689" max="8689" width="20.7109375" style="327" customWidth="1"/>
    <col min="8690" max="8691" width="11.7109375" style="327" customWidth="1"/>
    <col min="8692" max="8692" width="9.7109375" style="327" customWidth="1"/>
    <col min="8693" max="8693" width="10.140625" style="327" bestFit="1" customWidth="1"/>
    <col min="8694" max="8695" width="7.7109375" style="327" customWidth="1"/>
    <col min="8696" max="8696" width="4" style="327" customWidth="1"/>
    <col min="8697" max="8697" width="9.7109375" style="327" customWidth="1"/>
    <col min="8698" max="8698" width="15.140625" style="327" customWidth="1"/>
    <col min="8699" max="8699" width="5.140625" style="327" customWidth="1"/>
    <col min="8700" max="8700" width="9.7109375" style="327" customWidth="1"/>
    <col min="8701" max="8701" width="13.7109375" style="327" customWidth="1"/>
    <col min="8702" max="8702" width="5.140625" style="327" customWidth="1"/>
    <col min="8703" max="8703" width="9.7109375" style="327" customWidth="1"/>
    <col min="8704" max="8704" width="12.5703125" style="327" customWidth="1"/>
    <col min="8705" max="8705" width="5.140625" style="327" customWidth="1"/>
    <col min="8706" max="8706" width="9.7109375" style="327" customWidth="1"/>
    <col min="8707" max="8707" width="12.7109375" style="327" customWidth="1"/>
    <col min="8708" max="8708" width="5.140625" style="327" customWidth="1"/>
    <col min="8709" max="8709" width="9.7109375" style="327" customWidth="1"/>
    <col min="8710" max="8710" width="12.7109375" style="327" customWidth="1"/>
    <col min="8711" max="8711" width="5.140625" style="327" customWidth="1"/>
    <col min="8712" max="8712" width="9.7109375" style="327" customWidth="1"/>
    <col min="8713" max="8713" width="12.7109375" style="327" customWidth="1"/>
    <col min="8714" max="8714" width="5.140625" style="327" customWidth="1"/>
    <col min="8715" max="8715" width="9.7109375" style="327" customWidth="1"/>
    <col min="8716" max="8716" width="12.7109375" style="327" customWidth="1"/>
    <col min="8717" max="8717" width="5.140625" style="327" customWidth="1"/>
    <col min="8718" max="8718" width="9.7109375" style="327" customWidth="1"/>
    <col min="8719" max="8719" width="12.7109375" style="327" customWidth="1"/>
    <col min="8720" max="8720" width="5.140625" style="327" customWidth="1"/>
    <col min="8721" max="8721" width="9.7109375" style="327" customWidth="1"/>
    <col min="8722" max="8722" width="12.7109375" style="327" customWidth="1"/>
    <col min="8723" max="8723" width="5.140625" style="327" customWidth="1"/>
    <col min="8724" max="8724" width="9.7109375" style="327" customWidth="1"/>
    <col min="8725" max="8725" width="12.7109375" style="327" customWidth="1"/>
    <col min="8726" max="8726" width="5.140625" style="327" customWidth="1"/>
    <col min="8727" max="8727" width="9.7109375" style="327" customWidth="1"/>
    <col min="8728" max="8728" width="12.7109375" style="327" customWidth="1"/>
    <col min="8729" max="8729" width="5.140625" style="327" customWidth="1"/>
    <col min="8730" max="8730" width="9.7109375" style="327" customWidth="1"/>
    <col min="8731" max="8731" width="12.7109375" style="327" customWidth="1"/>
    <col min="8732" max="8732" width="5.140625" style="327" customWidth="1"/>
    <col min="8733" max="8733" width="9.7109375" style="327" customWidth="1"/>
    <col min="8734" max="8734" width="12.7109375" style="327" customWidth="1"/>
    <col min="8735" max="8735" width="5.140625" style="327" customWidth="1"/>
    <col min="8736" max="8736" width="9.7109375" style="327" customWidth="1"/>
    <col min="8737" max="8737" width="12.7109375" style="327" customWidth="1"/>
    <col min="8738" max="8738" width="37.7109375" style="327" customWidth="1"/>
    <col min="8739" max="8941" width="9.140625" style="327"/>
    <col min="8942" max="8942" width="1.7109375" style="327" customWidth="1"/>
    <col min="8943" max="8943" width="3.5703125" style="327" customWidth="1"/>
    <col min="8944" max="8944" width="11" style="327" customWidth="1"/>
    <col min="8945" max="8945" width="20.7109375" style="327" customWidth="1"/>
    <col min="8946" max="8947" width="11.7109375" style="327" customWidth="1"/>
    <col min="8948" max="8948" width="9.7109375" style="327" customWidth="1"/>
    <col min="8949" max="8949" width="10.140625" style="327" bestFit="1" customWidth="1"/>
    <col min="8950" max="8951" width="7.7109375" style="327" customWidth="1"/>
    <col min="8952" max="8952" width="4" style="327" customWidth="1"/>
    <col min="8953" max="8953" width="9.7109375" style="327" customWidth="1"/>
    <col min="8954" max="8954" width="15.140625" style="327" customWidth="1"/>
    <col min="8955" max="8955" width="5.140625" style="327" customWidth="1"/>
    <col min="8956" max="8956" width="9.7109375" style="327" customWidth="1"/>
    <col min="8957" max="8957" width="13.7109375" style="327" customWidth="1"/>
    <col min="8958" max="8958" width="5.140625" style="327" customWidth="1"/>
    <col min="8959" max="8959" width="9.7109375" style="327" customWidth="1"/>
    <col min="8960" max="8960" width="12.5703125" style="327" customWidth="1"/>
    <col min="8961" max="8961" width="5.140625" style="327" customWidth="1"/>
    <col min="8962" max="8962" width="9.7109375" style="327" customWidth="1"/>
    <col min="8963" max="8963" width="12.7109375" style="327" customWidth="1"/>
    <col min="8964" max="8964" width="5.140625" style="327" customWidth="1"/>
    <col min="8965" max="8965" width="9.7109375" style="327" customWidth="1"/>
    <col min="8966" max="8966" width="12.7109375" style="327" customWidth="1"/>
    <col min="8967" max="8967" width="5.140625" style="327" customWidth="1"/>
    <col min="8968" max="8968" width="9.7109375" style="327" customWidth="1"/>
    <col min="8969" max="8969" width="12.7109375" style="327" customWidth="1"/>
    <col min="8970" max="8970" width="5.140625" style="327" customWidth="1"/>
    <col min="8971" max="8971" width="9.7109375" style="327" customWidth="1"/>
    <col min="8972" max="8972" width="12.7109375" style="327" customWidth="1"/>
    <col min="8973" max="8973" width="5.140625" style="327" customWidth="1"/>
    <col min="8974" max="8974" width="9.7109375" style="327" customWidth="1"/>
    <col min="8975" max="8975" width="12.7109375" style="327" customWidth="1"/>
    <col min="8976" max="8976" width="5.140625" style="327" customWidth="1"/>
    <col min="8977" max="8977" width="9.7109375" style="327" customWidth="1"/>
    <col min="8978" max="8978" width="12.7109375" style="327" customWidth="1"/>
    <col min="8979" max="8979" width="5.140625" style="327" customWidth="1"/>
    <col min="8980" max="8980" width="9.7109375" style="327" customWidth="1"/>
    <col min="8981" max="8981" width="12.7109375" style="327" customWidth="1"/>
    <col min="8982" max="8982" width="5.140625" style="327" customWidth="1"/>
    <col min="8983" max="8983" width="9.7109375" style="327" customWidth="1"/>
    <col min="8984" max="8984" width="12.7109375" style="327" customWidth="1"/>
    <col min="8985" max="8985" width="5.140625" style="327" customWidth="1"/>
    <col min="8986" max="8986" width="9.7109375" style="327" customWidth="1"/>
    <col min="8987" max="8987" width="12.7109375" style="327" customWidth="1"/>
    <col min="8988" max="8988" width="5.140625" style="327" customWidth="1"/>
    <col min="8989" max="8989" width="9.7109375" style="327" customWidth="1"/>
    <col min="8990" max="8990" width="12.7109375" style="327" customWidth="1"/>
    <col min="8991" max="8991" width="5.140625" style="327" customWidth="1"/>
    <col min="8992" max="8992" width="9.7109375" style="327" customWidth="1"/>
    <col min="8993" max="8993" width="12.7109375" style="327" customWidth="1"/>
    <col min="8994" max="8994" width="37.7109375" style="327" customWidth="1"/>
    <col min="8995" max="9197" width="9.140625" style="327"/>
    <col min="9198" max="9198" width="1.7109375" style="327" customWidth="1"/>
    <col min="9199" max="9199" width="3.5703125" style="327" customWidth="1"/>
    <col min="9200" max="9200" width="11" style="327" customWidth="1"/>
    <col min="9201" max="9201" width="20.7109375" style="327" customWidth="1"/>
    <col min="9202" max="9203" width="11.7109375" style="327" customWidth="1"/>
    <col min="9204" max="9204" width="9.7109375" style="327" customWidth="1"/>
    <col min="9205" max="9205" width="10.140625" style="327" bestFit="1" customWidth="1"/>
    <col min="9206" max="9207" width="7.7109375" style="327" customWidth="1"/>
    <col min="9208" max="9208" width="4" style="327" customWidth="1"/>
    <col min="9209" max="9209" width="9.7109375" style="327" customWidth="1"/>
    <col min="9210" max="9210" width="15.140625" style="327" customWidth="1"/>
    <col min="9211" max="9211" width="5.140625" style="327" customWidth="1"/>
    <col min="9212" max="9212" width="9.7109375" style="327" customWidth="1"/>
    <col min="9213" max="9213" width="13.7109375" style="327" customWidth="1"/>
    <col min="9214" max="9214" width="5.140625" style="327" customWidth="1"/>
    <col min="9215" max="9215" width="9.7109375" style="327" customWidth="1"/>
    <col min="9216" max="9216" width="12.5703125" style="327" customWidth="1"/>
    <col min="9217" max="9217" width="5.140625" style="327" customWidth="1"/>
    <col min="9218" max="9218" width="9.7109375" style="327" customWidth="1"/>
    <col min="9219" max="9219" width="12.7109375" style="327" customWidth="1"/>
    <col min="9220" max="9220" width="5.140625" style="327" customWidth="1"/>
    <col min="9221" max="9221" width="9.7109375" style="327" customWidth="1"/>
    <col min="9222" max="9222" width="12.7109375" style="327" customWidth="1"/>
    <col min="9223" max="9223" width="5.140625" style="327" customWidth="1"/>
    <col min="9224" max="9224" width="9.7109375" style="327" customWidth="1"/>
    <col min="9225" max="9225" width="12.7109375" style="327" customWidth="1"/>
    <col min="9226" max="9226" width="5.140625" style="327" customWidth="1"/>
    <col min="9227" max="9227" width="9.7109375" style="327" customWidth="1"/>
    <col min="9228" max="9228" width="12.7109375" style="327" customWidth="1"/>
    <col min="9229" max="9229" width="5.140625" style="327" customWidth="1"/>
    <col min="9230" max="9230" width="9.7109375" style="327" customWidth="1"/>
    <col min="9231" max="9231" width="12.7109375" style="327" customWidth="1"/>
    <col min="9232" max="9232" width="5.140625" style="327" customWidth="1"/>
    <col min="9233" max="9233" width="9.7109375" style="327" customWidth="1"/>
    <col min="9234" max="9234" width="12.7109375" style="327" customWidth="1"/>
    <col min="9235" max="9235" width="5.140625" style="327" customWidth="1"/>
    <col min="9236" max="9236" width="9.7109375" style="327" customWidth="1"/>
    <col min="9237" max="9237" width="12.7109375" style="327" customWidth="1"/>
    <col min="9238" max="9238" width="5.140625" style="327" customWidth="1"/>
    <col min="9239" max="9239" width="9.7109375" style="327" customWidth="1"/>
    <col min="9240" max="9240" width="12.7109375" style="327" customWidth="1"/>
    <col min="9241" max="9241" width="5.140625" style="327" customWidth="1"/>
    <col min="9242" max="9242" width="9.7109375" style="327" customWidth="1"/>
    <col min="9243" max="9243" width="12.7109375" style="327" customWidth="1"/>
    <col min="9244" max="9244" width="5.140625" style="327" customWidth="1"/>
    <col min="9245" max="9245" width="9.7109375" style="327" customWidth="1"/>
    <col min="9246" max="9246" width="12.7109375" style="327" customWidth="1"/>
    <col min="9247" max="9247" width="5.140625" style="327" customWidth="1"/>
    <col min="9248" max="9248" width="9.7109375" style="327" customWidth="1"/>
    <col min="9249" max="9249" width="12.7109375" style="327" customWidth="1"/>
    <col min="9250" max="9250" width="37.7109375" style="327" customWidth="1"/>
    <col min="9251" max="9453" width="9.140625" style="327"/>
    <col min="9454" max="9454" width="1.7109375" style="327" customWidth="1"/>
    <col min="9455" max="9455" width="3.5703125" style="327" customWidth="1"/>
    <col min="9456" max="9456" width="11" style="327" customWidth="1"/>
    <col min="9457" max="9457" width="20.7109375" style="327" customWidth="1"/>
    <col min="9458" max="9459" width="11.7109375" style="327" customWidth="1"/>
    <col min="9460" max="9460" width="9.7109375" style="327" customWidth="1"/>
    <col min="9461" max="9461" width="10.140625" style="327" bestFit="1" customWidth="1"/>
    <col min="9462" max="9463" width="7.7109375" style="327" customWidth="1"/>
    <col min="9464" max="9464" width="4" style="327" customWidth="1"/>
    <col min="9465" max="9465" width="9.7109375" style="327" customWidth="1"/>
    <col min="9466" max="9466" width="15.140625" style="327" customWidth="1"/>
    <col min="9467" max="9467" width="5.140625" style="327" customWidth="1"/>
    <col min="9468" max="9468" width="9.7109375" style="327" customWidth="1"/>
    <col min="9469" max="9469" width="13.7109375" style="327" customWidth="1"/>
    <col min="9470" max="9470" width="5.140625" style="327" customWidth="1"/>
    <col min="9471" max="9471" width="9.7109375" style="327" customWidth="1"/>
    <col min="9472" max="9472" width="12.5703125" style="327" customWidth="1"/>
    <col min="9473" max="9473" width="5.140625" style="327" customWidth="1"/>
    <col min="9474" max="9474" width="9.7109375" style="327" customWidth="1"/>
    <col min="9475" max="9475" width="12.7109375" style="327" customWidth="1"/>
    <col min="9476" max="9476" width="5.140625" style="327" customWidth="1"/>
    <col min="9477" max="9477" width="9.7109375" style="327" customWidth="1"/>
    <col min="9478" max="9478" width="12.7109375" style="327" customWidth="1"/>
    <col min="9479" max="9479" width="5.140625" style="327" customWidth="1"/>
    <col min="9480" max="9480" width="9.7109375" style="327" customWidth="1"/>
    <col min="9481" max="9481" width="12.7109375" style="327" customWidth="1"/>
    <col min="9482" max="9482" width="5.140625" style="327" customWidth="1"/>
    <col min="9483" max="9483" width="9.7109375" style="327" customWidth="1"/>
    <col min="9484" max="9484" width="12.7109375" style="327" customWidth="1"/>
    <col min="9485" max="9485" width="5.140625" style="327" customWidth="1"/>
    <col min="9486" max="9486" width="9.7109375" style="327" customWidth="1"/>
    <col min="9487" max="9487" width="12.7109375" style="327" customWidth="1"/>
    <col min="9488" max="9488" width="5.140625" style="327" customWidth="1"/>
    <col min="9489" max="9489" width="9.7109375" style="327" customWidth="1"/>
    <col min="9490" max="9490" width="12.7109375" style="327" customWidth="1"/>
    <col min="9491" max="9491" width="5.140625" style="327" customWidth="1"/>
    <col min="9492" max="9492" width="9.7109375" style="327" customWidth="1"/>
    <col min="9493" max="9493" width="12.7109375" style="327" customWidth="1"/>
    <col min="9494" max="9494" width="5.140625" style="327" customWidth="1"/>
    <col min="9495" max="9495" width="9.7109375" style="327" customWidth="1"/>
    <col min="9496" max="9496" width="12.7109375" style="327" customWidth="1"/>
    <col min="9497" max="9497" width="5.140625" style="327" customWidth="1"/>
    <col min="9498" max="9498" width="9.7109375" style="327" customWidth="1"/>
    <col min="9499" max="9499" width="12.7109375" style="327" customWidth="1"/>
    <col min="9500" max="9500" width="5.140625" style="327" customWidth="1"/>
    <col min="9501" max="9501" width="9.7109375" style="327" customWidth="1"/>
    <col min="9502" max="9502" width="12.7109375" style="327" customWidth="1"/>
    <col min="9503" max="9503" width="5.140625" style="327" customWidth="1"/>
    <col min="9504" max="9504" width="9.7109375" style="327" customWidth="1"/>
    <col min="9505" max="9505" width="12.7109375" style="327" customWidth="1"/>
    <col min="9506" max="9506" width="37.7109375" style="327" customWidth="1"/>
    <col min="9507" max="9709" width="9.140625" style="327"/>
    <col min="9710" max="9710" width="1.7109375" style="327" customWidth="1"/>
    <col min="9711" max="9711" width="3.5703125" style="327" customWidth="1"/>
    <col min="9712" max="9712" width="11" style="327" customWidth="1"/>
    <col min="9713" max="9713" width="20.7109375" style="327" customWidth="1"/>
    <col min="9714" max="9715" width="11.7109375" style="327" customWidth="1"/>
    <col min="9716" max="9716" width="9.7109375" style="327" customWidth="1"/>
    <col min="9717" max="9717" width="10.140625" style="327" bestFit="1" customWidth="1"/>
    <col min="9718" max="9719" width="7.7109375" style="327" customWidth="1"/>
    <col min="9720" max="9720" width="4" style="327" customWidth="1"/>
    <col min="9721" max="9721" width="9.7109375" style="327" customWidth="1"/>
    <col min="9722" max="9722" width="15.140625" style="327" customWidth="1"/>
    <col min="9723" max="9723" width="5.140625" style="327" customWidth="1"/>
    <col min="9724" max="9724" width="9.7109375" style="327" customWidth="1"/>
    <col min="9725" max="9725" width="13.7109375" style="327" customWidth="1"/>
    <col min="9726" max="9726" width="5.140625" style="327" customWidth="1"/>
    <col min="9727" max="9727" width="9.7109375" style="327" customWidth="1"/>
    <col min="9728" max="9728" width="12.5703125" style="327" customWidth="1"/>
    <col min="9729" max="9729" width="5.140625" style="327" customWidth="1"/>
    <col min="9730" max="9730" width="9.7109375" style="327" customWidth="1"/>
    <col min="9731" max="9731" width="12.7109375" style="327" customWidth="1"/>
    <col min="9732" max="9732" width="5.140625" style="327" customWidth="1"/>
    <col min="9733" max="9733" width="9.7109375" style="327" customWidth="1"/>
    <col min="9734" max="9734" width="12.7109375" style="327" customWidth="1"/>
    <col min="9735" max="9735" width="5.140625" style="327" customWidth="1"/>
    <col min="9736" max="9736" width="9.7109375" style="327" customWidth="1"/>
    <col min="9737" max="9737" width="12.7109375" style="327" customWidth="1"/>
    <col min="9738" max="9738" width="5.140625" style="327" customWidth="1"/>
    <col min="9739" max="9739" width="9.7109375" style="327" customWidth="1"/>
    <col min="9740" max="9740" width="12.7109375" style="327" customWidth="1"/>
    <col min="9741" max="9741" width="5.140625" style="327" customWidth="1"/>
    <col min="9742" max="9742" width="9.7109375" style="327" customWidth="1"/>
    <col min="9743" max="9743" width="12.7109375" style="327" customWidth="1"/>
    <col min="9744" max="9744" width="5.140625" style="327" customWidth="1"/>
    <col min="9745" max="9745" width="9.7109375" style="327" customWidth="1"/>
    <col min="9746" max="9746" width="12.7109375" style="327" customWidth="1"/>
    <col min="9747" max="9747" width="5.140625" style="327" customWidth="1"/>
    <col min="9748" max="9748" width="9.7109375" style="327" customWidth="1"/>
    <col min="9749" max="9749" width="12.7109375" style="327" customWidth="1"/>
    <col min="9750" max="9750" width="5.140625" style="327" customWidth="1"/>
    <col min="9751" max="9751" width="9.7109375" style="327" customWidth="1"/>
    <col min="9752" max="9752" width="12.7109375" style="327" customWidth="1"/>
    <col min="9753" max="9753" width="5.140625" style="327" customWidth="1"/>
    <col min="9754" max="9754" width="9.7109375" style="327" customWidth="1"/>
    <col min="9755" max="9755" width="12.7109375" style="327" customWidth="1"/>
    <col min="9756" max="9756" width="5.140625" style="327" customWidth="1"/>
    <col min="9757" max="9757" width="9.7109375" style="327" customWidth="1"/>
    <col min="9758" max="9758" width="12.7109375" style="327" customWidth="1"/>
    <col min="9759" max="9759" width="5.140625" style="327" customWidth="1"/>
    <col min="9760" max="9760" width="9.7109375" style="327" customWidth="1"/>
    <col min="9761" max="9761" width="12.7109375" style="327" customWidth="1"/>
    <col min="9762" max="9762" width="37.7109375" style="327" customWidth="1"/>
    <col min="9763" max="9965" width="9.140625" style="327"/>
    <col min="9966" max="9966" width="1.7109375" style="327" customWidth="1"/>
    <col min="9967" max="9967" width="3.5703125" style="327" customWidth="1"/>
    <col min="9968" max="9968" width="11" style="327" customWidth="1"/>
    <col min="9969" max="9969" width="20.7109375" style="327" customWidth="1"/>
    <col min="9970" max="9971" width="11.7109375" style="327" customWidth="1"/>
    <col min="9972" max="9972" width="9.7109375" style="327" customWidth="1"/>
    <col min="9973" max="9973" width="10.140625" style="327" bestFit="1" customWidth="1"/>
    <col min="9974" max="9975" width="7.7109375" style="327" customWidth="1"/>
    <col min="9976" max="9976" width="4" style="327" customWidth="1"/>
    <col min="9977" max="9977" width="9.7109375" style="327" customWidth="1"/>
    <col min="9978" max="9978" width="15.140625" style="327" customWidth="1"/>
    <col min="9979" max="9979" width="5.140625" style="327" customWidth="1"/>
    <col min="9980" max="9980" width="9.7109375" style="327" customWidth="1"/>
    <col min="9981" max="9981" width="13.7109375" style="327" customWidth="1"/>
    <col min="9982" max="9982" width="5.140625" style="327" customWidth="1"/>
    <col min="9983" max="9983" width="9.7109375" style="327" customWidth="1"/>
    <col min="9984" max="9984" width="12.5703125" style="327" customWidth="1"/>
    <col min="9985" max="9985" width="5.140625" style="327" customWidth="1"/>
    <col min="9986" max="9986" width="9.7109375" style="327" customWidth="1"/>
    <col min="9987" max="9987" width="12.7109375" style="327" customWidth="1"/>
    <col min="9988" max="9988" width="5.140625" style="327" customWidth="1"/>
    <col min="9989" max="9989" width="9.7109375" style="327" customWidth="1"/>
    <col min="9990" max="9990" width="12.7109375" style="327" customWidth="1"/>
    <col min="9991" max="9991" width="5.140625" style="327" customWidth="1"/>
    <col min="9992" max="9992" width="9.7109375" style="327" customWidth="1"/>
    <col min="9993" max="9993" width="12.7109375" style="327" customWidth="1"/>
    <col min="9994" max="9994" width="5.140625" style="327" customWidth="1"/>
    <col min="9995" max="9995" width="9.7109375" style="327" customWidth="1"/>
    <col min="9996" max="9996" width="12.7109375" style="327" customWidth="1"/>
    <col min="9997" max="9997" width="5.140625" style="327" customWidth="1"/>
    <col min="9998" max="9998" width="9.7109375" style="327" customWidth="1"/>
    <col min="9999" max="9999" width="12.7109375" style="327" customWidth="1"/>
    <col min="10000" max="10000" width="5.140625" style="327" customWidth="1"/>
    <col min="10001" max="10001" width="9.7109375" style="327" customWidth="1"/>
    <col min="10002" max="10002" width="12.7109375" style="327" customWidth="1"/>
    <col min="10003" max="10003" width="5.140625" style="327" customWidth="1"/>
    <col min="10004" max="10004" width="9.7109375" style="327" customWidth="1"/>
    <col min="10005" max="10005" width="12.7109375" style="327" customWidth="1"/>
    <col min="10006" max="10006" width="5.140625" style="327" customWidth="1"/>
    <col min="10007" max="10007" width="9.7109375" style="327" customWidth="1"/>
    <col min="10008" max="10008" width="12.7109375" style="327" customWidth="1"/>
    <col min="10009" max="10009" width="5.140625" style="327" customWidth="1"/>
    <col min="10010" max="10010" width="9.7109375" style="327" customWidth="1"/>
    <col min="10011" max="10011" width="12.7109375" style="327" customWidth="1"/>
    <col min="10012" max="10012" width="5.140625" style="327" customWidth="1"/>
    <col min="10013" max="10013" width="9.7109375" style="327" customWidth="1"/>
    <col min="10014" max="10014" width="12.7109375" style="327" customWidth="1"/>
    <col min="10015" max="10015" width="5.140625" style="327" customWidth="1"/>
    <col min="10016" max="10016" width="9.7109375" style="327" customWidth="1"/>
    <col min="10017" max="10017" width="12.7109375" style="327" customWidth="1"/>
    <col min="10018" max="10018" width="37.7109375" style="327" customWidth="1"/>
    <col min="10019" max="10221" width="9.140625" style="327"/>
    <col min="10222" max="10222" width="1.7109375" style="327" customWidth="1"/>
    <col min="10223" max="10223" width="3.5703125" style="327" customWidth="1"/>
    <col min="10224" max="10224" width="11" style="327" customWidth="1"/>
    <col min="10225" max="10225" width="20.7109375" style="327" customWidth="1"/>
    <col min="10226" max="10227" width="11.7109375" style="327" customWidth="1"/>
    <col min="10228" max="10228" width="9.7109375" style="327" customWidth="1"/>
    <col min="10229" max="10229" width="10.140625" style="327" bestFit="1" customWidth="1"/>
    <col min="10230" max="10231" width="7.7109375" style="327" customWidth="1"/>
    <col min="10232" max="10232" width="4" style="327" customWidth="1"/>
    <col min="10233" max="10233" width="9.7109375" style="327" customWidth="1"/>
    <col min="10234" max="10234" width="15.140625" style="327" customWidth="1"/>
    <col min="10235" max="10235" width="5.140625" style="327" customWidth="1"/>
    <col min="10236" max="10236" width="9.7109375" style="327" customWidth="1"/>
    <col min="10237" max="10237" width="13.7109375" style="327" customWidth="1"/>
    <col min="10238" max="10238" width="5.140625" style="327" customWidth="1"/>
    <col min="10239" max="10239" width="9.7109375" style="327" customWidth="1"/>
    <col min="10240" max="10240" width="12.5703125" style="327" customWidth="1"/>
    <col min="10241" max="10241" width="5.140625" style="327" customWidth="1"/>
    <col min="10242" max="10242" width="9.7109375" style="327" customWidth="1"/>
    <col min="10243" max="10243" width="12.7109375" style="327" customWidth="1"/>
    <col min="10244" max="10244" width="5.140625" style="327" customWidth="1"/>
    <col min="10245" max="10245" width="9.7109375" style="327" customWidth="1"/>
    <col min="10246" max="10246" width="12.7109375" style="327" customWidth="1"/>
    <col min="10247" max="10247" width="5.140625" style="327" customWidth="1"/>
    <col min="10248" max="10248" width="9.7109375" style="327" customWidth="1"/>
    <col min="10249" max="10249" width="12.7109375" style="327" customWidth="1"/>
    <col min="10250" max="10250" width="5.140625" style="327" customWidth="1"/>
    <col min="10251" max="10251" width="9.7109375" style="327" customWidth="1"/>
    <col min="10252" max="10252" width="12.7109375" style="327" customWidth="1"/>
    <col min="10253" max="10253" width="5.140625" style="327" customWidth="1"/>
    <col min="10254" max="10254" width="9.7109375" style="327" customWidth="1"/>
    <col min="10255" max="10255" width="12.7109375" style="327" customWidth="1"/>
    <col min="10256" max="10256" width="5.140625" style="327" customWidth="1"/>
    <col min="10257" max="10257" width="9.7109375" style="327" customWidth="1"/>
    <col min="10258" max="10258" width="12.7109375" style="327" customWidth="1"/>
    <col min="10259" max="10259" width="5.140625" style="327" customWidth="1"/>
    <col min="10260" max="10260" width="9.7109375" style="327" customWidth="1"/>
    <col min="10261" max="10261" width="12.7109375" style="327" customWidth="1"/>
    <col min="10262" max="10262" width="5.140625" style="327" customWidth="1"/>
    <col min="10263" max="10263" width="9.7109375" style="327" customWidth="1"/>
    <col min="10264" max="10264" width="12.7109375" style="327" customWidth="1"/>
    <col min="10265" max="10265" width="5.140625" style="327" customWidth="1"/>
    <col min="10266" max="10266" width="9.7109375" style="327" customWidth="1"/>
    <col min="10267" max="10267" width="12.7109375" style="327" customWidth="1"/>
    <col min="10268" max="10268" width="5.140625" style="327" customWidth="1"/>
    <col min="10269" max="10269" width="9.7109375" style="327" customWidth="1"/>
    <col min="10270" max="10270" width="12.7109375" style="327" customWidth="1"/>
    <col min="10271" max="10271" width="5.140625" style="327" customWidth="1"/>
    <col min="10272" max="10272" width="9.7109375" style="327" customWidth="1"/>
    <col min="10273" max="10273" width="12.7109375" style="327" customWidth="1"/>
    <col min="10274" max="10274" width="37.7109375" style="327" customWidth="1"/>
    <col min="10275" max="10477" width="9.140625" style="327"/>
    <col min="10478" max="10478" width="1.7109375" style="327" customWidth="1"/>
    <col min="10479" max="10479" width="3.5703125" style="327" customWidth="1"/>
    <col min="10480" max="10480" width="11" style="327" customWidth="1"/>
    <col min="10481" max="10481" width="20.7109375" style="327" customWidth="1"/>
    <col min="10482" max="10483" width="11.7109375" style="327" customWidth="1"/>
    <col min="10484" max="10484" width="9.7109375" style="327" customWidth="1"/>
    <col min="10485" max="10485" width="10.140625" style="327" bestFit="1" customWidth="1"/>
    <col min="10486" max="10487" width="7.7109375" style="327" customWidth="1"/>
    <col min="10488" max="10488" width="4" style="327" customWidth="1"/>
    <col min="10489" max="10489" width="9.7109375" style="327" customWidth="1"/>
    <col min="10490" max="10490" width="15.140625" style="327" customWidth="1"/>
    <col min="10491" max="10491" width="5.140625" style="327" customWidth="1"/>
    <col min="10492" max="10492" width="9.7109375" style="327" customWidth="1"/>
    <col min="10493" max="10493" width="13.7109375" style="327" customWidth="1"/>
    <col min="10494" max="10494" width="5.140625" style="327" customWidth="1"/>
    <col min="10495" max="10495" width="9.7109375" style="327" customWidth="1"/>
    <col min="10496" max="10496" width="12.5703125" style="327" customWidth="1"/>
    <col min="10497" max="10497" width="5.140625" style="327" customWidth="1"/>
    <col min="10498" max="10498" width="9.7109375" style="327" customWidth="1"/>
    <col min="10499" max="10499" width="12.7109375" style="327" customWidth="1"/>
    <col min="10500" max="10500" width="5.140625" style="327" customWidth="1"/>
    <col min="10501" max="10501" width="9.7109375" style="327" customWidth="1"/>
    <col min="10502" max="10502" width="12.7109375" style="327" customWidth="1"/>
    <col min="10503" max="10503" width="5.140625" style="327" customWidth="1"/>
    <col min="10504" max="10504" width="9.7109375" style="327" customWidth="1"/>
    <col min="10505" max="10505" width="12.7109375" style="327" customWidth="1"/>
    <col min="10506" max="10506" width="5.140625" style="327" customWidth="1"/>
    <col min="10507" max="10507" width="9.7109375" style="327" customWidth="1"/>
    <col min="10508" max="10508" width="12.7109375" style="327" customWidth="1"/>
    <col min="10509" max="10509" width="5.140625" style="327" customWidth="1"/>
    <col min="10510" max="10510" width="9.7109375" style="327" customWidth="1"/>
    <col min="10511" max="10511" width="12.7109375" style="327" customWidth="1"/>
    <col min="10512" max="10512" width="5.140625" style="327" customWidth="1"/>
    <col min="10513" max="10513" width="9.7109375" style="327" customWidth="1"/>
    <col min="10514" max="10514" width="12.7109375" style="327" customWidth="1"/>
    <col min="10515" max="10515" width="5.140625" style="327" customWidth="1"/>
    <col min="10516" max="10516" width="9.7109375" style="327" customWidth="1"/>
    <col min="10517" max="10517" width="12.7109375" style="327" customWidth="1"/>
    <col min="10518" max="10518" width="5.140625" style="327" customWidth="1"/>
    <col min="10519" max="10519" width="9.7109375" style="327" customWidth="1"/>
    <col min="10520" max="10520" width="12.7109375" style="327" customWidth="1"/>
    <col min="10521" max="10521" width="5.140625" style="327" customWidth="1"/>
    <col min="10522" max="10522" width="9.7109375" style="327" customWidth="1"/>
    <col min="10523" max="10523" width="12.7109375" style="327" customWidth="1"/>
    <col min="10524" max="10524" width="5.140625" style="327" customWidth="1"/>
    <col min="10525" max="10525" width="9.7109375" style="327" customWidth="1"/>
    <col min="10526" max="10526" width="12.7109375" style="327" customWidth="1"/>
    <col min="10527" max="10527" width="5.140625" style="327" customWidth="1"/>
    <col min="10528" max="10528" width="9.7109375" style="327" customWidth="1"/>
    <col min="10529" max="10529" width="12.7109375" style="327" customWidth="1"/>
    <col min="10530" max="10530" width="37.7109375" style="327" customWidth="1"/>
    <col min="10531" max="10733" width="9.140625" style="327"/>
    <col min="10734" max="10734" width="1.7109375" style="327" customWidth="1"/>
    <col min="10735" max="10735" width="3.5703125" style="327" customWidth="1"/>
    <col min="10736" max="10736" width="11" style="327" customWidth="1"/>
    <col min="10737" max="10737" width="20.7109375" style="327" customWidth="1"/>
    <col min="10738" max="10739" width="11.7109375" style="327" customWidth="1"/>
    <col min="10740" max="10740" width="9.7109375" style="327" customWidth="1"/>
    <col min="10741" max="10741" width="10.140625" style="327" bestFit="1" customWidth="1"/>
    <col min="10742" max="10743" width="7.7109375" style="327" customWidth="1"/>
    <col min="10744" max="10744" width="4" style="327" customWidth="1"/>
    <col min="10745" max="10745" width="9.7109375" style="327" customWidth="1"/>
    <col min="10746" max="10746" width="15.140625" style="327" customWidth="1"/>
    <col min="10747" max="10747" width="5.140625" style="327" customWidth="1"/>
    <col min="10748" max="10748" width="9.7109375" style="327" customWidth="1"/>
    <col min="10749" max="10749" width="13.7109375" style="327" customWidth="1"/>
    <col min="10750" max="10750" width="5.140625" style="327" customWidth="1"/>
    <col min="10751" max="10751" width="9.7109375" style="327" customWidth="1"/>
    <col min="10752" max="10752" width="12.5703125" style="327" customWidth="1"/>
    <col min="10753" max="10753" width="5.140625" style="327" customWidth="1"/>
    <col min="10754" max="10754" width="9.7109375" style="327" customWidth="1"/>
    <col min="10755" max="10755" width="12.7109375" style="327" customWidth="1"/>
    <col min="10756" max="10756" width="5.140625" style="327" customWidth="1"/>
    <col min="10757" max="10757" width="9.7109375" style="327" customWidth="1"/>
    <col min="10758" max="10758" width="12.7109375" style="327" customWidth="1"/>
    <col min="10759" max="10759" width="5.140625" style="327" customWidth="1"/>
    <col min="10760" max="10760" width="9.7109375" style="327" customWidth="1"/>
    <col min="10761" max="10761" width="12.7109375" style="327" customWidth="1"/>
    <col min="10762" max="10762" width="5.140625" style="327" customWidth="1"/>
    <col min="10763" max="10763" width="9.7109375" style="327" customWidth="1"/>
    <col min="10764" max="10764" width="12.7109375" style="327" customWidth="1"/>
    <col min="10765" max="10765" width="5.140625" style="327" customWidth="1"/>
    <col min="10766" max="10766" width="9.7109375" style="327" customWidth="1"/>
    <col min="10767" max="10767" width="12.7109375" style="327" customWidth="1"/>
    <col min="10768" max="10768" width="5.140625" style="327" customWidth="1"/>
    <col min="10769" max="10769" width="9.7109375" style="327" customWidth="1"/>
    <col min="10770" max="10770" width="12.7109375" style="327" customWidth="1"/>
    <col min="10771" max="10771" width="5.140625" style="327" customWidth="1"/>
    <col min="10772" max="10772" width="9.7109375" style="327" customWidth="1"/>
    <col min="10773" max="10773" width="12.7109375" style="327" customWidth="1"/>
    <col min="10774" max="10774" width="5.140625" style="327" customWidth="1"/>
    <col min="10775" max="10775" width="9.7109375" style="327" customWidth="1"/>
    <col min="10776" max="10776" width="12.7109375" style="327" customWidth="1"/>
    <col min="10777" max="10777" width="5.140625" style="327" customWidth="1"/>
    <col min="10778" max="10778" width="9.7109375" style="327" customWidth="1"/>
    <col min="10779" max="10779" width="12.7109375" style="327" customWidth="1"/>
    <col min="10780" max="10780" width="5.140625" style="327" customWidth="1"/>
    <col min="10781" max="10781" width="9.7109375" style="327" customWidth="1"/>
    <col min="10782" max="10782" width="12.7109375" style="327" customWidth="1"/>
    <col min="10783" max="10783" width="5.140625" style="327" customWidth="1"/>
    <col min="10784" max="10784" width="9.7109375" style="327" customWidth="1"/>
    <col min="10785" max="10785" width="12.7109375" style="327" customWidth="1"/>
    <col min="10786" max="10786" width="37.7109375" style="327" customWidth="1"/>
    <col min="10787" max="10989" width="9.140625" style="327"/>
    <col min="10990" max="10990" width="1.7109375" style="327" customWidth="1"/>
    <col min="10991" max="10991" width="3.5703125" style="327" customWidth="1"/>
    <col min="10992" max="10992" width="11" style="327" customWidth="1"/>
    <col min="10993" max="10993" width="20.7109375" style="327" customWidth="1"/>
    <col min="10994" max="10995" width="11.7109375" style="327" customWidth="1"/>
    <col min="10996" max="10996" width="9.7109375" style="327" customWidth="1"/>
    <col min="10997" max="10997" width="10.140625" style="327" bestFit="1" customWidth="1"/>
    <col min="10998" max="10999" width="7.7109375" style="327" customWidth="1"/>
    <col min="11000" max="11000" width="4" style="327" customWidth="1"/>
    <col min="11001" max="11001" width="9.7109375" style="327" customWidth="1"/>
    <col min="11002" max="11002" width="15.140625" style="327" customWidth="1"/>
    <col min="11003" max="11003" width="5.140625" style="327" customWidth="1"/>
    <col min="11004" max="11004" width="9.7109375" style="327" customWidth="1"/>
    <col min="11005" max="11005" width="13.7109375" style="327" customWidth="1"/>
    <col min="11006" max="11006" width="5.140625" style="327" customWidth="1"/>
    <col min="11007" max="11007" width="9.7109375" style="327" customWidth="1"/>
    <col min="11008" max="11008" width="12.5703125" style="327" customWidth="1"/>
    <col min="11009" max="11009" width="5.140625" style="327" customWidth="1"/>
    <col min="11010" max="11010" width="9.7109375" style="327" customWidth="1"/>
    <col min="11011" max="11011" width="12.7109375" style="327" customWidth="1"/>
    <col min="11012" max="11012" width="5.140625" style="327" customWidth="1"/>
    <col min="11013" max="11013" width="9.7109375" style="327" customWidth="1"/>
    <col min="11014" max="11014" width="12.7109375" style="327" customWidth="1"/>
    <col min="11015" max="11015" width="5.140625" style="327" customWidth="1"/>
    <col min="11016" max="11016" width="9.7109375" style="327" customWidth="1"/>
    <col min="11017" max="11017" width="12.7109375" style="327" customWidth="1"/>
    <col min="11018" max="11018" width="5.140625" style="327" customWidth="1"/>
    <col min="11019" max="11019" width="9.7109375" style="327" customWidth="1"/>
    <col min="11020" max="11020" width="12.7109375" style="327" customWidth="1"/>
    <col min="11021" max="11021" width="5.140625" style="327" customWidth="1"/>
    <col min="11022" max="11022" width="9.7109375" style="327" customWidth="1"/>
    <col min="11023" max="11023" width="12.7109375" style="327" customWidth="1"/>
    <col min="11024" max="11024" width="5.140625" style="327" customWidth="1"/>
    <col min="11025" max="11025" width="9.7109375" style="327" customWidth="1"/>
    <col min="11026" max="11026" width="12.7109375" style="327" customWidth="1"/>
    <col min="11027" max="11027" width="5.140625" style="327" customWidth="1"/>
    <col min="11028" max="11028" width="9.7109375" style="327" customWidth="1"/>
    <col min="11029" max="11029" width="12.7109375" style="327" customWidth="1"/>
    <col min="11030" max="11030" width="5.140625" style="327" customWidth="1"/>
    <col min="11031" max="11031" width="9.7109375" style="327" customWidth="1"/>
    <col min="11032" max="11032" width="12.7109375" style="327" customWidth="1"/>
    <col min="11033" max="11033" width="5.140625" style="327" customWidth="1"/>
    <col min="11034" max="11034" width="9.7109375" style="327" customWidth="1"/>
    <col min="11035" max="11035" width="12.7109375" style="327" customWidth="1"/>
    <col min="11036" max="11036" width="5.140625" style="327" customWidth="1"/>
    <col min="11037" max="11037" width="9.7109375" style="327" customWidth="1"/>
    <col min="11038" max="11038" width="12.7109375" style="327" customWidth="1"/>
    <col min="11039" max="11039" width="5.140625" style="327" customWidth="1"/>
    <col min="11040" max="11040" width="9.7109375" style="327" customWidth="1"/>
    <col min="11041" max="11041" width="12.7109375" style="327" customWidth="1"/>
    <col min="11042" max="11042" width="37.7109375" style="327" customWidth="1"/>
    <col min="11043" max="11245" width="9.140625" style="327"/>
    <col min="11246" max="11246" width="1.7109375" style="327" customWidth="1"/>
    <col min="11247" max="11247" width="3.5703125" style="327" customWidth="1"/>
    <col min="11248" max="11248" width="11" style="327" customWidth="1"/>
    <col min="11249" max="11249" width="20.7109375" style="327" customWidth="1"/>
    <col min="11250" max="11251" width="11.7109375" style="327" customWidth="1"/>
    <col min="11252" max="11252" width="9.7109375" style="327" customWidth="1"/>
    <col min="11253" max="11253" width="10.140625" style="327" bestFit="1" customWidth="1"/>
    <col min="11254" max="11255" width="7.7109375" style="327" customWidth="1"/>
    <col min="11256" max="11256" width="4" style="327" customWidth="1"/>
    <col min="11257" max="11257" width="9.7109375" style="327" customWidth="1"/>
    <col min="11258" max="11258" width="15.140625" style="327" customWidth="1"/>
    <col min="11259" max="11259" width="5.140625" style="327" customWidth="1"/>
    <col min="11260" max="11260" width="9.7109375" style="327" customWidth="1"/>
    <col min="11261" max="11261" width="13.7109375" style="327" customWidth="1"/>
    <col min="11262" max="11262" width="5.140625" style="327" customWidth="1"/>
    <col min="11263" max="11263" width="9.7109375" style="327" customWidth="1"/>
    <col min="11264" max="11264" width="12.5703125" style="327" customWidth="1"/>
    <col min="11265" max="11265" width="5.140625" style="327" customWidth="1"/>
    <col min="11266" max="11266" width="9.7109375" style="327" customWidth="1"/>
    <col min="11267" max="11267" width="12.7109375" style="327" customWidth="1"/>
    <col min="11268" max="11268" width="5.140625" style="327" customWidth="1"/>
    <col min="11269" max="11269" width="9.7109375" style="327" customWidth="1"/>
    <col min="11270" max="11270" width="12.7109375" style="327" customWidth="1"/>
    <col min="11271" max="11271" width="5.140625" style="327" customWidth="1"/>
    <col min="11272" max="11272" width="9.7109375" style="327" customWidth="1"/>
    <col min="11273" max="11273" width="12.7109375" style="327" customWidth="1"/>
    <col min="11274" max="11274" width="5.140625" style="327" customWidth="1"/>
    <col min="11275" max="11275" width="9.7109375" style="327" customWidth="1"/>
    <col min="11276" max="11276" width="12.7109375" style="327" customWidth="1"/>
    <col min="11277" max="11277" width="5.140625" style="327" customWidth="1"/>
    <col min="11278" max="11278" width="9.7109375" style="327" customWidth="1"/>
    <col min="11279" max="11279" width="12.7109375" style="327" customWidth="1"/>
    <col min="11280" max="11280" width="5.140625" style="327" customWidth="1"/>
    <col min="11281" max="11281" width="9.7109375" style="327" customWidth="1"/>
    <col min="11282" max="11282" width="12.7109375" style="327" customWidth="1"/>
    <col min="11283" max="11283" width="5.140625" style="327" customWidth="1"/>
    <col min="11284" max="11284" width="9.7109375" style="327" customWidth="1"/>
    <col min="11285" max="11285" width="12.7109375" style="327" customWidth="1"/>
    <col min="11286" max="11286" width="5.140625" style="327" customWidth="1"/>
    <col min="11287" max="11287" width="9.7109375" style="327" customWidth="1"/>
    <col min="11288" max="11288" width="12.7109375" style="327" customWidth="1"/>
    <col min="11289" max="11289" width="5.140625" style="327" customWidth="1"/>
    <col min="11290" max="11290" width="9.7109375" style="327" customWidth="1"/>
    <col min="11291" max="11291" width="12.7109375" style="327" customWidth="1"/>
    <col min="11292" max="11292" width="5.140625" style="327" customWidth="1"/>
    <col min="11293" max="11293" width="9.7109375" style="327" customWidth="1"/>
    <col min="11294" max="11294" width="12.7109375" style="327" customWidth="1"/>
    <col min="11295" max="11295" width="5.140625" style="327" customWidth="1"/>
    <col min="11296" max="11296" width="9.7109375" style="327" customWidth="1"/>
    <col min="11297" max="11297" width="12.7109375" style="327" customWidth="1"/>
    <col min="11298" max="11298" width="37.7109375" style="327" customWidth="1"/>
    <col min="11299" max="11501" width="9.140625" style="327"/>
    <col min="11502" max="11502" width="1.7109375" style="327" customWidth="1"/>
    <col min="11503" max="11503" width="3.5703125" style="327" customWidth="1"/>
    <col min="11504" max="11504" width="11" style="327" customWidth="1"/>
    <col min="11505" max="11505" width="20.7109375" style="327" customWidth="1"/>
    <col min="11506" max="11507" width="11.7109375" style="327" customWidth="1"/>
    <col min="11508" max="11508" width="9.7109375" style="327" customWidth="1"/>
    <col min="11509" max="11509" width="10.140625" style="327" bestFit="1" customWidth="1"/>
    <col min="11510" max="11511" width="7.7109375" style="327" customWidth="1"/>
    <col min="11512" max="11512" width="4" style="327" customWidth="1"/>
    <col min="11513" max="11513" width="9.7109375" style="327" customWidth="1"/>
    <col min="11514" max="11514" width="15.140625" style="327" customWidth="1"/>
    <col min="11515" max="11515" width="5.140625" style="327" customWidth="1"/>
    <col min="11516" max="11516" width="9.7109375" style="327" customWidth="1"/>
    <col min="11517" max="11517" width="13.7109375" style="327" customWidth="1"/>
    <col min="11518" max="11518" width="5.140625" style="327" customWidth="1"/>
    <col min="11519" max="11519" width="9.7109375" style="327" customWidth="1"/>
    <col min="11520" max="11520" width="12.5703125" style="327" customWidth="1"/>
    <col min="11521" max="11521" width="5.140625" style="327" customWidth="1"/>
    <col min="11522" max="11522" width="9.7109375" style="327" customWidth="1"/>
    <col min="11523" max="11523" width="12.7109375" style="327" customWidth="1"/>
    <col min="11524" max="11524" width="5.140625" style="327" customWidth="1"/>
    <col min="11525" max="11525" width="9.7109375" style="327" customWidth="1"/>
    <col min="11526" max="11526" width="12.7109375" style="327" customWidth="1"/>
    <col min="11527" max="11527" width="5.140625" style="327" customWidth="1"/>
    <col min="11528" max="11528" width="9.7109375" style="327" customWidth="1"/>
    <col min="11529" max="11529" width="12.7109375" style="327" customWidth="1"/>
    <col min="11530" max="11530" width="5.140625" style="327" customWidth="1"/>
    <col min="11531" max="11531" width="9.7109375" style="327" customWidth="1"/>
    <col min="11532" max="11532" width="12.7109375" style="327" customWidth="1"/>
    <col min="11533" max="11533" width="5.140625" style="327" customWidth="1"/>
    <col min="11534" max="11534" width="9.7109375" style="327" customWidth="1"/>
    <col min="11535" max="11535" width="12.7109375" style="327" customWidth="1"/>
    <col min="11536" max="11536" width="5.140625" style="327" customWidth="1"/>
    <col min="11537" max="11537" width="9.7109375" style="327" customWidth="1"/>
    <col min="11538" max="11538" width="12.7109375" style="327" customWidth="1"/>
    <col min="11539" max="11539" width="5.140625" style="327" customWidth="1"/>
    <col min="11540" max="11540" width="9.7109375" style="327" customWidth="1"/>
    <col min="11541" max="11541" width="12.7109375" style="327" customWidth="1"/>
    <col min="11542" max="11542" width="5.140625" style="327" customWidth="1"/>
    <col min="11543" max="11543" width="9.7109375" style="327" customWidth="1"/>
    <col min="11544" max="11544" width="12.7109375" style="327" customWidth="1"/>
    <col min="11545" max="11545" width="5.140625" style="327" customWidth="1"/>
    <col min="11546" max="11546" width="9.7109375" style="327" customWidth="1"/>
    <col min="11547" max="11547" width="12.7109375" style="327" customWidth="1"/>
    <col min="11548" max="11548" width="5.140625" style="327" customWidth="1"/>
    <col min="11549" max="11549" width="9.7109375" style="327" customWidth="1"/>
    <col min="11550" max="11550" width="12.7109375" style="327" customWidth="1"/>
    <col min="11551" max="11551" width="5.140625" style="327" customWidth="1"/>
    <col min="11552" max="11552" width="9.7109375" style="327" customWidth="1"/>
    <col min="11553" max="11553" width="12.7109375" style="327" customWidth="1"/>
    <col min="11554" max="11554" width="37.7109375" style="327" customWidth="1"/>
    <col min="11555" max="11757" width="9.140625" style="327"/>
    <col min="11758" max="11758" width="1.7109375" style="327" customWidth="1"/>
    <col min="11759" max="11759" width="3.5703125" style="327" customWidth="1"/>
    <col min="11760" max="11760" width="11" style="327" customWidth="1"/>
    <col min="11761" max="11761" width="20.7109375" style="327" customWidth="1"/>
    <col min="11762" max="11763" width="11.7109375" style="327" customWidth="1"/>
    <col min="11764" max="11764" width="9.7109375" style="327" customWidth="1"/>
    <col min="11765" max="11765" width="10.140625" style="327" bestFit="1" customWidth="1"/>
    <col min="11766" max="11767" width="7.7109375" style="327" customWidth="1"/>
    <col min="11768" max="11768" width="4" style="327" customWidth="1"/>
    <col min="11769" max="11769" width="9.7109375" style="327" customWidth="1"/>
    <col min="11770" max="11770" width="15.140625" style="327" customWidth="1"/>
    <col min="11771" max="11771" width="5.140625" style="327" customWidth="1"/>
    <col min="11772" max="11772" width="9.7109375" style="327" customWidth="1"/>
    <col min="11773" max="11773" width="13.7109375" style="327" customWidth="1"/>
    <col min="11774" max="11774" width="5.140625" style="327" customWidth="1"/>
    <col min="11775" max="11775" width="9.7109375" style="327" customWidth="1"/>
    <col min="11776" max="11776" width="12.5703125" style="327" customWidth="1"/>
    <col min="11777" max="11777" width="5.140625" style="327" customWidth="1"/>
    <col min="11778" max="11778" width="9.7109375" style="327" customWidth="1"/>
    <col min="11779" max="11779" width="12.7109375" style="327" customWidth="1"/>
    <col min="11780" max="11780" width="5.140625" style="327" customWidth="1"/>
    <col min="11781" max="11781" width="9.7109375" style="327" customWidth="1"/>
    <col min="11782" max="11782" width="12.7109375" style="327" customWidth="1"/>
    <col min="11783" max="11783" width="5.140625" style="327" customWidth="1"/>
    <col min="11784" max="11784" width="9.7109375" style="327" customWidth="1"/>
    <col min="11785" max="11785" width="12.7109375" style="327" customWidth="1"/>
    <col min="11786" max="11786" width="5.140625" style="327" customWidth="1"/>
    <col min="11787" max="11787" width="9.7109375" style="327" customWidth="1"/>
    <col min="11788" max="11788" width="12.7109375" style="327" customWidth="1"/>
    <col min="11789" max="11789" width="5.140625" style="327" customWidth="1"/>
    <col min="11790" max="11790" width="9.7109375" style="327" customWidth="1"/>
    <col min="11791" max="11791" width="12.7109375" style="327" customWidth="1"/>
    <col min="11792" max="11792" width="5.140625" style="327" customWidth="1"/>
    <col min="11793" max="11793" width="9.7109375" style="327" customWidth="1"/>
    <col min="11794" max="11794" width="12.7109375" style="327" customWidth="1"/>
    <col min="11795" max="11795" width="5.140625" style="327" customWidth="1"/>
    <col min="11796" max="11796" width="9.7109375" style="327" customWidth="1"/>
    <col min="11797" max="11797" width="12.7109375" style="327" customWidth="1"/>
    <col min="11798" max="11798" width="5.140625" style="327" customWidth="1"/>
    <col min="11799" max="11799" width="9.7109375" style="327" customWidth="1"/>
    <col min="11800" max="11800" width="12.7109375" style="327" customWidth="1"/>
    <col min="11801" max="11801" width="5.140625" style="327" customWidth="1"/>
    <col min="11802" max="11802" width="9.7109375" style="327" customWidth="1"/>
    <col min="11803" max="11803" width="12.7109375" style="327" customWidth="1"/>
    <col min="11804" max="11804" width="5.140625" style="327" customWidth="1"/>
    <col min="11805" max="11805" width="9.7109375" style="327" customWidth="1"/>
    <col min="11806" max="11806" width="12.7109375" style="327" customWidth="1"/>
    <col min="11807" max="11807" width="5.140625" style="327" customWidth="1"/>
    <col min="11808" max="11808" width="9.7109375" style="327" customWidth="1"/>
    <col min="11809" max="11809" width="12.7109375" style="327" customWidth="1"/>
    <col min="11810" max="11810" width="37.7109375" style="327" customWidth="1"/>
    <col min="11811" max="12013" width="9.140625" style="327"/>
    <col min="12014" max="12014" width="1.7109375" style="327" customWidth="1"/>
    <col min="12015" max="12015" width="3.5703125" style="327" customWidth="1"/>
    <col min="12016" max="12016" width="11" style="327" customWidth="1"/>
    <col min="12017" max="12017" width="20.7109375" style="327" customWidth="1"/>
    <col min="12018" max="12019" width="11.7109375" style="327" customWidth="1"/>
    <col min="12020" max="12020" width="9.7109375" style="327" customWidth="1"/>
    <col min="12021" max="12021" width="10.140625" style="327" bestFit="1" customWidth="1"/>
    <col min="12022" max="12023" width="7.7109375" style="327" customWidth="1"/>
    <col min="12024" max="12024" width="4" style="327" customWidth="1"/>
    <col min="12025" max="12025" width="9.7109375" style="327" customWidth="1"/>
    <col min="12026" max="12026" width="15.140625" style="327" customWidth="1"/>
    <col min="12027" max="12027" width="5.140625" style="327" customWidth="1"/>
    <col min="12028" max="12028" width="9.7109375" style="327" customWidth="1"/>
    <col min="12029" max="12029" width="13.7109375" style="327" customWidth="1"/>
    <col min="12030" max="12030" width="5.140625" style="327" customWidth="1"/>
    <col min="12031" max="12031" width="9.7109375" style="327" customWidth="1"/>
    <col min="12032" max="12032" width="12.5703125" style="327" customWidth="1"/>
    <col min="12033" max="12033" width="5.140625" style="327" customWidth="1"/>
    <col min="12034" max="12034" width="9.7109375" style="327" customWidth="1"/>
    <col min="12035" max="12035" width="12.7109375" style="327" customWidth="1"/>
    <col min="12036" max="12036" width="5.140625" style="327" customWidth="1"/>
    <col min="12037" max="12037" width="9.7109375" style="327" customWidth="1"/>
    <col min="12038" max="12038" width="12.7109375" style="327" customWidth="1"/>
    <col min="12039" max="12039" width="5.140625" style="327" customWidth="1"/>
    <col min="12040" max="12040" width="9.7109375" style="327" customWidth="1"/>
    <col min="12041" max="12041" width="12.7109375" style="327" customWidth="1"/>
    <col min="12042" max="12042" width="5.140625" style="327" customWidth="1"/>
    <col min="12043" max="12043" width="9.7109375" style="327" customWidth="1"/>
    <col min="12044" max="12044" width="12.7109375" style="327" customWidth="1"/>
    <col min="12045" max="12045" width="5.140625" style="327" customWidth="1"/>
    <col min="12046" max="12046" width="9.7109375" style="327" customWidth="1"/>
    <col min="12047" max="12047" width="12.7109375" style="327" customWidth="1"/>
    <col min="12048" max="12048" width="5.140625" style="327" customWidth="1"/>
    <col min="12049" max="12049" width="9.7109375" style="327" customWidth="1"/>
    <col min="12050" max="12050" width="12.7109375" style="327" customWidth="1"/>
    <col min="12051" max="12051" width="5.140625" style="327" customWidth="1"/>
    <col min="12052" max="12052" width="9.7109375" style="327" customWidth="1"/>
    <col min="12053" max="12053" width="12.7109375" style="327" customWidth="1"/>
    <col min="12054" max="12054" width="5.140625" style="327" customWidth="1"/>
    <col min="12055" max="12055" width="9.7109375" style="327" customWidth="1"/>
    <col min="12056" max="12056" width="12.7109375" style="327" customWidth="1"/>
    <col min="12057" max="12057" width="5.140625" style="327" customWidth="1"/>
    <col min="12058" max="12058" width="9.7109375" style="327" customWidth="1"/>
    <col min="12059" max="12059" width="12.7109375" style="327" customWidth="1"/>
    <col min="12060" max="12060" width="5.140625" style="327" customWidth="1"/>
    <col min="12061" max="12061" width="9.7109375" style="327" customWidth="1"/>
    <col min="12062" max="12062" width="12.7109375" style="327" customWidth="1"/>
    <col min="12063" max="12063" width="5.140625" style="327" customWidth="1"/>
    <col min="12064" max="12064" width="9.7109375" style="327" customWidth="1"/>
    <col min="12065" max="12065" width="12.7109375" style="327" customWidth="1"/>
    <col min="12066" max="12066" width="37.7109375" style="327" customWidth="1"/>
    <col min="12067" max="12269" width="9.140625" style="327"/>
    <col min="12270" max="12270" width="1.7109375" style="327" customWidth="1"/>
    <col min="12271" max="12271" width="3.5703125" style="327" customWidth="1"/>
    <col min="12272" max="12272" width="11" style="327" customWidth="1"/>
    <col min="12273" max="12273" width="20.7109375" style="327" customWidth="1"/>
    <col min="12274" max="12275" width="11.7109375" style="327" customWidth="1"/>
    <col min="12276" max="12276" width="9.7109375" style="327" customWidth="1"/>
    <col min="12277" max="12277" width="10.140625" style="327" bestFit="1" customWidth="1"/>
    <col min="12278" max="12279" width="7.7109375" style="327" customWidth="1"/>
    <col min="12280" max="12280" width="4" style="327" customWidth="1"/>
    <col min="12281" max="12281" width="9.7109375" style="327" customWidth="1"/>
    <col min="12282" max="12282" width="15.140625" style="327" customWidth="1"/>
    <col min="12283" max="12283" width="5.140625" style="327" customWidth="1"/>
    <col min="12284" max="12284" width="9.7109375" style="327" customWidth="1"/>
    <col min="12285" max="12285" width="13.7109375" style="327" customWidth="1"/>
    <col min="12286" max="12286" width="5.140625" style="327" customWidth="1"/>
    <col min="12287" max="12287" width="9.7109375" style="327" customWidth="1"/>
    <col min="12288" max="12288" width="12.5703125" style="327" customWidth="1"/>
    <col min="12289" max="12289" width="5.140625" style="327" customWidth="1"/>
    <col min="12290" max="12290" width="9.7109375" style="327" customWidth="1"/>
    <col min="12291" max="12291" width="12.7109375" style="327" customWidth="1"/>
    <col min="12292" max="12292" width="5.140625" style="327" customWidth="1"/>
    <col min="12293" max="12293" width="9.7109375" style="327" customWidth="1"/>
    <col min="12294" max="12294" width="12.7109375" style="327" customWidth="1"/>
    <col min="12295" max="12295" width="5.140625" style="327" customWidth="1"/>
    <col min="12296" max="12296" width="9.7109375" style="327" customWidth="1"/>
    <col min="12297" max="12297" width="12.7109375" style="327" customWidth="1"/>
    <col min="12298" max="12298" width="5.140625" style="327" customWidth="1"/>
    <col min="12299" max="12299" width="9.7109375" style="327" customWidth="1"/>
    <col min="12300" max="12300" width="12.7109375" style="327" customWidth="1"/>
    <col min="12301" max="12301" width="5.140625" style="327" customWidth="1"/>
    <col min="12302" max="12302" width="9.7109375" style="327" customWidth="1"/>
    <col min="12303" max="12303" width="12.7109375" style="327" customWidth="1"/>
    <col min="12304" max="12304" width="5.140625" style="327" customWidth="1"/>
    <col min="12305" max="12305" width="9.7109375" style="327" customWidth="1"/>
    <col min="12306" max="12306" width="12.7109375" style="327" customWidth="1"/>
    <col min="12307" max="12307" width="5.140625" style="327" customWidth="1"/>
    <col min="12308" max="12308" width="9.7109375" style="327" customWidth="1"/>
    <col min="12309" max="12309" width="12.7109375" style="327" customWidth="1"/>
    <col min="12310" max="12310" width="5.140625" style="327" customWidth="1"/>
    <col min="12311" max="12311" width="9.7109375" style="327" customWidth="1"/>
    <col min="12312" max="12312" width="12.7109375" style="327" customWidth="1"/>
    <col min="12313" max="12313" width="5.140625" style="327" customWidth="1"/>
    <col min="12314" max="12314" width="9.7109375" style="327" customWidth="1"/>
    <col min="12315" max="12315" width="12.7109375" style="327" customWidth="1"/>
    <col min="12316" max="12316" width="5.140625" style="327" customWidth="1"/>
    <col min="12317" max="12317" width="9.7109375" style="327" customWidth="1"/>
    <col min="12318" max="12318" width="12.7109375" style="327" customWidth="1"/>
    <col min="12319" max="12319" width="5.140625" style="327" customWidth="1"/>
    <col min="12320" max="12320" width="9.7109375" style="327" customWidth="1"/>
    <col min="12321" max="12321" width="12.7109375" style="327" customWidth="1"/>
    <col min="12322" max="12322" width="37.7109375" style="327" customWidth="1"/>
    <col min="12323" max="12525" width="9.140625" style="327"/>
    <col min="12526" max="12526" width="1.7109375" style="327" customWidth="1"/>
    <col min="12527" max="12527" width="3.5703125" style="327" customWidth="1"/>
    <col min="12528" max="12528" width="11" style="327" customWidth="1"/>
    <col min="12529" max="12529" width="20.7109375" style="327" customWidth="1"/>
    <col min="12530" max="12531" width="11.7109375" style="327" customWidth="1"/>
    <col min="12532" max="12532" width="9.7109375" style="327" customWidth="1"/>
    <col min="12533" max="12533" width="10.140625" style="327" bestFit="1" customWidth="1"/>
    <col min="12534" max="12535" width="7.7109375" style="327" customWidth="1"/>
    <col min="12536" max="12536" width="4" style="327" customWidth="1"/>
    <col min="12537" max="12537" width="9.7109375" style="327" customWidth="1"/>
    <col min="12538" max="12538" width="15.140625" style="327" customWidth="1"/>
    <col min="12539" max="12539" width="5.140625" style="327" customWidth="1"/>
    <col min="12540" max="12540" width="9.7109375" style="327" customWidth="1"/>
    <col min="12541" max="12541" width="13.7109375" style="327" customWidth="1"/>
    <col min="12542" max="12542" width="5.140625" style="327" customWidth="1"/>
    <col min="12543" max="12543" width="9.7109375" style="327" customWidth="1"/>
    <col min="12544" max="12544" width="12.5703125" style="327" customWidth="1"/>
    <col min="12545" max="12545" width="5.140625" style="327" customWidth="1"/>
    <col min="12546" max="12546" width="9.7109375" style="327" customWidth="1"/>
    <col min="12547" max="12547" width="12.7109375" style="327" customWidth="1"/>
    <col min="12548" max="12548" width="5.140625" style="327" customWidth="1"/>
    <col min="12549" max="12549" width="9.7109375" style="327" customWidth="1"/>
    <col min="12550" max="12550" width="12.7109375" style="327" customWidth="1"/>
    <col min="12551" max="12551" width="5.140625" style="327" customWidth="1"/>
    <col min="12552" max="12552" width="9.7109375" style="327" customWidth="1"/>
    <col min="12553" max="12553" width="12.7109375" style="327" customWidth="1"/>
    <col min="12554" max="12554" width="5.140625" style="327" customWidth="1"/>
    <col min="12555" max="12555" width="9.7109375" style="327" customWidth="1"/>
    <col min="12556" max="12556" width="12.7109375" style="327" customWidth="1"/>
    <col min="12557" max="12557" width="5.140625" style="327" customWidth="1"/>
    <col min="12558" max="12558" width="9.7109375" style="327" customWidth="1"/>
    <col min="12559" max="12559" width="12.7109375" style="327" customWidth="1"/>
    <col min="12560" max="12560" width="5.140625" style="327" customWidth="1"/>
    <col min="12561" max="12561" width="9.7109375" style="327" customWidth="1"/>
    <col min="12562" max="12562" width="12.7109375" style="327" customWidth="1"/>
    <col min="12563" max="12563" width="5.140625" style="327" customWidth="1"/>
    <col min="12564" max="12564" width="9.7109375" style="327" customWidth="1"/>
    <col min="12565" max="12565" width="12.7109375" style="327" customWidth="1"/>
    <col min="12566" max="12566" width="5.140625" style="327" customWidth="1"/>
    <col min="12567" max="12567" width="9.7109375" style="327" customWidth="1"/>
    <col min="12568" max="12568" width="12.7109375" style="327" customWidth="1"/>
    <col min="12569" max="12569" width="5.140625" style="327" customWidth="1"/>
    <col min="12570" max="12570" width="9.7109375" style="327" customWidth="1"/>
    <col min="12571" max="12571" width="12.7109375" style="327" customWidth="1"/>
    <col min="12572" max="12572" width="5.140625" style="327" customWidth="1"/>
    <col min="12573" max="12573" width="9.7109375" style="327" customWidth="1"/>
    <col min="12574" max="12574" width="12.7109375" style="327" customWidth="1"/>
    <col min="12575" max="12575" width="5.140625" style="327" customWidth="1"/>
    <col min="12576" max="12576" width="9.7109375" style="327" customWidth="1"/>
    <col min="12577" max="12577" width="12.7109375" style="327" customWidth="1"/>
    <col min="12578" max="12578" width="37.7109375" style="327" customWidth="1"/>
    <col min="12579" max="12781" width="9.140625" style="327"/>
    <col min="12782" max="12782" width="1.7109375" style="327" customWidth="1"/>
    <col min="12783" max="12783" width="3.5703125" style="327" customWidth="1"/>
    <col min="12784" max="12784" width="11" style="327" customWidth="1"/>
    <col min="12785" max="12785" width="20.7109375" style="327" customWidth="1"/>
    <col min="12786" max="12787" width="11.7109375" style="327" customWidth="1"/>
    <col min="12788" max="12788" width="9.7109375" style="327" customWidth="1"/>
    <col min="12789" max="12789" width="10.140625" style="327" bestFit="1" customWidth="1"/>
    <col min="12790" max="12791" width="7.7109375" style="327" customWidth="1"/>
    <col min="12792" max="12792" width="4" style="327" customWidth="1"/>
    <col min="12793" max="12793" width="9.7109375" style="327" customWidth="1"/>
    <col min="12794" max="12794" width="15.140625" style="327" customWidth="1"/>
    <col min="12795" max="12795" width="5.140625" style="327" customWidth="1"/>
    <col min="12796" max="12796" width="9.7109375" style="327" customWidth="1"/>
    <col min="12797" max="12797" width="13.7109375" style="327" customWidth="1"/>
    <col min="12798" max="12798" width="5.140625" style="327" customWidth="1"/>
    <col min="12799" max="12799" width="9.7109375" style="327" customWidth="1"/>
    <col min="12800" max="12800" width="12.5703125" style="327" customWidth="1"/>
    <col min="12801" max="12801" width="5.140625" style="327" customWidth="1"/>
    <col min="12802" max="12802" width="9.7109375" style="327" customWidth="1"/>
    <col min="12803" max="12803" width="12.7109375" style="327" customWidth="1"/>
    <col min="12804" max="12804" width="5.140625" style="327" customWidth="1"/>
    <col min="12805" max="12805" width="9.7109375" style="327" customWidth="1"/>
    <col min="12806" max="12806" width="12.7109375" style="327" customWidth="1"/>
    <col min="12807" max="12807" width="5.140625" style="327" customWidth="1"/>
    <col min="12808" max="12808" width="9.7109375" style="327" customWidth="1"/>
    <col min="12809" max="12809" width="12.7109375" style="327" customWidth="1"/>
    <col min="12810" max="12810" width="5.140625" style="327" customWidth="1"/>
    <col min="12811" max="12811" width="9.7109375" style="327" customWidth="1"/>
    <col min="12812" max="12812" width="12.7109375" style="327" customWidth="1"/>
    <col min="12813" max="12813" width="5.140625" style="327" customWidth="1"/>
    <col min="12814" max="12814" width="9.7109375" style="327" customWidth="1"/>
    <col min="12815" max="12815" width="12.7109375" style="327" customWidth="1"/>
    <col min="12816" max="12816" width="5.140625" style="327" customWidth="1"/>
    <col min="12817" max="12817" width="9.7109375" style="327" customWidth="1"/>
    <col min="12818" max="12818" width="12.7109375" style="327" customWidth="1"/>
    <col min="12819" max="12819" width="5.140625" style="327" customWidth="1"/>
    <col min="12820" max="12820" width="9.7109375" style="327" customWidth="1"/>
    <col min="12821" max="12821" width="12.7109375" style="327" customWidth="1"/>
    <col min="12822" max="12822" width="5.140625" style="327" customWidth="1"/>
    <col min="12823" max="12823" width="9.7109375" style="327" customWidth="1"/>
    <col min="12824" max="12824" width="12.7109375" style="327" customWidth="1"/>
    <col min="12825" max="12825" width="5.140625" style="327" customWidth="1"/>
    <col min="12826" max="12826" width="9.7109375" style="327" customWidth="1"/>
    <col min="12827" max="12827" width="12.7109375" style="327" customWidth="1"/>
    <col min="12828" max="12828" width="5.140625" style="327" customWidth="1"/>
    <col min="12829" max="12829" width="9.7109375" style="327" customWidth="1"/>
    <col min="12830" max="12830" width="12.7109375" style="327" customWidth="1"/>
    <col min="12831" max="12831" width="5.140625" style="327" customWidth="1"/>
    <col min="12832" max="12832" width="9.7109375" style="327" customWidth="1"/>
    <col min="12833" max="12833" width="12.7109375" style="327" customWidth="1"/>
    <col min="12834" max="12834" width="37.7109375" style="327" customWidth="1"/>
    <col min="12835" max="13037" width="9.140625" style="327"/>
    <col min="13038" max="13038" width="1.7109375" style="327" customWidth="1"/>
    <col min="13039" max="13039" width="3.5703125" style="327" customWidth="1"/>
    <col min="13040" max="13040" width="11" style="327" customWidth="1"/>
    <col min="13041" max="13041" width="20.7109375" style="327" customWidth="1"/>
    <col min="13042" max="13043" width="11.7109375" style="327" customWidth="1"/>
    <col min="13044" max="13044" width="9.7109375" style="327" customWidth="1"/>
    <col min="13045" max="13045" width="10.140625" style="327" bestFit="1" customWidth="1"/>
    <col min="13046" max="13047" width="7.7109375" style="327" customWidth="1"/>
    <col min="13048" max="13048" width="4" style="327" customWidth="1"/>
    <col min="13049" max="13049" width="9.7109375" style="327" customWidth="1"/>
    <col min="13050" max="13050" width="15.140625" style="327" customWidth="1"/>
    <col min="13051" max="13051" width="5.140625" style="327" customWidth="1"/>
    <col min="13052" max="13052" width="9.7109375" style="327" customWidth="1"/>
    <col min="13053" max="13053" width="13.7109375" style="327" customWidth="1"/>
    <col min="13054" max="13054" width="5.140625" style="327" customWidth="1"/>
    <col min="13055" max="13055" width="9.7109375" style="327" customWidth="1"/>
    <col min="13056" max="13056" width="12.5703125" style="327" customWidth="1"/>
    <col min="13057" max="13057" width="5.140625" style="327" customWidth="1"/>
    <col min="13058" max="13058" width="9.7109375" style="327" customWidth="1"/>
    <col min="13059" max="13059" width="12.7109375" style="327" customWidth="1"/>
    <col min="13060" max="13060" width="5.140625" style="327" customWidth="1"/>
    <col min="13061" max="13061" width="9.7109375" style="327" customWidth="1"/>
    <col min="13062" max="13062" width="12.7109375" style="327" customWidth="1"/>
    <col min="13063" max="13063" width="5.140625" style="327" customWidth="1"/>
    <col min="13064" max="13064" width="9.7109375" style="327" customWidth="1"/>
    <col min="13065" max="13065" width="12.7109375" style="327" customWidth="1"/>
    <col min="13066" max="13066" width="5.140625" style="327" customWidth="1"/>
    <col min="13067" max="13067" width="9.7109375" style="327" customWidth="1"/>
    <col min="13068" max="13068" width="12.7109375" style="327" customWidth="1"/>
    <col min="13069" max="13069" width="5.140625" style="327" customWidth="1"/>
    <col min="13070" max="13070" width="9.7109375" style="327" customWidth="1"/>
    <col min="13071" max="13071" width="12.7109375" style="327" customWidth="1"/>
    <col min="13072" max="13072" width="5.140625" style="327" customWidth="1"/>
    <col min="13073" max="13073" width="9.7109375" style="327" customWidth="1"/>
    <col min="13074" max="13074" width="12.7109375" style="327" customWidth="1"/>
    <col min="13075" max="13075" width="5.140625" style="327" customWidth="1"/>
    <col min="13076" max="13076" width="9.7109375" style="327" customWidth="1"/>
    <col min="13077" max="13077" width="12.7109375" style="327" customWidth="1"/>
    <col min="13078" max="13078" width="5.140625" style="327" customWidth="1"/>
    <col min="13079" max="13079" width="9.7109375" style="327" customWidth="1"/>
    <col min="13080" max="13080" width="12.7109375" style="327" customWidth="1"/>
    <col min="13081" max="13081" width="5.140625" style="327" customWidth="1"/>
    <col min="13082" max="13082" width="9.7109375" style="327" customWidth="1"/>
    <col min="13083" max="13083" width="12.7109375" style="327" customWidth="1"/>
    <col min="13084" max="13084" width="5.140625" style="327" customWidth="1"/>
    <col min="13085" max="13085" width="9.7109375" style="327" customWidth="1"/>
    <col min="13086" max="13086" width="12.7109375" style="327" customWidth="1"/>
    <col min="13087" max="13087" width="5.140625" style="327" customWidth="1"/>
    <col min="13088" max="13088" width="9.7109375" style="327" customWidth="1"/>
    <col min="13089" max="13089" width="12.7109375" style="327" customWidth="1"/>
    <col min="13090" max="13090" width="37.7109375" style="327" customWidth="1"/>
    <col min="13091" max="13293" width="9.140625" style="327"/>
    <col min="13294" max="13294" width="1.7109375" style="327" customWidth="1"/>
    <col min="13295" max="13295" width="3.5703125" style="327" customWidth="1"/>
    <col min="13296" max="13296" width="11" style="327" customWidth="1"/>
    <col min="13297" max="13297" width="20.7109375" style="327" customWidth="1"/>
    <col min="13298" max="13299" width="11.7109375" style="327" customWidth="1"/>
    <col min="13300" max="13300" width="9.7109375" style="327" customWidth="1"/>
    <col min="13301" max="13301" width="10.140625" style="327" bestFit="1" customWidth="1"/>
    <col min="13302" max="13303" width="7.7109375" style="327" customWidth="1"/>
    <col min="13304" max="13304" width="4" style="327" customWidth="1"/>
    <col min="13305" max="13305" width="9.7109375" style="327" customWidth="1"/>
    <col min="13306" max="13306" width="15.140625" style="327" customWidth="1"/>
    <col min="13307" max="13307" width="5.140625" style="327" customWidth="1"/>
    <col min="13308" max="13308" width="9.7109375" style="327" customWidth="1"/>
    <col min="13309" max="13309" width="13.7109375" style="327" customWidth="1"/>
    <col min="13310" max="13310" width="5.140625" style="327" customWidth="1"/>
    <col min="13311" max="13311" width="9.7109375" style="327" customWidth="1"/>
    <col min="13312" max="13312" width="12.5703125" style="327" customWidth="1"/>
    <col min="13313" max="13313" width="5.140625" style="327" customWidth="1"/>
    <col min="13314" max="13314" width="9.7109375" style="327" customWidth="1"/>
    <col min="13315" max="13315" width="12.7109375" style="327" customWidth="1"/>
    <col min="13316" max="13316" width="5.140625" style="327" customWidth="1"/>
    <col min="13317" max="13317" width="9.7109375" style="327" customWidth="1"/>
    <col min="13318" max="13318" width="12.7109375" style="327" customWidth="1"/>
    <col min="13319" max="13319" width="5.140625" style="327" customWidth="1"/>
    <col min="13320" max="13320" width="9.7109375" style="327" customWidth="1"/>
    <col min="13321" max="13321" width="12.7109375" style="327" customWidth="1"/>
    <col min="13322" max="13322" width="5.140625" style="327" customWidth="1"/>
    <col min="13323" max="13323" width="9.7109375" style="327" customWidth="1"/>
    <col min="13324" max="13324" width="12.7109375" style="327" customWidth="1"/>
    <col min="13325" max="13325" width="5.140625" style="327" customWidth="1"/>
    <col min="13326" max="13326" width="9.7109375" style="327" customWidth="1"/>
    <col min="13327" max="13327" width="12.7109375" style="327" customWidth="1"/>
    <col min="13328" max="13328" width="5.140625" style="327" customWidth="1"/>
    <col min="13329" max="13329" width="9.7109375" style="327" customWidth="1"/>
    <col min="13330" max="13330" width="12.7109375" style="327" customWidth="1"/>
    <col min="13331" max="13331" width="5.140625" style="327" customWidth="1"/>
    <col min="13332" max="13332" width="9.7109375" style="327" customWidth="1"/>
    <col min="13333" max="13333" width="12.7109375" style="327" customWidth="1"/>
    <col min="13334" max="13334" width="5.140625" style="327" customWidth="1"/>
    <col min="13335" max="13335" width="9.7109375" style="327" customWidth="1"/>
    <col min="13336" max="13336" width="12.7109375" style="327" customWidth="1"/>
    <col min="13337" max="13337" width="5.140625" style="327" customWidth="1"/>
    <col min="13338" max="13338" width="9.7109375" style="327" customWidth="1"/>
    <col min="13339" max="13339" width="12.7109375" style="327" customWidth="1"/>
    <col min="13340" max="13340" width="5.140625" style="327" customWidth="1"/>
    <col min="13341" max="13341" width="9.7109375" style="327" customWidth="1"/>
    <col min="13342" max="13342" width="12.7109375" style="327" customWidth="1"/>
    <col min="13343" max="13343" width="5.140625" style="327" customWidth="1"/>
    <col min="13344" max="13344" width="9.7109375" style="327" customWidth="1"/>
    <col min="13345" max="13345" width="12.7109375" style="327" customWidth="1"/>
    <col min="13346" max="13346" width="37.7109375" style="327" customWidth="1"/>
    <col min="13347" max="13549" width="9.140625" style="327"/>
    <col min="13550" max="13550" width="1.7109375" style="327" customWidth="1"/>
    <col min="13551" max="13551" width="3.5703125" style="327" customWidth="1"/>
    <col min="13552" max="13552" width="11" style="327" customWidth="1"/>
    <col min="13553" max="13553" width="20.7109375" style="327" customWidth="1"/>
    <col min="13554" max="13555" width="11.7109375" style="327" customWidth="1"/>
    <col min="13556" max="13556" width="9.7109375" style="327" customWidth="1"/>
    <col min="13557" max="13557" width="10.140625" style="327" bestFit="1" customWidth="1"/>
    <col min="13558" max="13559" width="7.7109375" style="327" customWidth="1"/>
    <col min="13560" max="13560" width="4" style="327" customWidth="1"/>
    <col min="13561" max="13561" width="9.7109375" style="327" customWidth="1"/>
    <col min="13562" max="13562" width="15.140625" style="327" customWidth="1"/>
    <col min="13563" max="13563" width="5.140625" style="327" customWidth="1"/>
    <col min="13564" max="13564" width="9.7109375" style="327" customWidth="1"/>
    <col min="13565" max="13565" width="13.7109375" style="327" customWidth="1"/>
    <col min="13566" max="13566" width="5.140625" style="327" customWidth="1"/>
    <col min="13567" max="13567" width="9.7109375" style="327" customWidth="1"/>
    <col min="13568" max="13568" width="12.5703125" style="327" customWidth="1"/>
    <col min="13569" max="13569" width="5.140625" style="327" customWidth="1"/>
    <col min="13570" max="13570" width="9.7109375" style="327" customWidth="1"/>
    <col min="13571" max="13571" width="12.7109375" style="327" customWidth="1"/>
    <col min="13572" max="13572" width="5.140625" style="327" customWidth="1"/>
    <col min="13573" max="13573" width="9.7109375" style="327" customWidth="1"/>
    <col min="13574" max="13574" width="12.7109375" style="327" customWidth="1"/>
    <col min="13575" max="13575" width="5.140625" style="327" customWidth="1"/>
    <col min="13576" max="13576" width="9.7109375" style="327" customWidth="1"/>
    <col min="13577" max="13577" width="12.7109375" style="327" customWidth="1"/>
    <col min="13578" max="13578" width="5.140625" style="327" customWidth="1"/>
    <col min="13579" max="13579" width="9.7109375" style="327" customWidth="1"/>
    <col min="13580" max="13580" width="12.7109375" style="327" customWidth="1"/>
    <col min="13581" max="13581" width="5.140625" style="327" customWidth="1"/>
    <col min="13582" max="13582" width="9.7109375" style="327" customWidth="1"/>
    <col min="13583" max="13583" width="12.7109375" style="327" customWidth="1"/>
    <col min="13584" max="13584" width="5.140625" style="327" customWidth="1"/>
    <col min="13585" max="13585" width="9.7109375" style="327" customWidth="1"/>
    <col min="13586" max="13586" width="12.7109375" style="327" customWidth="1"/>
    <col min="13587" max="13587" width="5.140625" style="327" customWidth="1"/>
    <col min="13588" max="13588" width="9.7109375" style="327" customWidth="1"/>
    <col min="13589" max="13589" width="12.7109375" style="327" customWidth="1"/>
    <col min="13590" max="13590" width="5.140625" style="327" customWidth="1"/>
    <col min="13591" max="13591" width="9.7109375" style="327" customWidth="1"/>
    <col min="13592" max="13592" width="12.7109375" style="327" customWidth="1"/>
    <col min="13593" max="13593" width="5.140625" style="327" customWidth="1"/>
    <col min="13594" max="13594" width="9.7109375" style="327" customWidth="1"/>
    <col min="13595" max="13595" width="12.7109375" style="327" customWidth="1"/>
    <col min="13596" max="13596" width="5.140625" style="327" customWidth="1"/>
    <col min="13597" max="13597" width="9.7109375" style="327" customWidth="1"/>
    <col min="13598" max="13598" width="12.7109375" style="327" customWidth="1"/>
    <col min="13599" max="13599" width="5.140625" style="327" customWidth="1"/>
    <col min="13600" max="13600" width="9.7109375" style="327" customWidth="1"/>
    <col min="13601" max="13601" width="12.7109375" style="327" customWidth="1"/>
    <col min="13602" max="13602" width="37.7109375" style="327" customWidth="1"/>
    <col min="13603" max="13805" width="9.140625" style="327"/>
    <col min="13806" max="13806" width="1.7109375" style="327" customWidth="1"/>
    <col min="13807" max="13807" width="3.5703125" style="327" customWidth="1"/>
    <col min="13808" max="13808" width="11" style="327" customWidth="1"/>
    <col min="13809" max="13809" width="20.7109375" style="327" customWidth="1"/>
    <col min="13810" max="13811" width="11.7109375" style="327" customWidth="1"/>
    <col min="13812" max="13812" width="9.7109375" style="327" customWidth="1"/>
    <col min="13813" max="13813" width="10.140625" style="327" bestFit="1" customWidth="1"/>
    <col min="13814" max="13815" width="7.7109375" style="327" customWidth="1"/>
    <col min="13816" max="13816" width="4" style="327" customWidth="1"/>
    <col min="13817" max="13817" width="9.7109375" style="327" customWidth="1"/>
    <col min="13818" max="13818" width="15.140625" style="327" customWidth="1"/>
    <col min="13819" max="13819" width="5.140625" style="327" customWidth="1"/>
    <col min="13820" max="13820" width="9.7109375" style="327" customWidth="1"/>
    <col min="13821" max="13821" width="13.7109375" style="327" customWidth="1"/>
    <col min="13822" max="13822" width="5.140625" style="327" customWidth="1"/>
    <col min="13823" max="13823" width="9.7109375" style="327" customWidth="1"/>
    <col min="13824" max="13824" width="12.5703125" style="327" customWidth="1"/>
    <col min="13825" max="13825" width="5.140625" style="327" customWidth="1"/>
    <col min="13826" max="13826" width="9.7109375" style="327" customWidth="1"/>
    <col min="13827" max="13827" width="12.7109375" style="327" customWidth="1"/>
    <col min="13828" max="13828" width="5.140625" style="327" customWidth="1"/>
    <col min="13829" max="13829" width="9.7109375" style="327" customWidth="1"/>
    <col min="13830" max="13830" width="12.7109375" style="327" customWidth="1"/>
    <col min="13831" max="13831" width="5.140625" style="327" customWidth="1"/>
    <col min="13832" max="13832" width="9.7109375" style="327" customWidth="1"/>
    <col min="13833" max="13833" width="12.7109375" style="327" customWidth="1"/>
    <col min="13834" max="13834" width="5.140625" style="327" customWidth="1"/>
    <col min="13835" max="13835" width="9.7109375" style="327" customWidth="1"/>
    <col min="13836" max="13836" width="12.7109375" style="327" customWidth="1"/>
    <col min="13837" max="13837" width="5.140625" style="327" customWidth="1"/>
    <col min="13838" max="13838" width="9.7109375" style="327" customWidth="1"/>
    <col min="13839" max="13839" width="12.7109375" style="327" customWidth="1"/>
    <col min="13840" max="13840" width="5.140625" style="327" customWidth="1"/>
    <col min="13841" max="13841" width="9.7109375" style="327" customWidth="1"/>
    <col min="13842" max="13842" width="12.7109375" style="327" customWidth="1"/>
    <col min="13843" max="13843" width="5.140625" style="327" customWidth="1"/>
    <col min="13844" max="13844" width="9.7109375" style="327" customWidth="1"/>
    <col min="13845" max="13845" width="12.7109375" style="327" customWidth="1"/>
    <col min="13846" max="13846" width="5.140625" style="327" customWidth="1"/>
    <col min="13847" max="13847" width="9.7109375" style="327" customWidth="1"/>
    <col min="13848" max="13848" width="12.7109375" style="327" customWidth="1"/>
    <col min="13849" max="13849" width="5.140625" style="327" customWidth="1"/>
    <col min="13850" max="13850" width="9.7109375" style="327" customWidth="1"/>
    <col min="13851" max="13851" width="12.7109375" style="327" customWidth="1"/>
    <col min="13852" max="13852" width="5.140625" style="327" customWidth="1"/>
    <col min="13853" max="13853" width="9.7109375" style="327" customWidth="1"/>
    <col min="13854" max="13854" width="12.7109375" style="327" customWidth="1"/>
    <col min="13855" max="13855" width="5.140625" style="327" customWidth="1"/>
    <col min="13856" max="13856" width="9.7109375" style="327" customWidth="1"/>
    <col min="13857" max="13857" width="12.7109375" style="327" customWidth="1"/>
    <col min="13858" max="13858" width="37.7109375" style="327" customWidth="1"/>
    <col min="13859" max="14061" width="9.140625" style="327"/>
    <col min="14062" max="14062" width="1.7109375" style="327" customWidth="1"/>
    <col min="14063" max="14063" width="3.5703125" style="327" customWidth="1"/>
    <col min="14064" max="14064" width="11" style="327" customWidth="1"/>
    <col min="14065" max="14065" width="20.7109375" style="327" customWidth="1"/>
    <col min="14066" max="14067" width="11.7109375" style="327" customWidth="1"/>
    <col min="14068" max="14068" width="9.7109375" style="327" customWidth="1"/>
    <col min="14069" max="14069" width="10.140625" style="327" bestFit="1" customWidth="1"/>
    <col min="14070" max="14071" width="7.7109375" style="327" customWidth="1"/>
    <col min="14072" max="14072" width="4" style="327" customWidth="1"/>
    <col min="14073" max="14073" width="9.7109375" style="327" customWidth="1"/>
    <col min="14074" max="14074" width="15.140625" style="327" customWidth="1"/>
    <col min="14075" max="14075" width="5.140625" style="327" customWidth="1"/>
    <col min="14076" max="14076" width="9.7109375" style="327" customWidth="1"/>
    <col min="14077" max="14077" width="13.7109375" style="327" customWidth="1"/>
    <col min="14078" max="14078" width="5.140625" style="327" customWidth="1"/>
    <col min="14079" max="14079" width="9.7109375" style="327" customWidth="1"/>
    <col min="14080" max="14080" width="12.5703125" style="327" customWidth="1"/>
    <col min="14081" max="14081" width="5.140625" style="327" customWidth="1"/>
    <col min="14082" max="14082" width="9.7109375" style="327" customWidth="1"/>
    <col min="14083" max="14083" width="12.7109375" style="327" customWidth="1"/>
    <col min="14084" max="14084" width="5.140625" style="327" customWidth="1"/>
    <col min="14085" max="14085" width="9.7109375" style="327" customWidth="1"/>
    <col min="14086" max="14086" width="12.7109375" style="327" customWidth="1"/>
    <col min="14087" max="14087" width="5.140625" style="327" customWidth="1"/>
    <col min="14088" max="14088" width="9.7109375" style="327" customWidth="1"/>
    <col min="14089" max="14089" width="12.7109375" style="327" customWidth="1"/>
    <col min="14090" max="14090" width="5.140625" style="327" customWidth="1"/>
    <col min="14091" max="14091" width="9.7109375" style="327" customWidth="1"/>
    <col min="14092" max="14092" width="12.7109375" style="327" customWidth="1"/>
    <col min="14093" max="14093" width="5.140625" style="327" customWidth="1"/>
    <col min="14094" max="14094" width="9.7109375" style="327" customWidth="1"/>
    <col min="14095" max="14095" width="12.7109375" style="327" customWidth="1"/>
    <col min="14096" max="14096" width="5.140625" style="327" customWidth="1"/>
    <col min="14097" max="14097" width="9.7109375" style="327" customWidth="1"/>
    <col min="14098" max="14098" width="12.7109375" style="327" customWidth="1"/>
    <col min="14099" max="14099" width="5.140625" style="327" customWidth="1"/>
    <col min="14100" max="14100" width="9.7109375" style="327" customWidth="1"/>
    <col min="14101" max="14101" width="12.7109375" style="327" customWidth="1"/>
    <col min="14102" max="14102" width="5.140625" style="327" customWidth="1"/>
    <col min="14103" max="14103" width="9.7109375" style="327" customWidth="1"/>
    <col min="14104" max="14104" width="12.7109375" style="327" customWidth="1"/>
    <col min="14105" max="14105" width="5.140625" style="327" customWidth="1"/>
    <col min="14106" max="14106" width="9.7109375" style="327" customWidth="1"/>
    <col min="14107" max="14107" width="12.7109375" style="327" customWidth="1"/>
    <col min="14108" max="14108" width="5.140625" style="327" customWidth="1"/>
    <col min="14109" max="14109" width="9.7109375" style="327" customWidth="1"/>
    <col min="14110" max="14110" width="12.7109375" style="327" customWidth="1"/>
    <col min="14111" max="14111" width="5.140625" style="327" customWidth="1"/>
    <col min="14112" max="14112" width="9.7109375" style="327" customWidth="1"/>
    <col min="14113" max="14113" width="12.7109375" style="327" customWidth="1"/>
    <col min="14114" max="14114" width="37.7109375" style="327" customWidth="1"/>
    <col min="14115" max="14317" width="9.140625" style="327"/>
    <col min="14318" max="14318" width="1.7109375" style="327" customWidth="1"/>
    <col min="14319" max="14319" width="3.5703125" style="327" customWidth="1"/>
    <col min="14320" max="14320" width="11" style="327" customWidth="1"/>
    <col min="14321" max="14321" width="20.7109375" style="327" customWidth="1"/>
    <col min="14322" max="14323" width="11.7109375" style="327" customWidth="1"/>
    <col min="14324" max="14324" width="9.7109375" style="327" customWidth="1"/>
    <col min="14325" max="14325" width="10.140625" style="327" bestFit="1" customWidth="1"/>
    <col min="14326" max="14327" width="7.7109375" style="327" customWidth="1"/>
    <col min="14328" max="14328" width="4" style="327" customWidth="1"/>
    <col min="14329" max="14329" width="9.7109375" style="327" customWidth="1"/>
    <col min="14330" max="14330" width="15.140625" style="327" customWidth="1"/>
    <col min="14331" max="14331" width="5.140625" style="327" customWidth="1"/>
    <col min="14332" max="14332" width="9.7109375" style="327" customWidth="1"/>
    <col min="14333" max="14333" width="13.7109375" style="327" customWidth="1"/>
    <col min="14334" max="14334" width="5.140625" style="327" customWidth="1"/>
    <col min="14335" max="14335" width="9.7109375" style="327" customWidth="1"/>
    <col min="14336" max="14336" width="12.5703125" style="327" customWidth="1"/>
    <col min="14337" max="14337" width="5.140625" style="327" customWidth="1"/>
    <col min="14338" max="14338" width="9.7109375" style="327" customWidth="1"/>
    <col min="14339" max="14339" width="12.7109375" style="327" customWidth="1"/>
    <col min="14340" max="14340" width="5.140625" style="327" customWidth="1"/>
    <col min="14341" max="14341" width="9.7109375" style="327" customWidth="1"/>
    <col min="14342" max="14342" width="12.7109375" style="327" customWidth="1"/>
    <col min="14343" max="14343" width="5.140625" style="327" customWidth="1"/>
    <col min="14344" max="14344" width="9.7109375" style="327" customWidth="1"/>
    <col min="14345" max="14345" width="12.7109375" style="327" customWidth="1"/>
    <col min="14346" max="14346" width="5.140625" style="327" customWidth="1"/>
    <col min="14347" max="14347" width="9.7109375" style="327" customWidth="1"/>
    <col min="14348" max="14348" width="12.7109375" style="327" customWidth="1"/>
    <col min="14349" max="14349" width="5.140625" style="327" customWidth="1"/>
    <col min="14350" max="14350" width="9.7109375" style="327" customWidth="1"/>
    <col min="14351" max="14351" width="12.7109375" style="327" customWidth="1"/>
    <col min="14352" max="14352" width="5.140625" style="327" customWidth="1"/>
    <col min="14353" max="14353" width="9.7109375" style="327" customWidth="1"/>
    <col min="14354" max="14354" width="12.7109375" style="327" customWidth="1"/>
    <col min="14355" max="14355" width="5.140625" style="327" customWidth="1"/>
    <col min="14356" max="14356" width="9.7109375" style="327" customWidth="1"/>
    <col min="14357" max="14357" width="12.7109375" style="327" customWidth="1"/>
    <col min="14358" max="14358" width="5.140625" style="327" customWidth="1"/>
    <col min="14359" max="14359" width="9.7109375" style="327" customWidth="1"/>
    <col min="14360" max="14360" width="12.7109375" style="327" customWidth="1"/>
    <col min="14361" max="14361" width="5.140625" style="327" customWidth="1"/>
    <col min="14362" max="14362" width="9.7109375" style="327" customWidth="1"/>
    <col min="14363" max="14363" width="12.7109375" style="327" customWidth="1"/>
    <col min="14364" max="14364" width="5.140625" style="327" customWidth="1"/>
    <col min="14365" max="14365" width="9.7109375" style="327" customWidth="1"/>
    <col min="14366" max="14366" width="12.7109375" style="327" customWidth="1"/>
    <col min="14367" max="14367" width="5.140625" style="327" customWidth="1"/>
    <col min="14368" max="14368" width="9.7109375" style="327" customWidth="1"/>
    <col min="14369" max="14369" width="12.7109375" style="327" customWidth="1"/>
    <col min="14370" max="14370" width="37.7109375" style="327" customWidth="1"/>
    <col min="14371" max="14573" width="9.140625" style="327"/>
    <col min="14574" max="14574" width="1.7109375" style="327" customWidth="1"/>
    <col min="14575" max="14575" width="3.5703125" style="327" customWidth="1"/>
    <col min="14576" max="14576" width="11" style="327" customWidth="1"/>
    <col min="14577" max="14577" width="20.7109375" style="327" customWidth="1"/>
    <col min="14578" max="14579" width="11.7109375" style="327" customWidth="1"/>
    <col min="14580" max="14580" width="9.7109375" style="327" customWidth="1"/>
    <col min="14581" max="14581" width="10.140625" style="327" bestFit="1" customWidth="1"/>
    <col min="14582" max="14583" width="7.7109375" style="327" customWidth="1"/>
    <col min="14584" max="14584" width="4" style="327" customWidth="1"/>
    <col min="14585" max="14585" width="9.7109375" style="327" customWidth="1"/>
    <col min="14586" max="14586" width="15.140625" style="327" customWidth="1"/>
    <col min="14587" max="14587" width="5.140625" style="327" customWidth="1"/>
    <col min="14588" max="14588" width="9.7109375" style="327" customWidth="1"/>
    <col min="14589" max="14589" width="13.7109375" style="327" customWidth="1"/>
    <col min="14590" max="14590" width="5.140625" style="327" customWidth="1"/>
    <col min="14591" max="14591" width="9.7109375" style="327" customWidth="1"/>
    <col min="14592" max="14592" width="12.5703125" style="327" customWidth="1"/>
    <col min="14593" max="14593" width="5.140625" style="327" customWidth="1"/>
    <col min="14594" max="14594" width="9.7109375" style="327" customWidth="1"/>
    <col min="14595" max="14595" width="12.7109375" style="327" customWidth="1"/>
    <col min="14596" max="14596" width="5.140625" style="327" customWidth="1"/>
    <col min="14597" max="14597" width="9.7109375" style="327" customWidth="1"/>
    <col min="14598" max="14598" width="12.7109375" style="327" customWidth="1"/>
    <col min="14599" max="14599" width="5.140625" style="327" customWidth="1"/>
    <col min="14600" max="14600" width="9.7109375" style="327" customWidth="1"/>
    <col min="14601" max="14601" width="12.7109375" style="327" customWidth="1"/>
    <col min="14602" max="14602" width="5.140625" style="327" customWidth="1"/>
    <col min="14603" max="14603" width="9.7109375" style="327" customWidth="1"/>
    <col min="14604" max="14604" width="12.7109375" style="327" customWidth="1"/>
    <col min="14605" max="14605" width="5.140625" style="327" customWidth="1"/>
    <col min="14606" max="14606" width="9.7109375" style="327" customWidth="1"/>
    <col min="14607" max="14607" width="12.7109375" style="327" customWidth="1"/>
    <col min="14608" max="14608" width="5.140625" style="327" customWidth="1"/>
    <col min="14609" max="14609" width="9.7109375" style="327" customWidth="1"/>
    <col min="14610" max="14610" width="12.7109375" style="327" customWidth="1"/>
    <col min="14611" max="14611" width="5.140625" style="327" customWidth="1"/>
    <col min="14612" max="14612" width="9.7109375" style="327" customWidth="1"/>
    <col min="14613" max="14613" width="12.7109375" style="327" customWidth="1"/>
    <col min="14614" max="14614" width="5.140625" style="327" customWidth="1"/>
    <col min="14615" max="14615" width="9.7109375" style="327" customWidth="1"/>
    <col min="14616" max="14616" width="12.7109375" style="327" customWidth="1"/>
    <col min="14617" max="14617" width="5.140625" style="327" customWidth="1"/>
    <col min="14618" max="14618" width="9.7109375" style="327" customWidth="1"/>
    <col min="14619" max="14619" width="12.7109375" style="327" customWidth="1"/>
    <col min="14620" max="14620" width="5.140625" style="327" customWidth="1"/>
    <col min="14621" max="14621" width="9.7109375" style="327" customWidth="1"/>
    <col min="14622" max="14622" width="12.7109375" style="327" customWidth="1"/>
    <col min="14623" max="14623" width="5.140625" style="327" customWidth="1"/>
    <col min="14624" max="14624" width="9.7109375" style="327" customWidth="1"/>
    <col min="14625" max="14625" width="12.7109375" style="327" customWidth="1"/>
    <col min="14626" max="14626" width="37.7109375" style="327" customWidth="1"/>
    <col min="14627" max="14829" width="9.140625" style="327"/>
    <col min="14830" max="14830" width="1.7109375" style="327" customWidth="1"/>
    <col min="14831" max="14831" width="3.5703125" style="327" customWidth="1"/>
    <col min="14832" max="14832" width="11" style="327" customWidth="1"/>
    <col min="14833" max="14833" width="20.7109375" style="327" customWidth="1"/>
    <col min="14834" max="14835" width="11.7109375" style="327" customWidth="1"/>
    <col min="14836" max="14836" width="9.7109375" style="327" customWidth="1"/>
    <col min="14837" max="14837" width="10.140625" style="327" bestFit="1" customWidth="1"/>
    <col min="14838" max="14839" width="7.7109375" style="327" customWidth="1"/>
    <col min="14840" max="14840" width="4" style="327" customWidth="1"/>
    <col min="14841" max="14841" width="9.7109375" style="327" customWidth="1"/>
    <col min="14842" max="14842" width="15.140625" style="327" customWidth="1"/>
    <col min="14843" max="14843" width="5.140625" style="327" customWidth="1"/>
    <col min="14844" max="14844" width="9.7109375" style="327" customWidth="1"/>
    <col min="14845" max="14845" width="13.7109375" style="327" customWidth="1"/>
    <col min="14846" max="14846" width="5.140625" style="327" customWidth="1"/>
    <col min="14847" max="14847" width="9.7109375" style="327" customWidth="1"/>
    <col min="14848" max="14848" width="12.5703125" style="327" customWidth="1"/>
    <col min="14849" max="14849" width="5.140625" style="327" customWidth="1"/>
    <col min="14850" max="14850" width="9.7109375" style="327" customWidth="1"/>
    <col min="14851" max="14851" width="12.7109375" style="327" customWidth="1"/>
    <col min="14852" max="14852" width="5.140625" style="327" customWidth="1"/>
    <col min="14853" max="14853" width="9.7109375" style="327" customWidth="1"/>
    <col min="14854" max="14854" width="12.7109375" style="327" customWidth="1"/>
    <col min="14855" max="14855" width="5.140625" style="327" customWidth="1"/>
    <col min="14856" max="14856" width="9.7109375" style="327" customWidth="1"/>
    <col min="14857" max="14857" width="12.7109375" style="327" customWidth="1"/>
    <col min="14858" max="14858" width="5.140625" style="327" customWidth="1"/>
    <col min="14859" max="14859" width="9.7109375" style="327" customWidth="1"/>
    <col min="14860" max="14860" width="12.7109375" style="327" customWidth="1"/>
    <col min="14861" max="14861" width="5.140625" style="327" customWidth="1"/>
    <col min="14862" max="14862" width="9.7109375" style="327" customWidth="1"/>
    <col min="14863" max="14863" width="12.7109375" style="327" customWidth="1"/>
    <col min="14864" max="14864" width="5.140625" style="327" customWidth="1"/>
    <col min="14865" max="14865" width="9.7109375" style="327" customWidth="1"/>
    <col min="14866" max="14866" width="12.7109375" style="327" customWidth="1"/>
    <col min="14867" max="14867" width="5.140625" style="327" customWidth="1"/>
    <col min="14868" max="14868" width="9.7109375" style="327" customWidth="1"/>
    <col min="14869" max="14869" width="12.7109375" style="327" customWidth="1"/>
    <col min="14870" max="14870" width="5.140625" style="327" customWidth="1"/>
    <col min="14871" max="14871" width="9.7109375" style="327" customWidth="1"/>
    <col min="14872" max="14872" width="12.7109375" style="327" customWidth="1"/>
    <col min="14873" max="14873" width="5.140625" style="327" customWidth="1"/>
    <col min="14874" max="14874" width="9.7109375" style="327" customWidth="1"/>
    <col min="14875" max="14875" width="12.7109375" style="327" customWidth="1"/>
    <col min="14876" max="14876" width="5.140625" style="327" customWidth="1"/>
    <col min="14877" max="14877" width="9.7109375" style="327" customWidth="1"/>
    <col min="14878" max="14878" width="12.7109375" style="327" customWidth="1"/>
    <col min="14879" max="14879" width="5.140625" style="327" customWidth="1"/>
    <col min="14880" max="14880" width="9.7109375" style="327" customWidth="1"/>
    <col min="14881" max="14881" width="12.7109375" style="327" customWidth="1"/>
    <col min="14882" max="14882" width="37.7109375" style="327" customWidth="1"/>
    <col min="14883" max="15085" width="9.140625" style="327"/>
    <col min="15086" max="15086" width="1.7109375" style="327" customWidth="1"/>
    <col min="15087" max="15087" width="3.5703125" style="327" customWidth="1"/>
    <col min="15088" max="15088" width="11" style="327" customWidth="1"/>
    <col min="15089" max="15089" width="20.7109375" style="327" customWidth="1"/>
    <col min="15090" max="15091" width="11.7109375" style="327" customWidth="1"/>
    <col min="15092" max="15092" width="9.7109375" style="327" customWidth="1"/>
    <col min="15093" max="15093" width="10.140625" style="327" bestFit="1" customWidth="1"/>
    <col min="15094" max="15095" width="7.7109375" style="327" customWidth="1"/>
    <col min="15096" max="15096" width="4" style="327" customWidth="1"/>
    <col min="15097" max="15097" width="9.7109375" style="327" customWidth="1"/>
    <col min="15098" max="15098" width="15.140625" style="327" customWidth="1"/>
    <col min="15099" max="15099" width="5.140625" style="327" customWidth="1"/>
    <col min="15100" max="15100" width="9.7109375" style="327" customWidth="1"/>
    <col min="15101" max="15101" width="13.7109375" style="327" customWidth="1"/>
    <col min="15102" max="15102" width="5.140625" style="327" customWidth="1"/>
    <col min="15103" max="15103" width="9.7109375" style="327" customWidth="1"/>
    <col min="15104" max="15104" width="12.5703125" style="327" customWidth="1"/>
    <col min="15105" max="15105" width="5.140625" style="327" customWidth="1"/>
    <col min="15106" max="15106" width="9.7109375" style="327" customWidth="1"/>
    <col min="15107" max="15107" width="12.7109375" style="327" customWidth="1"/>
    <col min="15108" max="15108" width="5.140625" style="327" customWidth="1"/>
    <col min="15109" max="15109" width="9.7109375" style="327" customWidth="1"/>
    <col min="15110" max="15110" width="12.7109375" style="327" customWidth="1"/>
    <col min="15111" max="15111" width="5.140625" style="327" customWidth="1"/>
    <col min="15112" max="15112" width="9.7109375" style="327" customWidth="1"/>
    <col min="15113" max="15113" width="12.7109375" style="327" customWidth="1"/>
    <col min="15114" max="15114" width="5.140625" style="327" customWidth="1"/>
    <col min="15115" max="15115" width="9.7109375" style="327" customWidth="1"/>
    <col min="15116" max="15116" width="12.7109375" style="327" customWidth="1"/>
    <col min="15117" max="15117" width="5.140625" style="327" customWidth="1"/>
    <col min="15118" max="15118" width="9.7109375" style="327" customWidth="1"/>
    <col min="15119" max="15119" width="12.7109375" style="327" customWidth="1"/>
    <col min="15120" max="15120" width="5.140625" style="327" customWidth="1"/>
    <col min="15121" max="15121" width="9.7109375" style="327" customWidth="1"/>
    <col min="15122" max="15122" width="12.7109375" style="327" customWidth="1"/>
    <col min="15123" max="15123" width="5.140625" style="327" customWidth="1"/>
    <col min="15124" max="15124" width="9.7109375" style="327" customWidth="1"/>
    <col min="15125" max="15125" width="12.7109375" style="327" customWidth="1"/>
    <col min="15126" max="15126" width="5.140625" style="327" customWidth="1"/>
    <col min="15127" max="15127" width="9.7109375" style="327" customWidth="1"/>
    <col min="15128" max="15128" width="12.7109375" style="327" customWidth="1"/>
    <col min="15129" max="15129" width="5.140625" style="327" customWidth="1"/>
    <col min="15130" max="15130" width="9.7109375" style="327" customWidth="1"/>
    <col min="15131" max="15131" width="12.7109375" style="327" customWidth="1"/>
    <col min="15132" max="15132" width="5.140625" style="327" customWidth="1"/>
    <col min="15133" max="15133" width="9.7109375" style="327" customWidth="1"/>
    <col min="15134" max="15134" width="12.7109375" style="327" customWidth="1"/>
    <col min="15135" max="15135" width="5.140625" style="327" customWidth="1"/>
    <col min="15136" max="15136" width="9.7109375" style="327" customWidth="1"/>
    <col min="15137" max="15137" width="12.7109375" style="327" customWidth="1"/>
    <col min="15138" max="15138" width="37.7109375" style="327" customWidth="1"/>
    <col min="15139" max="15341" width="9.140625" style="327"/>
    <col min="15342" max="15342" width="1.7109375" style="327" customWidth="1"/>
    <col min="15343" max="15343" width="3.5703125" style="327" customWidth="1"/>
    <col min="15344" max="15344" width="11" style="327" customWidth="1"/>
    <col min="15345" max="15345" width="20.7109375" style="327" customWidth="1"/>
    <col min="15346" max="15347" width="11.7109375" style="327" customWidth="1"/>
    <col min="15348" max="15348" width="9.7109375" style="327" customWidth="1"/>
    <col min="15349" max="15349" width="10.140625" style="327" bestFit="1" customWidth="1"/>
    <col min="15350" max="15351" width="7.7109375" style="327" customWidth="1"/>
    <col min="15352" max="15352" width="4" style="327" customWidth="1"/>
    <col min="15353" max="15353" width="9.7109375" style="327" customWidth="1"/>
    <col min="15354" max="15354" width="15.140625" style="327" customWidth="1"/>
    <col min="15355" max="15355" width="5.140625" style="327" customWidth="1"/>
    <col min="15356" max="15356" width="9.7109375" style="327" customWidth="1"/>
    <col min="15357" max="15357" width="13.7109375" style="327" customWidth="1"/>
    <col min="15358" max="15358" width="5.140625" style="327" customWidth="1"/>
    <col min="15359" max="15359" width="9.7109375" style="327" customWidth="1"/>
    <col min="15360" max="15360" width="12.5703125" style="327" customWidth="1"/>
    <col min="15361" max="15361" width="5.140625" style="327" customWidth="1"/>
    <col min="15362" max="15362" width="9.7109375" style="327" customWidth="1"/>
    <col min="15363" max="15363" width="12.7109375" style="327" customWidth="1"/>
    <col min="15364" max="15364" width="5.140625" style="327" customWidth="1"/>
    <col min="15365" max="15365" width="9.7109375" style="327" customWidth="1"/>
    <col min="15366" max="15366" width="12.7109375" style="327" customWidth="1"/>
    <col min="15367" max="15367" width="5.140625" style="327" customWidth="1"/>
    <col min="15368" max="15368" width="9.7109375" style="327" customWidth="1"/>
    <col min="15369" max="15369" width="12.7109375" style="327" customWidth="1"/>
    <col min="15370" max="15370" width="5.140625" style="327" customWidth="1"/>
    <col min="15371" max="15371" width="9.7109375" style="327" customWidth="1"/>
    <col min="15372" max="15372" width="12.7109375" style="327" customWidth="1"/>
    <col min="15373" max="15373" width="5.140625" style="327" customWidth="1"/>
    <col min="15374" max="15374" width="9.7109375" style="327" customWidth="1"/>
    <col min="15375" max="15375" width="12.7109375" style="327" customWidth="1"/>
    <col min="15376" max="15376" width="5.140625" style="327" customWidth="1"/>
    <col min="15377" max="15377" width="9.7109375" style="327" customWidth="1"/>
    <col min="15378" max="15378" width="12.7109375" style="327" customWidth="1"/>
    <col min="15379" max="15379" width="5.140625" style="327" customWidth="1"/>
    <col min="15380" max="15380" width="9.7109375" style="327" customWidth="1"/>
    <col min="15381" max="15381" width="12.7109375" style="327" customWidth="1"/>
    <col min="15382" max="15382" width="5.140625" style="327" customWidth="1"/>
    <col min="15383" max="15383" width="9.7109375" style="327" customWidth="1"/>
    <col min="15384" max="15384" width="12.7109375" style="327" customWidth="1"/>
    <col min="15385" max="15385" width="5.140625" style="327" customWidth="1"/>
    <col min="15386" max="15386" width="9.7109375" style="327" customWidth="1"/>
    <col min="15387" max="15387" width="12.7109375" style="327" customWidth="1"/>
    <col min="15388" max="15388" width="5.140625" style="327" customWidth="1"/>
    <col min="15389" max="15389" width="9.7109375" style="327" customWidth="1"/>
    <col min="15390" max="15390" width="12.7109375" style="327" customWidth="1"/>
    <col min="15391" max="15391" width="5.140625" style="327" customWidth="1"/>
    <col min="15392" max="15392" width="9.7109375" style="327" customWidth="1"/>
    <col min="15393" max="15393" width="12.7109375" style="327" customWidth="1"/>
    <col min="15394" max="15394" width="37.7109375" style="327" customWidth="1"/>
    <col min="15395" max="15597" width="9.140625" style="327"/>
    <col min="15598" max="15598" width="1.7109375" style="327" customWidth="1"/>
    <col min="15599" max="15599" width="3.5703125" style="327" customWidth="1"/>
    <col min="15600" max="15600" width="11" style="327" customWidth="1"/>
    <col min="15601" max="15601" width="20.7109375" style="327" customWidth="1"/>
    <col min="15602" max="15603" width="11.7109375" style="327" customWidth="1"/>
    <col min="15604" max="15604" width="9.7109375" style="327" customWidth="1"/>
    <col min="15605" max="15605" width="10.140625" style="327" bestFit="1" customWidth="1"/>
    <col min="15606" max="15607" width="7.7109375" style="327" customWidth="1"/>
    <col min="15608" max="15608" width="4" style="327" customWidth="1"/>
    <col min="15609" max="15609" width="9.7109375" style="327" customWidth="1"/>
    <col min="15610" max="15610" width="15.140625" style="327" customWidth="1"/>
    <col min="15611" max="15611" width="5.140625" style="327" customWidth="1"/>
    <col min="15612" max="15612" width="9.7109375" style="327" customWidth="1"/>
    <col min="15613" max="15613" width="13.7109375" style="327" customWidth="1"/>
    <col min="15614" max="15614" width="5.140625" style="327" customWidth="1"/>
    <col min="15615" max="15615" width="9.7109375" style="327" customWidth="1"/>
    <col min="15616" max="15616" width="12.5703125" style="327" customWidth="1"/>
    <col min="15617" max="15617" width="5.140625" style="327" customWidth="1"/>
    <col min="15618" max="15618" width="9.7109375" style="327" customWidth="1"/>
    <col min="15619" max="15619" width="12.7109375" style="327" customWidth="1"/>
    <col min="15620" max="15620" width="5.140625" style="327" customWidth="1"/>
    <col min="15621" max="15621" width="9.7109375" style="327" customWidth="1"/>
    <col min="15622" max="15622" width="12.7109375" style="327" customWidth="1"/>
    <col min="15623" max="15623" width="5.140625" style="327" customWidth="1"/>
    <col min="15624" max="15624" width="9.7109375" style="327" customWidth="1"/>
    <col min="15625" max="15625" width="12.7109375" style="327" customWidth="1"/>
    <col min="15626" max="15626" width="5.140625" style="327" customWidth="1"/>
    <col min="15627" max="15627" width="9.7109375" style="327" customWidth="1"/>
    <col min="15628" max="15628" width="12.7109375" style="327" customWidth="1"/>
    <col min="15629" max="15629" width="5.140625" style="327" customWidth="1"/>
    <col min="15630" max="15630" width="9.7109375" style="327" customWidth="1"/>
    <col min="15631" max="15631" width="12.7109375" style="327" customWidth="1"/>
    <col min="15632" max="15632" width="5.140625" style="327" customWidth="1"/>
    <col min="15633" max="15633" width="9.7109375" style="327" customWidth="1"/>
    <col min="15634" max="15634" width="12.7109375" style="327" customWidth="1"/>
    <col min="15635" max="15635" width="5.140625" style="327" customWidth="1"/>
    <col min="15636" max="15636" width="9.7109375" style="327" customWidth="1"/>
    <col min="15637" max="15637" width="12.7109375" style="327" customWidth="1"/>
    <col min="15638" max="15638" width="5.140625" style="327" customWidth="1"/>
    <col min="15639" max="15639" width="9.7109375" style="327" customWidth="1"/>
    <col min="15640" max="15640" width="12.7109375" style="327" customWidth="1"/>
    <col min="15641" max="15641" width="5.140625" style="327" customWidth="1"/>
    <col min="15642" max="15642" width="9.7109375" style="327" customWidth="1"/>
    <col min="15643" max="15643" width="12.7109375" style="327" customWidth="1"/>
    <col min="15644" max="15644" width="5.140625" style="327" customWidth="1"/>
    <col min="15645" max="15645" width="9.7109375" style="327" customWidth="1"/>
    <col min="15646" max="15646" width="12.7109375" style="327" customWidth="1"/>
    <col min="15647" max="15647" width="5.140625" style="327" customWidth="1"/>
    <col min="15648" max="15648" width="9.7109375" style="327" customWidth="1"/>
    <col min="15649" max="15649" width="12.7109375" style="327" customWidth="1"/>
    <col min="15650" max="15650" width="37.7109375" style="327" customWidth="1"/>
    <col min="15651" max="15853" width="9.140625" style="327"/>
    <col min="15854" max="15854" width="1.7109375" style="327" customWidth="1"/>
    <col min="15855" max="15855" width="3.5703125" style="327" customWidth="1"/>
    <col min="15856" max="15856" width="11" style="327" customWidth="1"/>
    <col min="15857" max="15857" width="20.7109375" style="327" customWidth="1"/>
    <col min="15858" max="15859" width="11.7109375" style="327" customWidth="1"/>
    <col min="15860" max="15860" width="9.7109375" style="327" customWidth="1"/>
    <col min="15861" max="15861" width="10.140625" style="327" bestFit="1" customWidth="1"/>
    <col min="15862" max="15863" width="7.7109375" style="327" customWidth="1"/>
    <col min="15864" max="15864" width="4" style="327" customWidth="1"/>
    <col min="15865" max="15865" width="9.7109375" style="327" customWidth="1"/>
    <col min="15866" max="15866" width="15.140625" style="327" customWidth="1"/>
    <col min="15867" max="15867" width="5.140625" style="327" customWidth="1"/>
    <col min="15868" max="15868" width="9.7109375" style="327" customWidth="1"/>
    <col min="15869" max="15869" width="13.7109375" style="327" customWidth="1"/>
    <col min="15870" max="15870" width="5.140625" style="327" customWidth="1"/>
    <col min="15871" max="15871" width="9.7109375" style="327" customWidth="1"/>
    <col min="15872" max="15872" width="12.5703125" style="327" customWidth="1"/>
    <col min="15873" max="15873" width="5.140625" style="327" customWidth="1"/>
    <col min="15874" max="15874" width="9.7109375" style="327" customWidth="1"/>
    <col min="15875" max="15875" width="12.7109375" style="327" customWidth="1"/>
    <col min="15876" max="15876" width="5.140625" style="327" customWidth="1"/>
    <col min="15877" max="15877" width="9.7109375" style="327" customWidth="1"/>
    <col min="15878" max="15878" width="12.7109375" style="327" customWidth="1"/>
    <col min="15879" max="15879" width="5.140625" style="327" customWidth="1"/>
    <col min="15880" max="15880" width="9.7109375" style="327" customWidth="1"/>
    <col min="15881" max="15881" width="12.7109375" style="327" customWidth="1"/>
    <col min="15882" max="15882" width="5.140625" style="327" customWidth="1"/>
    <col min="15883" max="15883" width="9.7109375" style="327" customWidth="1"/>
    <col min="15884" max="15884" width="12.7109375" style="327" customWidth="1"/>
    <col min="15885" max="15885" width="5.140625" style="327" customWidth="1"/>
    <col min="15886" max="15886" width="9.7109375" style="327" customWidth="1"/>
    <col min="15887" max="15887" width="12.7109375" style="327" customWidth="1"/>
    <col min="15888" max="15888" width="5.140625" style="327" customWidth="1"/>
    <col min="15889" max="15889" width="9.7109375" style="327" customWidth="1"/>
    <col min="15890" max="15890" width="12.7109375" style="327" customWidth="1"/>
    <col min="15891" max="15891" width="5.140625" style="327" customWidth="1"/>
    <col min="15892" max="15892" width="9.7109375" style="327" customWidth="1"/>
    <col min="15893" max="15893" width="12.7109375" style="327" customWidth="1"/>
    <col min="15894" max="15894" width="5.140625" style="327" customWidth="1"/>
    <col min="15895" max="15895" width="9.7109375" style="327" customWidth="1"/>
    <col min="15896" max="15896" width="12.7109375" style="327" customWidth="1"/>
    <col min="15897" max="15897" width="5.140625" style="327" customWidth="1"/>
    <col min="15898" max="15898" width="9.7109375" style="327" customWidth="1"/>
    <col min="15899" max="15899" width="12.7109375" style="327" customWidth="1"/>
    <col min="15900" max="15900" width="5.140625" style="327" customWidth="1"/>
    <col min="15901" max="15901" width="9.7109375" style="327" customWidth="1"/>
    <col min="15902" max="15902" width="12.7109375" style="327" customWidth="1"/>
    <col min="15903" max="15903" width="5.140625" style="327" customWidth="1"/>
    <col min="15904" max="15904" width="9.7109375" style="327" customWidth="1"/>
    <col min="15905" max="15905" width="12.7109375" style="327" customWidth="1"/>
    <col min="15906" max="15906" width="37.7109375" style="327" customWidth="1"/>
    <col min="15907" max="16109" width="9.140625" style="327"/>
    <col min="16110" max="16110" width="1.7109375" style="327" customWidth="1"/>
    <col min="16111" max="16111" width="3.5703125" style="327" customWidth="1"/>
    <col min="16112" max="16112" width="11" style="327" customWidth="1"/>
    <col min="16113" max="16113" width="20.7109375" style="327" customWidth="1"/>
    <col min="16114" max="16115" width="11.7109375" style="327" customWidth="1"/>
    <col min="16116" max="16116" width="9.7109375" style="327" customWidth="1"/>
    <col min="16117" max="16117" width="10.140625" style="327" bestFit="1" customWidth="1"/>
    <col min="16118" max="16119" width="7.7109375" style="327" customWidth="1"/>
    <col min="16120" max="16120" width="4" style="327" customWidth="1"/>
    <col min="16121" max="16121" width="9.7109375" style="327" customWidth="1"/>
    <col min="16122" max="16122" width="15.140625" style="327" customWidth="1"/>
    <col min="16123" max="16123" width="5.140625" style="327" customWidth="1"/>
    <col min="16124" max="16124" width="9.7109375" style="327" customWidth="1"/>
    <col min="16125" max="16125" width="13.7109375" style="327" customWidth="1"/>
    <col min="16126" max="16126" width="5.140625" style="327" customWidth="1"/>
    <col min="16127" max="16127" width="9.7109375" style="327" customWidth="1"/>
    <col min="16128" max="16128" width="12.5703125" style="327" customWidth="1"/>
    <col min="16129" max="16129" width="5.140625" style="327" customWidth="1"/>
    <col min="16130" max="16130" width="9.7109375" style="327" customWidth="1"/>
    <col min="16131" max="16131" width="12.7109375" style="327" customWidth="1"/>
    <col min="16132" max="16132" width="5.140625" style="327" customWidth="1"/>
    <col min="16133" max="16133" width="9.7109375" style="327" customWidth="1"/>
    <col min="16134" max="16134" width="12.7109375" style="327" customWidth="1"/>
    <col min="16135" max="16135" width="5.140625" style="327" customWidth="1"/>
    <col min="16136" max="16136" width="9.7109375" style="327" customWidth="1"/>
    <col min="16137" max="16137" width="12.7109375" style="327" customWidth="1"/>
    <col min="16138" max="16138" width="5.140625" style="327" customWidth="1"/>
    <col min="16139" max="16139" width="9.7109375" style="327" customWidth="1"/>
    <col min="16140" max="16140" width="12.7109375" style="327" customWidth="1"/>
    <col min="16141" max="16141" width="5.140625" style="327" customWidth="1"/>
    <col min="16142" max="16142" width="9.7109375" style="327" customWidth="1"/>
    <col min="16143" max="16143" width="12.7109375" style="327" customWidth="1"/>
    <col min="16144" max="16144" width="5.140625" style="327" customWidth="1"/>
    <col min="16145" max="16145" width="9.7109375" style="327" customWidth="1"/>
    <col min="16146" max="16146" width="12.7109375" style="327" customWidth="1"/>
    <col min="16147" max="16147" width="5.140625" style="327" customWidth="1"/>
    <col min="16148" max="16148" width="9.7109375" style="327" customWidth="1"/>
    <col min="16149" max="16149" width="12.7109375" style="327" customWidth="1"/>
    <col min="16150" max="16150" width="5.140625" style="327" customWidth="1"/>
    <col min="16151" max="16151" width="9.7109375" style="327" customWidth="1"/>
    <col min="16152" max="16152" width="12.7109375" style="327" customWidth="1"/>
    <col min="16153" max="16153" width="5.140625" style="327" customWidth="1"/>
    <col min="16154" max="16154" width="9.7109375" style="327" customWidth="1"/>
    <col min="16155" max="16155" width="12.7109375" style="327" customWidth="1"/>
    <col min="16156" max="16156" width="5.140625" style="327" customWidth="1"/>
    <col min="16157" max="16157" width="9.7109375" style="327" customWidth="1"/>
    <col min="16158" max="16158" width="12.7109375" style="327" customWidth="1"/>
    <col min="16159" max="16159" width="5.140625" style="327" customWidth="1"/>
    <col min="16160" max="16160" width="9.7109375" style="327" customWidth="1"/>
    <col min="16161" max="16161" width="12.7109375" style="327" customWidth="1"/>
    <col min="16162" max="16162" width="37.7109375" style="327" customWidth="1"/>
    <col min="16163" max="16384" width="9.140625" style="327"/>
  </cols>
  <sheetData>
    <row r="1" spans="1:34" ht="13.5" thickBot="1"/>
    <row r="2" spans="1:34" s="329" customFormat="1" ht="18" thickBot="1">
      <c r="A2" s="328"/>
      <c r="B2" s="836" t="s">
        <v>982</v>
      </c>
      <c r="C2" s="837"/>
      <c r="D2" s="837"/>
      <c r="E2" s="837"/>
      <c r="F2" s="837"/>
      <c r="G2" s="838"/>
      <c r="H2" s="839" t="s">
        <v>983</v>
      </c>
      <c r="I2" s="840"/>
      <c r="J2" s="840"/>
      <c r="K2" s="840"/>
      <c r="L2" s="841"/>
      <c r="M2" s="841"/>
      <c r="N2" s="841"/>
      <c r="O2" s="841"/>
      <c r="P2" s="841"/>
      <c r="Q2" s="841"/>
      <c r="R2" s="841"/>
      <c r="S2" s="841"/>
      <c r="T2" s="841"/>
      <c r="U2" s="841"/>
      <c r="V2" s="841"/>
      <c r="W2" s="841"/>
      <c r="X2" s="841"/>
      <c r="Y2" s="841"/>
      <c r="Z2" s="841"/>
      <c r="AA2" s="841"/>
      <c r="AB2" s="841"/>
      <c r="AC2" s="841"/>
      <c r="AD2" s="841"/>
      <c r="AE2" s="841"/>
      <c r="AF2" s="841"/>
      <c r="AG2" s="841"/>
      <c r="AH2" s="842"/>
    </row>
    <row r="3" spans="1:34" ht="15">
      <c r="B3" s="843" t="s">
        <v>984</v>
      </c>
      <c r="C3" s="845" t="s">
        <v>985</v>
      </c>
      <c r="D3" s="846"/>
      <c r="E3" s="849" t="s">
        <v>986</v>
      </c>
      <c r="F3" s="849" t="s">
        <v>987</v>
      </c>
      <c r="G3" s="851" t="s">
        <v>988</v>
      </c>
      <c r="H3" s="853" t="s">
        <v>989</v>
      </c>
      <c r="I3" s="854"/>
      <c r="J3" s="855">
        <v>44501</v>
      </c>
      <c r="K3" s="856"/>
      <c r="L3" s="834">
        <f>EDATE(J3,-1)</f>
        <v>44470</v>
      </c>
      <c r="M3" s="835"/>
      <c r="N3" s="834">
        <f>EDATE(L3,-1)</f>
        <v>44440</v>
      </c>
      <c r="O3" s="835"/>
      <c r="P3" s="834">
        <f>EDATE(N3,-1)</f>
        <v>44409</v>
      </c>
      <c r="Q3" s="835"/>
      <c r="R3" s="834">
        <f>EDATE(P3,-1)</f>
        <v>44378</v>
      </c>
      <c r="S3" s="835"/>
      <c r="T3" s="834">
        <f>EDATE(R3,-1)</f>
        <v>44348</v>
      </c>
      <c r="U3" s="835"/>
      <c r="V3" s="834">
        <f>EDATE(T3,-1)</f>
        <v>44317</v>
      </c>
      <c r="W3" s="835"/>
      <c r="X3" s="834">
        <f>EDATE(V3,-1)</f>
        <v>44287</v>
      </c>
      <c r="Y3" s="835"/>
      <c r="Z3" s="834">
        <f>EDATE(X3,-1)</f>
        <v>44256</v>
      </c>
      <c r="AA3" s="835"/>
      <c r="AB3" s="834">
        <f>EDATE(Z3,-1)</f>
        <v>44228</v>
      </c>
      <c r="AC3" s="835"/>
      <c r="AD3" s="834">
        <f>EDATE(AB3,-1)</f>
        <v>44197</v>
      </c>
      <c r="AE3" s="835"/>
      <c r="AF3" s="834">
        <f>EDATE(AD3,-1)</f>
        <v>44166</v>
      </c>
      <c r="AG3" s="835"/>
      <c r="AH3" s="859" t="s">
        <v>990</v>
      </c>
    </row>
    <row r="4" spans="1:34" ht="15">
      <c r="B4" s="844"/>
      <c r="C4" s="847"/>
      <c r="D4" s="848"/>
      <c r="E4" s="850"/>
      <c r="F4" s="850"/>
      <c r="G4" s="852"/>
      <c r="H4" s="330" t="s">
        <v>991</v>
      </c>
      <c r="I4" s="331" t="s">
        <v>986</v>
      </c>
      <c r="J4" s="332" t="s">
        <v>638</v>
      </c>
      <c r="K4" s="333" t="s">
        <v>986</v>
      </c>
      <c r="L4" s="334" t="s">
        <v>638</v>
      </c>
      <c r="M4" s="335" t="s">
        <v>986</v>
      </c>
      <c r="N4" s="334" t="s">
        <v>638</v>
      </c>
      <c r="O4" s="335" t="s">
        <v>986</v>
      </c>
      <c r="P4" s="334" t="s">
        <v>638</v>
      </c>
      <c r="Q4" s="335" t="s">
        <v>986</v>
      </c>
      <c r="R4" s="334" t="s">
        <v>638</v>
      </c>
      <c r="S4" s="335" t="s">
        <v>986</v>
      </c>
      <c r="T4" s="334" t="s">
        <v>638</v>
      </c>
      <c r="U4" s="335" t="s">
        <v>986</v>
      </c>
      <c r="V4" s="334" t="s">
        <v>638</v>
      </c>
      <c r="W4" s="335" t="s">
        <v>986</v>
      </c>
      <c r="X4" s="334" t="s">
        <v>638</v>
      </c>
      <c r="Y4" s="335" t="s">
        <v>986</v>
      </c>
      <c r="Z4" s="334" t="s">
        <v>638</v>
      </c>
      <c r="AA4" s="335" t="s">
        <v>986</v>
      </c>
      <c r="AB4" s="334" t="s">
        <v>638</v>
      </c>
      <c r="AC4" s="335" t="s">
        <v>986</v>
      </c>
      <c r="AD4" s="334" t="s">
        <v>638</v>
      </c>
      <c r="AE4" s="335" t="s">
        <v>986</v>
      </c>
      <c r="AF4" s="334" t="s">
        <v>638</v>
      </c>
      <c r="AG4" s="335" t="s">
        <v>986</v>
      </c>
      <c r="AH4" s="860"/>
    </row>
    <row r="5" spans="1:34">
      <c r="B5" s="336">
        <v>1</v>
      </c>
      <c r="C5" s="857" t="s">
        <v>1224</v>
      </c>
      <c r="D5" s="858"/>
      <c r="E5" s="337">
        <v>26740</v>
      </c>
      <c r="F5" s="337" t="s">
        <v>1229</v>
      </c>
      <c r="G5" s="337" t="s">
        <v>1230</v>
      </c>
      <c r="H5" s="338">
        <f t="shared" ref="H5:H9" si="0">COUNT(J5,L5,N5,P5,R5,T5,V5,X5,Z5,AB5,AD5,AF5)</f>
        <v>0</v>
      </c>
      <c r="I5" s="338">
        <f t="shared" ref="I5:I9" si="1">SUM(K5,M5,O5,Q5,S5,U5,W5,AE5,Y5,AA5,AC5,AG5)</f>
        <v>0</v>
      </c>
      <c r="J5" s="339"/>
      <c r="K5" s="339"/>
      <c r="L5" s="339"/>
      <c r="M5" s="339"/>
      <c r="N5" s="339"/>
      <c r="O5" s="339"/>
      <c r="P5" s="339"/>
      <c r="Q5" s="339"/>
      <c r="R5" s="339"/>
      <c r="S5" s="339"/>
      <c r="T5" s="339"/>
      <c r="U5" s="339"/>
      <c r="V5" s="339"/>
      <c r="W5" s="339"/>
      <c r="X5" s="339"/>
      <c r="Y5" s="339"/>
      <c r="Z5" s="339"/>
      <c r="AA5" s="339"/>
      <c r="AB5" s="339"/>
      <c r="AC5" s="339"/>
      <c r="AD5" s="339"/>
      <c r="AE5" s="339"/>
      <c r="AF5" s="339"/>
      <c r="AG5" s="339"/>
      <c r="AH5" s="340"/>
    </row>
    <row r="6" spans="1:34">
      <c r="B6" s="336">
        <v>2</v>
      </c>
      <c r="C6" s="857" t="s">
        <v>1225</v>
      </c>
      <c r="D6" s="858"/>
      <c r="E6" s="337">
        <v>917</v>
      </c>
      <c r="F6" s="337" t="s">
        <v>1229</v>
      </c>
      <c r="G6" s="337" t="s">
        <v>1230</v>
      </c>
      <c r="H6" s="338">
        <f t="shared" si="0"/>
        <v>0</v>
      </c>
      <c r="I6" s="338">
        <f t="shared" si="1"/>
        <v>0</v>
      </c>
      <c r="J6" s="339"/>
      <c r="K6" s="339"/>
      <c r="L6" s="339"/>
      <c r="M6" s="339"/>
      <c r="N6" s="339"/>
      <c r="O6" s="339"/>
      <c r="P6" s="339"/>
      <c r="Q6" s="339"/>
      <c r="R6" s="339"/>
      <c r="S6" s="339"/>
      <c r="T6" s="339"/>
      <c r="U6" s="339"/>
      <c r="V6" s="339"/>
      <c r="W6" s="339"/>
      <c r="X6" s="339"/>
      <c r="Y6" s="339"/>
      <c r="Z6" s="339"/>
      <c r="AA6" s="339"/>
      <c r="AB6" s="339"/>
      <c r="AC6" s="339"/>
      <c r="AD6" s="339"/>
      <c r="AE6" s="339"/>
      <c r="AF6" s="339"/>
      <c r="AG6" s="339"/>
      <c r="AH6" s="340"/>
    </row>
    <row r="7" spans="1:34">
      <c r="B7" s="336">
        <v>3</v>
      </c>
      <c r="C7" s="857" t="s">
        <v>1226</v>
      </c>
      <c r="D7" s="858"/>
      <c r="E7" s="337">
        <v>4089</v>
      </c>
      <c r="F7" s="337" t="s">
        <v>1229</v>
      </c>
      <c r="G7" s="337" t="s">
        <v>1230</v>
      </c>
      <c r="H7" s="338">
        <f t="shared" si="0"/>
        <v>0</v>
      </c>
      <c r="I7" s="338">
        <f t="shared" si="1"/>
        <v>0</v>
      </c>
      <c r="J7" s="339"/>
      <c r="K7" s="339"/>
      <c r="L7" s="339"/>
      <c r="M7" s="339"/>
      <c r="N7" s="339"/>
      <c r="O7" s="339"/>
      <c r="P7" s="339"/>
      <c r="Q7" s="339"/>
      <c r="R7" s="339"/>
      <c r="S7" s="339"/>
      <c r="T7" s="339"/>
      <c r="U7" s="339"/>
      <c r="V7" s="339"/>
      <c r="W7" s="339"/>
      <c r="X7" s="339"/>
      <c r="Y7" s="339"/>
      <c r="Z7" s="339"/>
      <c r="AA7" s="339"/>
      <c r="AB7" s="339"/>
      <c r="AC7" s="339"/>
      <c r="AD7" s="339"/>
      <c r="AE7" s="339"/>
      <c r="AF7" s="339"/>
      <c r="AG7" s="339"/>
      <c r="AH7" s="340"/>
    </row>
    <row r="8" spans="1:34">
      <c r="B8" s="336">
        <v>4</v>
      </c>
      <c r="C8" s="857" t="s">
        <v>1227</v>
      </c>
      <c r="D8" s="858"/>
      <c r="E8" s="337">
        <v>140422</v>
      </c>
      <c r="F8" s="337" t="s">
        <v>1229</v>
      </c>
      <c r="G8" s="337" t="s">
        <v>1230</v>
      </c>
      <c r="H8" s="338">
        <f t="shared" si="0"/>
        <v>0</v>
      </c>
      <c r="I8" s="338">
        <f t="shared" si="1"/>
        <v>0</v>
      </c>
      <c r="J8" s="339"/>
      <c r="K8" s="339"/>
      <c r="L8" s="339"/>
      <c r="M8" s="339"/>
      <c r="N8" s="339"/>
      <c r="O8" s="339"/>
      <c r="P8" s="339"/>
      <c r="Q8" s="339"/>
      <c r="R8" s="339"/>
      <c r="S8" s="339"/>
      <c r="T8" s="339"/>
      <c r="U8" s="339"/>
      <c r="V8" s="339"/>
      <c r="W8" s="339"/>
      <c r="X8" s="339"/>
      <c r="Y8" s="339"/>
      <c r="Z8" s="339"/>
      <c r="AA8" s="339"/>
      <c r="AB8" s="339"/>
      <c r="AC8" s="339"/>
      <c r="AD8" s="339"/>
      <c r="AE8" s="339"/>
      <c r="AF8" s="339"/>
      <c r="AG8" s="339"/>
      <c r="AH8" s="340"/>
    </row>
    <row r="9" spans="1:34">
      <c r="B9" s="336">
        <v>5</v>
      </c>
      <c r="C9" s="857" t="s">
        <v>1228</v>
      </c>
      <c r="D9" s="858"/>
      <c r="E9" s="337">
        <v>4196</v>
      </c>
      <c r="F9" s="337" t="s">
        <v>1229</v>
      </c>
      <c r="G9" s="337" t="s">
        <v>1230</v>
      </c>
      <c r="H9" s="338">
        <f t="shared" si="0"/>
        <v>0</v>
      </c>
      <c r="I9" s="338">
        <f t="shared" si="1"/>
        <v>0</v>
      </c>
      <c r="J9" s="339"/>
      <c r="K9" s="339"/>
      <c r="L9" s="339"/>
      <c r="M9" s="339"/>
      <c r="N9" s="339"/>
      <c r="O9" s="339"/>
      <c r="P9" s="339"/>
      <c r="Q9" s="339"/>
      <c r="R9" s="339"/>
      <c r="S9" s="339"/>
      <c r="T9" s="339"/>
      <c r="U9" s="339"/>
      <c r="V9" s="339"/>
      <c r="W9" s="339"/>
      <c r="X9" s="339"/>
      <c r="Y9" s="339"/>
      <c r="Z9" s="339"/>
      <c r="AA9" s="339"/>
      <c r="AB9" s="339"/>
      <c r="AC9" s="339"/>
      <c r="AD9" s="339"/>
      <c r="AE9" s="339"/>
      <c r="AF9" s="339"/>
      <c r="AG9" s="339"/>
      <c r="AH9" s="340"/>
    </row>
    <row r="10" spans="1:34" ht="13.5" thickBot="1">
      <c r="B10" s="336"/>
      <c r="C10" s="857"/>
      <c r="D10" s="858"/>
      <c r="E10" s="337"/>
      <c r="F10" s="337"/>
      <c r="G10" s="337"/>
      <c r="H10" s="338">
        <f t="shared" ref="H10" si="2">COUNT(J10,L10,N10,P10,R10,T10,V10,X10,Z10,AB10,AD10,AF10)</f>
        <v>0</v>
      </c>
      <c r="I10" s="338">
        <f>SUM(K10,M10,O10,Q10,S10,U10,W10,AE10,Y10,AA10,AC10,AG10)</f>
        <v>0</v>
      </c>
      <c r="J10" s="339"/>
      <c r="K10" s="339"/>
      <c r="L10" s="339"/>
      <c r="M10" s="339"/>
      <c r="N10" s="339"/>
      <c r="O10" s="339"/>
      <c r="P10" s="339"/>
      <c r="Q10" s="339"/>
      <c r="R10" s="339"/>
      <c r="S10" s="339"/>
      <c r="T10" s="339"/>
      <c r="U10" s="339"/>
      <c r="V10" s="339"/>
      <c r="W10" s="339"/>
      <c r="X10" s="339"/>
      <c r="Y10" s="339"/>
      <c r="Z10" s="339"/>
      <c r="AA10" s="339"/>
      <c r="AB10" s="339"/>
      <c r="AC10" s="339"/>
      <c r="AD10" s="339"/>
      <c r="AE10" s="339"/>
      <c r="AF10" s="339"/>
      <c r="AG10" s="339"/>
      <c r="AH10" s="340"/>
    </row>
    <row r="11" spans="1:34" ht="15.75" thickBot="1">
      <c r="B11" s="861" t="s">
        <v>145</v>
      </c>
      <c r="C11" s="862"/>
      <c r="D11" s="341">
        <f>SUBTOTAL(103,C$10:$C$10)</f>
        <v>0</v>
      </c>
      <c r="E11" s="342">
        <f>SUBTOTAL(109,E$10:$E$10)</f>
        <v>0</v>
      </c>
      <c r="F11" s="342"/>
      <c r="G11" s="342"/>
      <c r="H11" s="343">
        <f>SUBTOTAL(109,H$10:$H$10)</f>
        <v>0</v>
      </c>
      <c r="I11" s="343">
        <f>SUBTOTAL(109,I$10:$I$10)</f>
        <v>0</v>
      </c>
      <c r="J11" s="343">
        <f>SUBTOTAL(103,J$10:$J$10)</f>
        <v>0</v>
      </c>
      <c r="K11" s="343">
        <f>SUBTOTAL(109,K$10:$K$10)</f>
        <v>0</v>
      </c>
      <c r="L11" s="343">
        <f>SUBTOTAL(103,L$10:$L$10)</f>
        <v>0</v>
      </c>
      <c r="M11" s="343">
        <f>SUBTOTAL(109,M$10:$M$10)</f>
        <v>0</v>
      </c>
      <c r="N11" s="343">
        <f>SUBTOTAL(103,N$10:$N$10)</f>
        <v>0</v>
      </c>
      <c r="O11" s="343">
        <f>SUBTOTAL(109,O$10:$O$10)</f>
        <v>0</v>
      </c>
      <c r="P11" s="343">
        <f>SUBTOTAL(103,P$10:$P$10)</f>
        <v>0</v>
      </c>
      <c r="Q11" s="343">
        <f>SUBTOTAL(109,Q$10:$Q$10)</f>
        <v>0</v>
      </c>
      <c r="R11" s="343">
        <f>SUBTOTAL(103,R$10:$R$10)</f>
        <v>0</v>
      </c>
      <c r="S11" s="343">
        <f>SUBTOTAL(109,S$10:$S$10)</f>
        <v>0</v>
      </c>
      <c r="T11" s="343">
        <f>SUBTOTAL(103,T$10:$T$10)</f>
        <v>0</v>
      </c>
      <c r="U11" s="343">
        <f>SUBTOTAL(109,U$10:$U$10)</f>
        <v>0</v>
      </c>
      <c r="V11" s="343">
        <f>SUBTOTAL(103,V$10:$V$10)</f>
        <v>0</v>
      </c>
      <c r="W11" s="343">
        <f>SUBTOTAL(109,W$10:$W$10)</f>
        <v>0</v>
      </c>
      <c r="X11" s="343">
        <f>SUBTOTAL(103,X$10:$X$10)</f>
        <v>0</v>
      </c>
      <c r="Y11" s="343">
        <f>SUBTOTAL(109,Y$10:$Y$10)</f>
        <v>0</v>
      </c>
      <c r="Z11" s="343">
        <f>SUBTOTAL(103,Z$10:$Z$10)</f>
        <v>0</v>
      </c>
      <c r="AA11" s="343">
        <f>SUBTOTAL(109,AA$10:$AA$10)</f>
        <v>0</v>
      </c>
      <c r="AB11" s="343">
        <f>SUBTOTAL(103,AB$10:$AB$10)</f>
        <v>0</v>
      </c>
      <c r="AC11" s="343">
        <f>SUBTOTAL(109,AC$10:$AC$10)</f>
        <v>0</v>
      </c>
      <c r="AD11" s="343">
        <f>SUBTOTAL(103,AD$10:$AD$10)</f>
        <v>0</v>
      </c>
      <c r="AE11" s="343">
        <f>SUBTOTAL(109,AE$10:$AE$10)</f>
        <v>0</v>
      </c>
      <c r="AF11" s="343">
        <f>SUBTOTAL(103,AF$10:$AF$10)</f>
        <v>0</v>
      </c>
      <c r="AG11" s="343">
        <f>SUBTOTAL(109,AG$10:$AG$10)</f>
        <v>0</v>
      </c>
      <c r="AH11" s="344">
        <f>SUBTOTAL(103,AH$10:$AH$10)</f>
        <v>0</v>
      </c>
    </row>
    <row r="12" spans="1:34" ht="13.5" thickBot="1"/>
    <row r="13" spans="1:34" s="329" customFormat="1" ht="18" thickBot="1">
      <c r="A13" s="328">
        <v>2</v>
      </c>
      <c r="B13" s="836" t="s">
        <v>992</v>
      </c>
      <c r="C13" s="837"/>
      <c r="D13" s="837"/>
      <c r="E13" s="837"/>
      <c r="F13" s="837"/>
      <c r="G13" s="838"/>
      <c r="H13" s="863" t="s">
        <v>993</v>
      </c>
      <c r="I13" s="837"/>
      <c r="J13" s="837"/>
      <c r="K13" s="837"/>
      <c r="L13" s="837"/>
      <c r="M13" s="837"/>
      <c r="N13" s="837"/>
      <c r="O13" s="837"/>
      <c r="P13" s="837"/>
      <c r="Q13" s="837"/>
      <c r="R13" s="837"/>
      <c r="S13" s="837"/>
      <c r="T13" s="837"/>
      <c r="U13" s="838"/>
    </row>
    <row r="14" spans="1:34" ht="15">
      <c r="B14" s="843" t="s">
        <v>984</v>
      </c>
      <c r="C14" s="845" t="s">
        <v>994</v>
      </c>
      <c r="D14" s="846"/>
      <c r="E14" s="845" t="s">
        <v>988</v>
      </c>
      <c r="F14" s="864"/>
      <c r="G14" s="865"/>
      <c r="H14" s="853" t="s">
        <v>995</v>
      </c>
      <c r="I14" s="854"/>
      <c r="J14" s="855">
        <f>J3</f>
        <v>44501</v>
      </c>
      <c r="K14" s="856"/>
      <c r="L14" s="868">
        <f>EDATE(J14,-1)</f>
        <v>44470</v>
      </c>
      <c r="M14" s="869"/>
      <c r="N14" s="868">
        <f>EDATE(L14,-1)</f>
        <v>44440</v>
      </c>
      <c r="O14" s="869"/>
      <c r="P14" s="868">
        <f>EDATE(N14,-1)</f>
        <v>44409</v>
      </c>
      <c r="Q14" s="869"/>
      <c r="R14" s="868">
        <f>EDATE(P14,-1)</f>
        <v>44378</v>
      </c>
      <c r="S14" s="869"/>
      <c r="T14" s="868">
        <f>EDATE(R14,-1)</f>
        <v>44348</v>
      </c>
      <c r="U14" s="856"/>
    </row>
    <row r="15" spans="1:34" ht="15">
      <c r="B15" s="844"/>
      <c r="C15" s="847"/>
      <c r="D15" s="848"/>
      <c r="E15" s="847"/>
      <c r="F15" s="866"/>
      <c r="G15" s="867"/>
      <c r="H15" s="330" t="s">
        <v>991</v>
      </c>
      <c r="I15" s="331" t="s">
        <v>996</v>
      </c>
      <c r="J15" s="332" t="s">
        <v>991</v>
      </c>
      <c r="K15" s="333" t="s">
        <v>996</v>
      </c>
      <c r="L15" s="334" t="s">
        <v>991</v>
      </c>
      <c r="M15" s="335" t="s">
        <v>996</v>
      </c>
      <c r="N15" s="334" t="s">
        <v>991</v>
      </c>
      <c r="O15" s="335" t="s">
        <v>996</v>
      </c>
      <c r="P15" s="334" t="s">
        <v>991</v>
      </c>
      <c r="Q15" s="335" t="s">
        <v>996</v>
      </c>
      <c r="R15" s="334" t="s">
        <v>991</v>
      </c>
      <c r="S15" s="335" t="s">
        <v>996</v>
      </c>
      <c r="T15" s="334" t="s">
        <v>991</v>
      </c>
      <c r="U15" s="333" t="s">
        <v>996</v>
      </c>
    </row>
    <row r="16" spans="1:34">
      <c r="B16" s="336">
        <v>1</v>
      </c>
      <c r="C16" s="827" t="s">
        <v>997</v>
      </c>
      <c r="D16" s="827"/>
      <c r="E16" s="833" t="s">
        <v>943</v>
      </c>
      <c r="F16" s="833"/>
      <c r="G16" s="833"/>
      <c r="H16" s="345">
        <f>SUM(J16,L16,N16,P16,R16,T16)</f>
        <v>0</v>
      </c>
      <c r="I16" s="345">
        <f>SUM(K16,M16,O16,Q16,S16,U16)</f>
        <v>0</v>
      </c>
      <c r="J16" s="346">
        <v>0</v>
      </c>
      <c r="K16" s="346">
        <v>0</v>
      </c>
      <c r="L16" s="346">
        <v>0</v>
      </c>
      <c r="M16" s="346">
        <v>0</v>
      </c>
      <c r="N16" s="346">
        <v>0</v>
      </c>
      <c r="O16" s="346">
        <v>0</v>
      </c>
      <c r="P16" s="346">
        <v>0</v>
      </c>
      <c r="Q16" s="346">
        <v>0</v>
      </c>
      <c r="R16" s="346">
        <v>0</v>
      </c>
      <c r="S16" s="346">
        <v>0</v>
      </c>
      <c r="T16" s="346">
        <v>0</v>
      </c>
      <c r="U16" s="347">
        <v>0</v>
      </c>
    </row>
    <row r="17" spans="2:21">
      <c r="B17" s="336">
        <v>2</v>
      </c>
      <c r="C17" s="827" t="s">
        <v>998</v>
      </c>
      <c r="D17" s="827"/>
      <c r="E17" s="833" t="s">
        <v>943</v>
      </c>
      <c r="F17" s="833"/>
      <c r="G17" s="833"/>
      <c r="H17" s="345">
        <f t="shared" ref="H17:I51" si="3">SUM(J17,L17,N17,P17,R17,T17)</f>
        <v>0</v>
      </c>
      <c r="I17" s="345">
        <f t="shared" si="3"/>
        <v>0</v>
      </c>
      <c r="J17" s="346">
        <v>0</v>
      </c>
      <c r="K17" s="346">
        <v>0</v>
      </c>
      <c r="L17" s="346">
        <v>0</v>
      </c>
      <c r="M17" s="346">
        <v>0</v>
      </c>
      <c r="N17" s="346">
        <v>0</v>
      </c>
      <c r="O17" s="346">
        <v>0</v>
      </c>
      <c r="P17" s="346">
        <v>0</v>
      </c>
      <c r="Q17" s="346">
        <v>0</v>
      </c>
      <c r="R17" s="346">
        <v>0</v>
      </c>
      <c r="S17" s="346">
        <v>0</v>
      </c>
      <c r="T17" s="346">
        <v>0</v>
      </c>
      <c r="U17" s="347">
        <v>0</v>
      </c>
    </row>
    <row r="18" spans="2:21">
      <c r="B18" s="336">
        <v>3</v>
      </c>
      <c r="C18" s="827" t="s">
        <v>999</v>
      </c>
      <c r="D18" s="827"/>
      <c r="E18" s="828" t="s">
        <v>943</v>
      </c>
      <c r="F18" s="829"/>
      <c r="G18" s="830"/>
      <c r="H18" s="345">
        <f t="shared" si="3"/>
        <v>0</v>
      </c>
      <c r="I18" s="345">
        <f t="shared" si="3"/>
        <v>0</v>
      </c>
      <c r="J18" s="346">
        <v>0</v>
      </c>
      <c r="K18" s="346">
        <v>0</v>
      </c>
      <c r="L18" s="346">
        <v>0</v>
      </c>
      <c r="M18" s="346">
        <v>0</v>
      </c>
      <c r="N18" s="346">
        <v>0</v>
      </c>
      <c r="O18" s="346">
        <v>0</v>
      </c>
      <c r="P18" s="346">
        <v>0</v>
      </c>
      <c r="Q18" s="346">
        <v>0</v>
      </c>
      <c r="R18" s="346">
        <v>0</v>
      </c>
      <c r="S18" s="346">
        <v>0</v>
      </c>
      <c r="T18" s="346">
        <v>0</v>
      </c>
      <c r="U18" s="347">
        <v>0</v>
      </c>
    </row>
    <row r="19" spans="2:21">
      <c r="B19" s="336">
        <v>4</v>
      </c>
      <c r="C19" s="827" t="s">
        <v>1000</v>
      </c>
      <c r="D19" s="827"/>
      <c r="E19" s="828" t="s">
        <v>943</v>
      </c>
      <c r="F19" s="829"/>
      <c r="G19" s="830"/>
      <c r="H19" s="345">
        <f t="shared" si="3"/>
        <v>0</v>
      </c>
      <c r="I19" s="345">
        <f t="shared" si="3"/>
        <v>0</v>
      </c>
      <c r="J19" s="346">
        <v>0</v>
      </c>
      <c r="K19" s="346">
        <v>0</v>
      </c>
      <c r="L19" s="346">
        <v>0</v>
      </c>
      <c r="M19" s="346">
        <v>0</v>
      </c>
      <c r="N19" s="346">
        <v>0</v>
      </c>
      <c r="O19" s="346">
        <v>0</v>
      </c>
      <c r="P19" s="346">
        <v>0</v>
      </c>
      <c r="Q19" s="346">
        <v>0</v>
      </c>
      <c r="R19" s="346">
        <v>0</v>
      </c>
      <c r="S19" s="346">
        <v>0</v>
      </c>
      <c r="T19" s="346">
        <v>0</v>
      </c>
      <c r="U19" s="347">
        <v>0</v>
      </c>
    </row>
    <row r="20" spans="2:21">
      <c r="B20" s="336">
        <v>5</v>
      </c>
      <c r="C20" s="831" t="s">
        <v>1001</v>
      </c>
      <c r="D20" s="832"/>
      <c r="E20" s="828" t="s">
        <v>943</v>
      </c>
      <c r="F20" s="829"/>
      <c r="G20" s="830"/>
      <c r="H20" s="345">
        <f t="shared" si="3"/>
        <v>0</v>
      </c>
      <c r="I20" s="345">
        <f t="shared" si="3"/>
        <v>0</v>
      </c>
      <c r="J20" s="346">
        <v>0</v>
      </c>
      <c r="K20" s="346">
        <v>0</v>
      </c>
      <c r="L20" s="346">
        <v>0</v>
      </c>
      <c r="M20" s="346">
        <v>0</v>
      </c>
      <c r="N20" s="346">
        <v>0</v>
      </c>
      <c r="O20" s="346">
        <v>0</v>
      </c>
      <c r="P20" s="346">
        <v>0</v>
      </c>
      <c r="Q20" s="346">
        <v>0</v>
      </c>
      <c r="R20" s="346">
        <v>0</v>
      </c>
      <c r="S20" s="346">
        <v>0</v>
      </c>
      <c r="T20" s="346">
        <v>0</v>
      </c>
      <c r="U20" s="347">
        <v>0</v>
      </c>
    </row>
    <row r="21" spans="2:21">
      <c r="B21" s="336">
        <v>1</v>
      </c>
      <c r="C21" s="827" t="s">
        <v>997</v>
      </c>
      <c r="D21" s="827"/>
      <c r="E21" s="833" t="s">
        <v>944</v>
      </c>
      <c r="F21" s="833"/>
      <c r="G21" s="833"/>
      <c r="H21" s="345">
        <f>SUM(J21,L21,N21,P21,R21,T21)</f>
        <v>0</v>
      </c>
      <c r="I21" s="345">
        <f>SUM(K21,M21,O21,Q21,S21,U21)</f>
        <v>0</v>
      </c>
      <c r="J21" s="346">
        <v>0</v>
      </c>
      <c r="K21" s="346">
        <v>0</v>
      </c>
      <c r="L21" s="346">
        <v>0</v>
      </c>
      <c r="M21" s="346">
        <v>0</v>
      </c>
      <c r="N21" s="346">
        <v>0</v>
      </c>
      <c r="O21" s="346">
        <v>0</v>
      </c>
      <c r="P21" s="346">
        <v>0</v>
      </c>
      <c r="Q21" s="346">
        <v>0</v>
      </c>
      <c r="R21" s="346">
        <v>0</v>
      </c>
      <c r="S21" s="346">
        <v>0</v>
      </c>
      <c r="T21" s="346">
        <v>0</v>
      </c>
      <c r="U21" s="347">
        <v>0</v>
      </c>
    </row>
    <row r="22" spans="2:21">
      <c r="B22" s="336">
        <v>2</v>
      </c>
      <c r="C22" s="827" t="s">
        <v>998</v>
      </c>
      <c r="D22" s="827"/>
      <c r="E22" s="833" t="s">
        <v>944</v>
      </c>
      <c r="F22" s="833"/>
      <c r="G22" s="833"/>
      <c r="H22" s="345">
        <f t="shared" ref="H22:I25" si="4">SUM(J22,L22,N22,P22,R22,T22)</f>
        <v>0</v>
      </c>
      <c r="I22" s="345">
        <f t="shared" si="4"/>
        <v>0</v>
      </c>
      <c r="J22" s="346">
        <v>0</v>
      </c>
      <c r="K22" s="346">
        <v>0</v>
      </c>
      <c r="L22" s="346">
        <v>0</v>
      </c>
      <c r="M22" s="346">
        <v>0</v>
      </c>
      <c r="N22" s="346">
        <v>0</v>
      </c>
      <c r="O22" s="346">
        <v>0</v>
      </c>
      <c r="P22" s="346">
        <v>0</v>
      </c>
      <c r="Q22" s="346">
        <v>0</v>
      </c>
      <c r="R22" s="346">
        <v>0</v>
      </c>
      <c r="S22" s="346">
        <v>0</v>
      </c>
      <c r="T22" s="346">
        <v>0</v>
      </c>
      <c r="U22" s="347">
        <v>0</v>
      </c>
    </row>
    <row r="23" spans="2:21">
      <c r="B23" s="336">
        <v>3</v>
      </c>
      <c r="C23" s="827" t="s">
        <v>999</v>
      </c>
      <c r="D23" s="827"/>
      <c r="E23" s="828" t="s">
        <v>944</v>
      </c>
      <c r="F23" s="829"/>
      <c r="G23" s="830"/>
      <c r="H23" s="345">
        <f t="shared" si="4"/>
        <v>0</v>
      </c>
      <c r="I23" s="345">
        <f t="shared" si="4"/>
        <v>0</v>
      </c>
      <c r="J23" s="346">
        <v>0</v>
      </c>
      <c r="K23" s="346">
        <v>0</v>
      </c>
      <c r="L23" s="346">
        <v>0</v>
      </c>
      <c r="M23" s="346">
        <v>0</v>
      </c>
      <c r="N23" s="346">
        <v>0</v>
      </c>
      <c r="O23" s="346">
        <v>0</v>
      </c>
      <c r="P23" s="346">
        <v>0</v>
      </c>
      <c r="Q23" s="346">
        <v>0</v>
      </c>
      <c r="R23" s="346">
        <v>0</v>
      </c>
      <c r="S23" s="346">
        <v>0</v>
      </c>
      <c r="T23" s="346">
        <v>0</v>
      </c>
      <c r="U23" s="347">
        <v>0</v>
      </c>
    </row>
    <row r="24" spans="2:21">
      <c r="B24" s="336">
        <v>4</v>
      </c>
      <c r="C24" s="827" t="s">
        <v>1000</v>
      </c>
      <c r="D24" s="827"/>
      <c r="E24" s="828" t="s">
        <v>944</v>
      </c>
      <c r="F24" s="829"/>
      <c r="G24" s="830"/>
      <c r="H24" s="345">
        <f t="shared" si="4"/>
        <v>0</v>
      </c>
      <c r="I24" s="345">
        <f t="shared" si="4"/>
        <v>0</v>
      </c>
      <c r="J24" s="346">
        <v>0</v>
      </c>
      <c r="K24" s="346">
        <v>0</v>
      </c>
      <c r="L24" s="346">
        <v>0</v>
      </c>
      <c r="M24" s="346">
        <v>0</v>
      </c>
      <c r="N24" s="346">
        <v>0</v>
      </c>
      <c r="O24" s="346">
        <v>0</v>
      </c>
      <c r="P24" s="346">
        <v>0</v>
      </c>
      <c r="Q24" s="346">
        <v>0</v>
      </c>
      <c r="R24" s="346">
        <v>0</v>
      </c>
      <c r="S24" s="346">
        <v>0</v>
      </c>
      <c r="T24" s="346">
        <v>0</v>
      </c>
      <c r="U24" s="347">
        <v>0</v>
      </c>
    </row>
    <row r="25" spans="2:21">
      <c r="B25" s="336">
        <v>5</v>
      </c>
      <c r="C25" s="831" t="s">
        <v>1001</v>
      </c>
      <c r="D25" s="832"/>
      <c r="E25" s="828" t="s">
        <v>944</v>
      </c>
      <c r="F25" s="829"/>
      <c r="G25" s="830"/>
      <c r="H25" s="345">
        <f t="shared" si="4"/>
        <v>0</v>
      </c>
      <c r="I25" s="345">
        <f t="shared" si="4"/>
        <v>0</v>
      </c>
      <c r="J25" s="346">
        <v>0</v>
      </c>
      <c r="K25" s="346">
        <v>0</v>
      </c>
      <c r="L25" s="346">
        <v>0</v>
      </c>
      <c r="M25" s="346">
        <v>0</v>
      </c>
      <c r="N25" s="346">
        <v>0</v>
      </c>
      <c r="O25" s="346">
        <v>0</v>
      </c>
      <c r="P25" s="346">
        <v>0</v>
      </c>
      <c r="Q25" s="346">
        <v>0</v>
      </c>
      <c r="R25" s="346">
        <v>0</v>
      </c>
      <c r="S25" s="346">
        <v>0</v>
      </c>
      <c r="T25" s="346">
        <v>0</v>
      </c>
      <c r="U25" s="347">
        <v>0</v>
      </c>
    </row>
    <row r="26" spans="2:21">
      <c r="B26" s="336">
        <v>1</v>
      </c>
      <c r="C26" s="827" t="s">
        <v>997</v>
      </c>
      <c r="D26" s="827"/>
      <c r="E26" s="833" t="s">
        <v>945</v>
      </c>
      <c r="F26" s="833"/>
      <c r="G26" s="833"/>
      <c r="H26" s="345">
        <f>SUM(J26,L26,N26,P26,R26,T26)</f>
        <v>0</v>
      </c>
      <c r="I26" s="345">
        <f>SUM(K26,M26,O26,Q26,S26,U26)</f>
        <v>0</v>
      </c>
      <c r="J26" s="346">
        <v>0</v>
      </c>
      <c r="K26" s="346">
        <v>0</v>
      </c>
      <c r="L26" s="346">
        <v>0</v>
      </c>
      <c r="M26" s="346">
        <v>0</v>
      </c>
      <c r="N26" s="346">
        <v>0</v>
      </c>
      <c r="O26" s="346">
        <v>0</v>
      </c>
      <c r="P26" s="346">
        <v>0</v>
      </c>
      <c r="Q26" s="346">
        <v>0</v>
      </c>
      <c r="R26" s="346">
        <v>0</v>
      </c>
      <c r="S26" s="346">
        <v>0</v>
      </c>
      <c r="T26" s="346">
        <v>0</v>
      </c>
      <c r="U26" s="347">
        <v>0</v>
      </c>
    </row>
    <row r="27" spans="2:21">
      <c r="B27" s="336">
        <v>2</v>
      </c>
      <c r="C27" s="827" t="s">
        <v>998</v>
      </c>
      <c r="D27" s="827"/>
      <c r="E27" s="833" t="s">
        <v>945</v>
      </c>
      <c r="F27" s="833"/>
      <c r="G27" s="833"/>
      <c r="H27" s="345">
        <f t="shared" ref="H27:I30" si="5">SUM(J27,L27,N27,P27,R27,T27)</f>
        <v>0</v>
      </c>
      <c r="I27" s="345">
        <f t="shared" si="5"/>
        <v>0</v>
      </c>
      <c r="J27" s="346">
        <v>0</v>
      </c>
      <c r="K27" s="346">
        <v>0</v>
      </c>
      <c r="L27" s="346">
        <v>0</v>
      </c>
      <c r="M27" s="346">
        <v>0</v>
      </c>
      <c r="N27" s="346">
        <v>0</v>
      </c>
      <c r="O27" s="346">
        <v>0</v>
      </c>
      <c r="P27" s="346">
        <v>0</v>
      </c>
      <c r="Q27" s="346">
        <v>0</v>
      </c>
      <c r="R27" s="346">
        <v>0</v>
      </c>
      <c r="S27" s="346">
        <v>0</v>
      </c>
      <c r="T27" s="346">
        <v>0</v>
      </c>
      <c r="U27" s="347">
        <v>0</v>
      </c>
    </row>
    <row r="28" spans="2:21">
      <c r="B28" s="336">
        <v>3</v>
      </c>
      <c r="C28" s="827" t="s">
        <v>999</v>
      </c>
      <c r="D28" s="827"/>
      <c r="E28" s="828" t="s">
        <v>945</v>
      </c>
      <c r="F28" s="829"/>
      <c r="G28" s="830"/>
      <c r="H28" s="345">
        <f t="shared" si="5"/>
        <v>0</v>
      </c>
      <c r="I28" s="345">
        <f t="shared" si="5"/>
        <v>0</v>
      </c>
      <c r="J28" s="346">
        <v>0</v>
      </c>
      <c r="K28" s="346">
        <v>0</v>
      </c>
      <c r="L28" s="346">
        <v>0</v>
      </c>
      <c r="M28" s="346">
        <v>0</v>
      </c>
      <c r="N28" s="346">
        <v>0</v>
      </c>
      <c r="O28" s="346">
        <v>0</v>
      </c>
      <c r="P28" s="346">
        <v>0</v>
      </c>
      <c r="Q28" s="346">
        <v>0</v>
      </c>
      <c r="R28" s="346">
        <v>0</v>
      </c>
      <c r="S28" s="346">
        <v>0</v>
      </c>
      <c r="T28" s="346">
        <v>0</v>
      </c>
      <c r="U28" s="347">
        <v>0</v>
      </c>
    </row>
    <row r="29" spans="2:21">
      <c r="B29" s="336">
        <v>4</v>
      </c>
      <c r="C29" s="827" t="s">
        <v>1000</v>
      </c>
      <c r="D29" s="827"/>
      <c r="E29" s="828" t="s">
        <v>945</v>
      </c>
      <c r="F29" s="829"/>
      <c r="G29" s="830"/>
      <c r="H29" s="345">
        <f t="shared" si="5"/>
        <v>0</v>
      </c>
      <c r="I29" s="345">
        <f t="shared" si="5"/>
        <v>0</v>
      </c>
      <c r="J29" s="346">
        <v>0</v>
      </c>
      <c r="K29" s="346">
        <v>0</v>
      </c>
      <c r="L29" s="346">
        <v>0</v>
      </c>
      <c r="M29" s="346">
        <v>0</v>
      </c>
      <c r="N29" s="346">
        <v>0</v>
      </c>
      <c r="O29" s="346">
        <v>0</v>
      </c>
      <c r="P29" s="346">
        <v>0</v>
      </c>
      <c r="Q29" s="346">
        <v>0</v>
      </c>
      <c r="R29" s="346">
        <v>0</v>
      </c>
      <c r="S29" s="346">
        <v>0</v>
      </c>
      <c r="T29" s="346">
        <v>0</v>
      </c>
      <c r="U29" s="347">
        <v>0</v>
      </c>
    </row>
    <row r="30" spans="2:21">
      <c r="B30" s="336">
        <v>5</v>
      </c>
      <c r="C30" s="831" t="s">
        <v>1001</v>
      </c>
      <c r="D30" s="832"/>
      <c r="E30" s="828" t="s">
        <v>945</v>
      </c>
      <c r="F30" s="829"/>
      <c r="G30" s="830"/>
      <c r="H30" s="345">
        <f t="shared" si="5"/>
        <v>0</v>
      </c>
      <c r="I30" s="345">
        <f t="shared" si="5"/>
        <v>0</v>
      </c>
      <c r="J30" s="346">
        <v>0</v>
      </c>
      <c r="K30" s="346">
        <v>0</v>
      </c>
      <c r="L30" s="346">
        <v>0</v>
      </c>
      <c r="M30" s="346">
        <v>0</v>
      </c>
      <c r="N30" s="346">
        <v>0</v>
      </c>
      <c r="O30" s="346">
        <v>0</v>
      </c>
      <c r="P30" s="346">
        <v>0</v>
      </c>
      <c r="Q30" s="346">
        <v>0</v>
      </c>
      <c r="R30" s="346">
        <v>0</v>
      </c>
      <c r="S30" s="346">
        <v>0</v>
      </c>
      <c r="T30" s="346">
        <v>0</v>
      </c>
      <c r="U30" s="347">
        <v>0</v>
      </c>
    </row>
    <row r="31" spans="2:21">
      <c r="B31" s="336">
        <v>1</v>
      </c>
      <c r="C31" s="827" t="s">
        <v>997</v>
      </c>
      <c r="D31" s="827"/>
      <c r="E31" s="833" t="s">
        <v>946</v>
      </c>
      <c r="F31" s="833"/>
      <c r="G31" s="833"/>
      <c r="H31" s="345">
        <f>SUM(J31,L31,N31,P31,R31,T31)</f>
        <v>0</v>
      </c>
      <c r="I31" s="345">
        <f>SUM(K31,M31,O31,Q31,S31,U31)</f>
        <v>0</v>
      </c>
      <c r="J31" s="346">
        <v>0</v>
      </c>
      <c r="K31" s="346">
        <v>0</v>
      </c>
      <c r="L31" s="346">
        <v>0</v>
      </c>
      <c r="M31" s="346">
        <v>0</v>
      </c>
      <c r="N31" s="346">
        <v>0</v>
      </c>
      <c r="O31" s="346">
        <v>0</v>
      </c>
      <c r="P31" s="346">
        <v>0</v>
      </c>
      <c r="Q31" s="346">
        <v>0</v>
      </c>
      <c r="R31" s="346">
        <v>0</v>
      </c>
      <c r="S31" s="346">
        <v>0</v>
      </c>
      <c r="T31" s="346">
        <v>0</v>
      </c>
      <c r="U31" s="347">
        <v>0</v>
      </c>
    </row>
    <row r="32" spans="2:21">
      <c r="B32" s="336">
        <v>2</v>
      </c>
      <c r="C32" s="827" t="s">
        <v>998</v>
      </c>
      <c r="D32" s="827"/>
      <c r="E32" s="833" t="s">
        <v>946</v>
      </c>
      <c r="F32" s="833"/>
      <c r="G32" s="833"/>
      <c r="H32" s="345">
        <f t="shared" ref="H32:I35" si="6">SUM(J32,L32,N32,P32,R32,T32)</f>
        <v>0</v>
      </c>
      <c r="I32" s="345">
        <f t="shared" si="6"/>
        <v>0</v>
      </c>
      <c r="J32" s="346">
        <v>0</v>
      </c>
      <c r="K32" s="346">
        <v>0</v>
      </c>
      <c r="L32" s="346">
        <v>0</v>
      </c>
      <c r="M32" s="346">
        <v>0</v>
      </c>
      <c r="N32" s="346">
        <v>0</v>
      </c>
      <c r="O32" s="346">
        <v>0</v>
      </c>
      <c r="P32" s="346">
        <v>0</v>
      </c>
      <c r="Q32" s="346">
        <v>0</v>
      </c>
      <c r="R32" s="346">
        <v>0</v>
      </c>
      <c r="S32" s="346">
        <v>0</v>
      </c>
      <c r="T32" s="346">
        <v>0</v>
      </c>
      <c r="U32" s="347">
        <v>0</v>
      </c>
    </row>
    <row r="33" spans="2:21">
      <c r="B33" s="336">
        <v>3</v>
      </c>
      <c r="C33" s="827" t="s">
        <v>999</v>
      </c>
      <c r="D33" s="827"/>
      <c r="E33" s="828" t="s">
        <v>946</v>
      </c>
      <c r="F33" s="829"/>
      <c r="G33" s="830"/>
      <c r="H33" s="345">
        <f t="shared" si="6"/>
        <v>0</v>
      </c>
      <c r="I33" s="345">
        <f t="shared" si="6"/>
        <v>0</v>
      </c>
      <c r="J33" s="346">
        <v>0</v>
      </c>
      <c r="K33" s="346">
        <v>0</v>
      </c>
      <c r="L33" s="346">
        <v>0</v>
      </c>
      <c r="M33" s="346">
        <v>0</v>
      </c>
      <c r="N33" s="346">
        <v>0</v>
      </c>
      <c r="O33" s="346">
        <v>0</v>
      </c>
      <c r="P33" s="346">
        <v>0</v>
      </c>
      <c r="Q33" s="346">
        <v>0</v>
      </c>
      <c r="R33" s="346">
        <v>0</v>
      </c>
      <c r="S33" s="346">
        <v>0</v>
      </c>
      <c r="T33" s="346">
        <v>0</v>
      </c>
      <c r="U33" s="347">
        <v>0</v>
      </c>
    </row>
    <row r="34" spans="2:21">
      <c r="B34" s="336">
        <v>4</v>
      </c>
      <c r="C34" s="827" t="s">
        <v>1000</v>
      </c>
      <c r="D34" s="827"/>
      <c r="E34" s="828" t="s">
        <v>946</v>
      </c>
      <c r="F34" s="829"/>
      <c r="G34" s="830"/>
      <c r="H34" s="345">
        <f t="shared" si="6"/>
        <v>0</v>
      </c>
      <c r="I34" s="345">
        <f t="shared" si="6"/>
        <v>0</v>
      </c>
      <c r="J34" s="346">
        <v>0</v>
      </c>
      <c r="K34" s="346">
        <v>0</v>
      </c>
      <c r="L34" s="346">
        <v>0</v>
      </c>
      <c r="M34" s="346">
        <v>0</v>
      </c>
      <c r="N34" s="346">
        <v>0</v>
      </c>
      <c r="O34" s="346">
        <v>0</v>
      </c>
      <c r="P34" s="346">
        <v>0</v>
      </c>
      <c r="Q34" s="346">
        <v>0</v>
      </c>
      <c r="R34" s="346">
        <v>0</v>
      </c>
      <c r="S34" s="346">
        <v>0</v>
      </c>
      <c r="T34" s="346">
        <v>0</v>
      </c>
      <c r="U34" s="347">
        <v>0</v>
      </c>
    </row>
    <row r="35" spans="2:21">
      <c r="B35" s="336">
        <v>5</v>
      </c>
      <c r="C35" s="831" t="s">
        <v>1001</v>
      </c>
      <c r="D35" s="832"/>
      <c r="E35" s="828" t="s">
        <v>946</v>
      </c>
      <c r="F35" s="829"/>
      <c r="G35" s="830"/>
      <c r="H35" s="345">
        <f t="shared" si="6"/>
        <v>0</v>
      </c>
      <c r="I35" s="345">
        <f t="shared" si="6"/>
        <v>0</v>
      </c>
      <c r="J35" s="346">
        <v>0</v>
      </c>
      <c r="K35" s="346">
        <v>0</v>
      </c>
      <c r="L35" s="346">
        <v>0</v>
      </c>
      <c r="M35" s="346">
        <v>0</v>
      </c>
      <c r="N35" s="346">
        <v>0</v>
      </c>
      <c r="O35" s="346">
        <v>0</v>
      </c>
      <c r="P35" s="346">
        <v>0</v>
      </c>
      <c r="Q35" s="346">
        <v>0</v>
      </c>
      <c r="R35" s="346">
        <v>0</v>
      </c>
      <c r="S35" s="346">
        <v>0</v>
      </c>
      <c r="T35" s="346">
        <v>0</v>
      </c>
      <c r="U35" s="347">
        <v>0</v>
      </c>
    </row>
    <row r="36" spans="2:21">
      <c r="B36" s="336">
        <v>1</v>
      </c>
      <c r="C36" s="827" t="s">
        <v>997</v>
      </c>
      <c r="D36" s="827"/>
      <c r="E36" s="833" t="s">
        <v>1230</v>
      </c>
      <c r="F36" s="833"/>
      <c r="G36" s="833"/>
      <c r="H36" s="345">
        <f>SUM(J36,L36,N36,P36,R36,T36)</f>
        <v>0</v>
      </c>
      <c r="I36" s="345">
        <f>SUM(K36,M36,O36,Q36,S36,U36)</f>
        <v>0</v>
      </c>
      <c r="J36" s="346">
        <v>0</v>
      </c>
      <c r="K36" s="346">
        <v>0</v>
      </c>
      <c r="L36" s="346">
        <v>0</v>
      </c>
      <c r="M36" s="346">
        <v>0</v>
      </c>
      <c r="N36" s="346">
        <v>0</v>
      </c>
      <c r="O36" s="346">
        <v>0</v>
      </c>
      <c r="P36" s="346">
        <v>0</v>
      </c>
      <c r="Q36" s="346">
        <v>0</v>
      </c>
      <c r="R36" s="346">
        <v>0</v>
      </c>
      <c r="S36" s="346">
        <v>0</v>
      </c>
      <c r="T36" s="346">
        <v>0</v>
      </c>
      <c r="U36" s="347">
        <v>0</v>
      </c>
    </row>
    <row r="37" spans="2:21">
      <c r="B37" s="336">
        <v>2</v>
      </c>
      <c r="C37" s="827" t="s">
        <v>998</v>
      </c>
      <c r="D37" s="827"/>
      <c r="E37" s="833" t="s">
        <v>1230</v>
      </c>
      <c r="F37" s="833"/>
      <c r="G37" s="833"/>
      <c r="H37" s="345">
        <f t="shared" ref="H37:H40" si="7">SUM(J37,L37,N37,P37,R37,T37)</f>
        <v>0</v>
      </c>
      <c r="I37" s="345">
        <f t="shared" ref="I37:I40" si="8">SUM(K37,M37,O37,Q37,S37,U37)</f>
        <v>0</v>
      </c>
      <c r="J37" s="346">
        <v>0</v>
      </c>
      <c r="K37" s="346">
        <v>0</v>
      </c>
      <c r="L37" s="346">
        <v>0</v>
      </c>
      <c r="M37" s="346">
        <v>0</v>
      </c>
      <c r="N37" s="346">
        <v>0</v>
      </c>
      <c r="O37" s="346">
        <v>0</v>
      </c>
      <c r="P37" s="346">
        <v>0</v>
      </c>
      <c r="Q37" s="346">
        <v>0</v>
      </c>
      <c r="R37" s="346">
        <v>0</v>
      </c>
      <c r="S37" s="346">
        <v>0</v>
      </c>
      <c r="T37" s="346">
        <v>0</v>
      </c>
      <c r="U37" s="347">
        <v>0</v>
      </c>
    </row>
    <row r="38" spans="2:21">
      <c r="B38" s="336">
        <v>3</v>
      </c>
      <c r="C38" s="827" t="s">
        <v>999</v>
      </c>
      <c r="D38" s="827"/>
      <c r="E38" s="828" t="s">
        <v>1230</v>
      </c>
      <c r="F38" s="829"/>
      <c r="G38" s="830"/>
      <c r="H38" s="345">
        <f t="shared" si="7"/>
        <v>0</v>
      </c>
      <c r="I38" s="345">
        <f t="shared" si="8"/>
        <v>0</v>
      </c>
      <c r="J38" s="346">
        <v>0</v>
      </c>
      <c r="K38" s="346">
        <v>0</v>
      </c>
      <c r="L38" s="346">
        <v>0</v>
      </c>
      <c r="M38" s="346">
        <v>0</v>
      </c>
      <c r="N38" s="346">
        <v>0</v>
      </c>
      <c r="O38" s="346">
        <v>0</v>
      </c>
      <c r="P38" s="346">
        <v>0</v>
      </c>
      <c r="Q38" s="346">
        <v>0</v>
      </c>
      <c r="R38" s="346">
        <v>0</v>
      </c>
      <c r="S38" s="346">
        <v>0</v>
      </c>
      <c r="T38" s="346">
        <v>0</v>
      </c>
      <c r="U38" s="347">
        <v>0</v>
      </c>
    </row>
    <row r="39" spans="2:21">
      <c r="B39" s="336">
        <v>4</v>
      </c>
      <c r="C39" s="827" t="s">
        <v>1000</v>
      </c>
      <c r="D39" s="827"/>
      <c r="E39" s="828" t="s">
        <v>1230</v>
      </c>
      <c r="F39" s="829"/>
      <c r="G39" s="830"/>
      <c r="H39" s="345">
        <f t="shared" si="7"/>
        <v>0</v>
      </c>
      <c r="I39" s="345">
        <f t="shared" si="8"/>
        <v>0</v>
      </c>
      <c r="J39" s="346">
        <v>0</v>
      </c>
      <c r="K39" s="346">
        <v>0</v>
      </c>
      <c r="L39" s="346">
        <v>0</v>
      </c>
      <c r="M39" s="346">
        <v>0</v>
      </c>
      <c r="N39" s="346">
        <v>0</v>
      </c>
      <c r="O39" s="346">
        <v>0</v>
      </c>
      <c r="P39" s="346">
        <v>0</v>
      </c>
      <c r="Q39" s="346">
        <v>0</v>
      </c>
      <c r="R39" s="346">
        <v>0</v>
      </c>
      <c r="S39" s="346">
        <v>0</v>
      </c>
      <c r="T39" s="346">
        <v>0</v>
      </c>
      <c r="U39" s="347">
        <v>0</v>
      </c>
    </row>
    <row r="40" spans="2:21">
      <c r="B40" s="336">
        <v>5</v>
      </c>
      <c r="C40" s="831" t="s">
        <v>1001</v>
      </c>
      <c r="D40" s="832"/>
      <c r="E40" s="828" t="s">
        <v>1230</v>
      </c>
      <c r="F40" s="829"/>
      <c r="G40" s="830"/>
      <c r="H40" s="345">
        <f t="shared" si="7"/>
        <v>0</v>
      </c>
      <c r="I40" s="345">
        <f t="shared" si="8"/>
        <v>0</v>
      </c>
      <c r="J40" s="346">
        <v>0</v>
      </c>
      <c r="K40" s="346">
        <v>0</v>
      </c>
      <c r="L40" s="346">
        <v>0</v>
      </c>
      <c r="M40" s="346">
        <v>0</v>
      </c>
      <c r="N40" s="346">
        <v>0</v>
      </c>
      <c r="O40" s="346">
        <v>0</v>
      </c>
      <c r="P40" s="346">
        <v>0</v>
      </c>
      <c r="Q40" s="346">
        <v>0</v>
      </c>
      <c r="R40" s="346">
        <v>0</v>
      </c>
      <c r="S40" s="346">
        <v>0</v>
      </c>
      <c r="T40" s="346">
        <v>0</v>
      </c>
      <c r="U40" s="347">
        <v>0</v>
      </c>
    </row>
    <row r="41" spans="2:21">
      <c r="B41" s="336">
        <v>1</v>
      </c>
      <c r="C41" s="827" t="s">
        <v>997</v>
      </c>
      <c r="D41" s="827"/>
      <c r="E41" s="833" t="s">
        <v>944</v>
      </c>
      <c r="F41" s="833"/>
      <c r="G41" s="833"/>
      <c r="H41" s="345">
        <f>SUM(J41,L41,N41,P41,R41,T41)</f>
        <v>0</v>
      </c>
      <c r="I41" s="345">
        <f>SUM(K41,M41,O41,Q41,S41,U41)</f>
        <v>0</v>
      </c>
      <c r="J41" s="346">
        <v>0</v>
      </c>
      <c r="K41" s="346">
        <v>0</v>
      </c>
      <c r="L41" s="346">
        <v>0</v>
      </c>
      <c r="M41" s="346">
        <v>0</v>
      </c>
      <c r="N41" s="346">
        <v>0</v>
      </c>
      <c r="O41" s="346">
        <v>0</v>
      </c>
      <c r="P41" s="346">
        <v>0</v>
      </c>
      <c r="Q41" s="346">
        <v>0</v>
      </c>
      <c r="R41" s="346">
        <v>0</v>
      </c>
      <c r="S41" s="346">
        <v>0</v>
      </c>
      <c r="T41" s="346">
        <v>0</v>
      </c>
      <c r="U41" s="347">
        <v>0</v>
      </c>
    </row>
    <row r="42" spans="2:21">
      <c r="B42" s="336">
        <v>2</v>
      </c>
      <c r="C42" s="827" t="s">
        <v>998</v>
      </c>
      <c r="D42" s="827"/>
      <c r="E42" s="833" t="s">
        <v>944</v>
      </c>
      <c r="F42" s="833"/>
      <c r="G42" s="833"/>
      <c r="H42" s="345">
        <f t="shared" ref="H42:H45" si="9">SUM(J42,L42,N42,P42,R42,T42)</f>
        <v>0</v>
      </c>
      <c r="I42" s="345">
        <f t="shared" ref="I42:I45" si="10">SUM(K42,M42,O42,Q42,S42,U42)</f>
        <v>0</v>
      </c>
      <c r="J42" s="346">
        <v>0</v>
      </c>
      <c r="K42" s="346">
        <v>0</v>
      </c>
      <c r="L42" s="346">
        <v>0</v>
      </c>
      <c r="M42" s="346">
        <v>0</v>
      </c>
      <c r="N42" s="346">
        <v>0</v>
      </c>
      <c r="O42" s="346">
        <v>0</v>
      </c>
      <c r="P42" s="346">
        <v>0</v>
      </c>
      <c r="Q42" s="346">
        <v>0</v>
      </c>
      <c r="R42" s="346">
        <v>0</v>
      </c>
      <c r="S42" s="346">
        <v>0</v>
      </c>
      <c r="T42" s="346">
        <v>0</v>
      </c>
      <c r="U42" s="347">
        <v>0</v>
      </c>
    </row>
    <row r="43" spans="2:21">
      <c r="B43" s="336">
        <v>3</v>
      </c>
      <c r="C43" s="827" t="s">
        <v>999</v>
      </c>
      <c r="D43" s="827"/>
      <c r="E43" s="828" t="s">
        <v>944</v>
      </c>
      <c r="F43" s="829"/>
      <c r="G43" s="830"/>
      <c r="H43" s="345">
        <f t="shared" si="9"/>
        <v>0</v>
      </c>
      <c r="I43" s="345">
        <f t="shared" si="10"/>
        <v>0</v>
      </c>
      <c r="J43" s="346">
        <v>0</v>
      </c>
      <c r="K43" s="346">
        <v>0</v>
      </c>
      <c r="L43" s="346">
        <v>0</v>
      </c>
      <c r="M43" s="346">
        <v>0</v>
      </c>
      <c r="N43" s="346">
        <v>0</v>
      </c>
      <c r="O43" s="346">
        <v>0</v>
      </c>
      <c r="P43" s="346">
        <v>0</v>
      </c>
      <c r="Q43" s="346">
        <v>0</v>
      </c>
      <c r="R43" s="346">
        <v>0</v>
      </c>
      <c r="S43" s="346">
        <v>0</v>
      </c>
      <c r="T43" s="346">
        <v>0</v>
      </c>
      <c r="U43" s="347">
        <v>0</v>
      </c>
    </row>
    <row r="44" spans="2:21">
      <c r="B44" s="336">
        <v>4</v>
      </c>
      <c r="C44" s="827" t="s">
        <v>1000</v>
      </c>
      <c r="D44" s="827"/>
      <c r="E44" s="828" t="s">
        <v>944</v>
      </c>
      <c r="F44" s="829"/>
      <c r="G44" s="830"/>
      <c r="H44" s="345">
        <f t="shared" si="9"/>
        <v>0</v>
      </c>
      <c r="I44" s="345">
        <f t="shared" si="10"/>
        <v>0</v>
      </c>
      <c r="J44" s="346">
        <v>0</v>
      </c>
      <c r="K44" s="346">
        <v>0</v>
      </c>
      <c r="L44" s="346">
        <v>0</v>
      </c>
      <c r="M44" s="346">
        <v>0</v>
      </c>
      <c r="N44" s="346">
        <v>0</v>
      </c>
      <c r="O44" s="346">
        <v>0</v>
      </c>
      <c r="P44" s="346">
        <v>0</v>
      </c>
      <c r="Q44" s="346">
        <v>0</v>
      </c>
      <c r="R44" s="346">
        <v>0</v>
      </c>
      <c r="S44" s="346">
        <v>0</v>
      </c>
      <c r="T44" s="346">
        <v>0</v>
      </c>
      <c r="U44" s="347">
        <v>0</v>
      </c>
    </row>
    <row r="45" spans="2:21">
      <c r="B45" s="336">
        <v>5</v>
      </c>
      <c r="C45" s="831" t="s">
        <v>1001</v>
      </c>
      <c r="D45" s="832"/>
      <c r="E45" s="828" t="s">
        <v>944</v>
      </c>
      <c r="F45" s="829"/>
      <c r="G45" s="830"/>
      <c r="H45" s="345">
        <f t="shared" si="9"/>
        <v>0</v>
      </c>
      <c r="I45" s="345">
        <f t="shared" si="10"/>
        <v>0</v>
      </c>
      <c r="J45" s="346">
        <v>0</v>
      </c>
      <c r="K45" s="346">
        <v>0</v>
      </c>
      <c r="L45" s="346">
        <v>0</v>
      </c>
      <c r="M45" s="346">
        <v>0</v>
      </c>
      <c r="N45" s="346">
        <v>0</v>
      </c>
      <c r="O45" s="346">
        <v>0</v>
      </c>
      <c r="P45" s="346">
        <v>0</v>
      </c>
      <c r="Q45" s="346">
        <v>0</v>
      </c>
      <c r="R45" s="346">
        <v>0</v>
      </c>
      <c r="S45" s="346">
        <v>0</v>
      </c>
      <c r="T45" s="346">
        <v>0</v>
      </c>
      <c r="U45" s="347">
        <v>0</v>
      </c>
    </row>
    <row r="46" spans="2:21">
      <c r="B46" s="336">
        <v>1</v>
      </c>
      <c r="C46" s="827" t="s">
        <v>997</v>
      </c>
      <c r="D46" s="827"/>
      <c r="E46" s="833" t="s">
        <v>945</v>
      </c>
      <c r="F46" s="833"/>
      <c r="G46" s="833"/>
      <c r="H46" s="345">
        <f>SUM(J46,L46,N46,P46,R46,T46)</f>
        <v>0</v>
      </c>
      <c r="I46" s="345">
        <f>SUM(K46,M46,O46,Q46,S46,U46)</f>
        <v>0</v>
      </c>
      <c r="J46" s="346">
        <v>0</v>
      </c>
      <c r="K46" s="346">
        <v>0</v>
      </c>
      <c r="L46" s="346">
        <v>0</v>
      </c>
      <c r="M46" s="346">
        <v>0</v>
      </c>
      <c r="N46" s="346">
        <v>0</v>
      </c>
      <c r="O46" s="346">
        <v>0</v>
      </c>
      <c r="P46" s="346">
        <v>0</v>
      </c>
      <c r="Q46" s="346">
        <v>0</v>
      </c>
      <c r="R46" s="346">
        <v>0</v>
      </c>
      <c r="S46" s="346">
        <v>0</v>
      </c>
      <c r="T46" s="346">
        <v>0</v>
      </c>
      <c r="U46" s="347">
        <v>0</v>
      </c>
    </row>
    <row r="47" spans="2:21">
      <c r="B47" s="336">
        <v>2</v>
      </c>
      <c r="C47" s="827" t="s">
        <v>998</v>
      </c>
      <c r="D47" s="827"/>
      <c r="E47" s="833" t="s">
        <v>945</v>
      </c>
      <c r="F47" s="833"/>
      <c r="G47" s="833"/>
      <c r="H47" s="345">
        <f t="shared" ref="H47:H50" si="11">SUM(J47,L47,N47,P47,R47,T47)</f>
        <v>0</v>
      </c>
      <c r="I47" s="345">
        <f t="shared" ref="I47:I50" si="12">SUM(K47,M47,O47,Q47,S47,U47)</f>
        <v>0</v>
      </c>
      <c r="J47" s="346">
        <v>0</v>
      </c>
      <c r="K47" s="346">
        <v>0</v>
      </c>
      <c r="L47" s="346">
        <v>0</v>
      </c>
      <c r="M47" s="346">
        <v>0</v>
      </c>
      <c r="N47" s="346">
        <v>0</v>
      </c>
      <c r="O47" s="346">
        <v>0</v>
      </c>
      <c r="P47" s="346">
        <v>0</v>
      </c>
      <c r="Q47" s="346">
        <v>0</v>
      </c>
      <c r="R47" s="346">
        <v>0</v>
      </c>
      <c r="S47" s="346">
        <v>0</v>
      </c>
      <c r="T47" s="346">
        <v>0</v>
      </c>
      <c r="U47" s="347">
        <v>0</v>
      </c>
    </row>
    <row r="48" spans="2:21">
      <c r="B48" s="336">
        <v>3</v>
      </c>
      <c r="C48" s="827" t="s">
        <v>999</v>
      </c>
      <c r="D48" s="827"/>
      <c r="E48" s="828" t="s">
        <v>945</v>
      </c>
      <c r="F48" s="829"/>
      <c r="G48" s="830"/>
      <c r="H48" s="345">
        <f t="shared" si="11"/>
        <v>0</v>
      </c>
      <c r="I48" s="345">
        <f t="shared" si="12"/>
        <v>0</v>
      </c>
      <c r="J48" s="346">
        <v>0</v>
      </c>
      <c r="K48" s="346">
        <v>0</v>
      </c>
      <c r="L48" s="346">
        <v>0</v>
      </c>
      <c r="M48" s="346">
        <v>0</v>
      </c>
      <c r="N48" s="346">
        <v>0</v>
      </c>
      <c r="O48" s="346">
        <v>0</v>
      </c>
      <c r="P48" s="346">
        <v>0</v>
      </c>
      <c r="Q48" s="346">
        <v>0</v>
      </c>
      <c r="R48" s="346">
        <v>0</v>
      </c>
      <c r="S48" s="346">
        <v>0</v>
      </c>
      <c r="T48" s="346">
        <v>0</v>
      </c>
      <c r="U48" s="347">
        <v>0</v>
      </c>
    </row>
    <row r="49" spans="1:21">
      <c r="B49" s="336">
        <v>4</v>
      </c>
      <c r="C49" s="827" t="s">
        <v>1000</v>
      </c>
      <c r="D49" s="827"/>
      <c r="E49" s="828" t="s">
        <v>945</v>
      </c>
      <c r="F49" s="829"/>
      <c r="G49" s="830"/>
      <c r="H49" s="345">
        <f t="shared" si="11"/>
        <v>0</v>
      </c>
      <c r="I49" s="345">
        <f t="shared" si="12"/>
        <v>0</v>
      </c>
      <c r="J49" s="346">
        <v>0</v>
      </c>
      <c r="K49" s="346">
        <v>0</v>
      </c>
      <c r="L49" s="346">
        <v>0</v>
      </c>
      <c r="M49" s="346">
        <v>0</v>
      </c>
      <c r="N49" s="346">
        <v>0</v>
      </c>
      <c r="O49" s="346">
        <v>0</v>
      </c>
      <c r="P49" s="346">
        <v>0</v>
      </c>
      <c r="Q49" s="346">
        <v>0</v>
      </c>
      <c r="R49" s="346">
        <v>0</v>
      </c>
      <c r="S49" s="346">
        <v>0</v>
      </c>
      <c r="T49" s="346">
        <v>0</v>
      </c>
      <c r="U49" s="347">
        <v>0</v>
      </c>
    </row>
    <row r="50" spans="1:21">
      <c r="B50" s="336">
        <v>5</v>
      </c>
      <c r="C50" s="831" t="s">
        <v>1001</v>
      </c>
      <c r="D50" s="832"/>
      <c r="E50" s="828" t="s">
        <v>945</v>
      </c>
      <c r="F50" s="829"/>
      <c r="G50" s="830"/>
      <c r="H50" s="345">
        <f t="shared" si="11"/>
        <v>0</v>
      </c>
      <c r="I50" s="345">
        <f t="shared" si="12"/>
        <v>0</v>
      </c>
      <c r="J50" s="346">
        <v>0</v>
      </c>
      <c r="K50" s="346">
        <v>0</v>
      </c>
      <c r="L50" s="346">
        <v>0</v>
      </c>
      <c r="M50" s="346">
        <v>0</v>
      </c>
      <c r="N50" s="346">
        <v>0</v>
      </c>
      <c r="O50" s="346">
        <v>0</v>
      </c>
      <c r="P50" s="346">
        <v>0</v>
      </c>
      <c r="Q50" s="346">
        <v>0</v>
      </c>
      <c r="R50" s="346">
        <v>0</v>
      </c>
      <c r="S50" s="346">
        <v>0</v>
      </c>
      <c r="T50" s="346">
        <v>0</v>
      </c>
      <c r="U50" s="347">
        <v>0</v>
      </c>
    </row>
    <row r="51" spans="1:21" ht="13.5" thickBot="1">
      <c r="B51" s="348"/>
      <c r="C51" s="870"/>
      <c r="D51" s="871"/>
      <c r="E51" s="872"/>
      <c r="F51" s="873"/>
      <c r="G51" s="874"/>
      <c r="H51" s="349">
        <f t="shared" si="3"/>
        <v>0</v>
      </c>
      <c r="I51" s="349">
        <f>SUM(K51,M51,O51,Q51,S51,U51)</f>
        <v>0</v>
      </c>
      <c r="J51" s="350"/>
      <c r="K51" s="350"/>
      <c r="L51" s="350"/>
      <c r="M51" s="350"/>
      <c r="N51" s="350"/>
      <c r="O51" s="350"/>
      <c r="P51" s="350"/>
      <c r="Q51" s="350"/>
      <c r="R51" s="350"/>
      <c r="S51" s="350"/>
      <c r="T51" s="350"/>
      <c r="U51" s="351"/>
    </row>
    <row r="52" spans="1:21" ht="15.75" thickBot="1">
      <c r="B52" s="861" t="s">
        <v>145</v>
      </c>
      <c r="C52" s="862"/>
      <c r="D52" s="352"/>
      <c r="E52" s="875"/>
      <c r="F52" s="876"/>
      <c r="G52" s="877"/>
      <c r="H52" s="343">
        <f t="shared" ref="H52:U52" si="13">SUBTOTAL(109,H16:H51)</f>
        <v>0</v>
      </c>
      <c r="I52" s="343">
        <f t="shared" si="13"/>
        <v>0</v>
      </c>
      <c r="J52" s="343">
        <f t="shared" si="13"/>
        <v>0</v>
      </c>
      <c r="K52" s="343">
        <f t="shared" si="13"/>
        <v>0</v>
      </c>
      <c r="L52" s="343">
        <f t="shared" si="13"/>
        <v>0</v>
      </c>
      <c r="M52" s="343">
        <f t="shared" si="13"/>
        <v>0</v>
      </c>
      <c r="N52" s="343">
        <f t="shared" si="13"/>
        <v>0</v>
      </c>
      <c r="O52" s="343">
        <f t="shared" si="13"/>
        <v>0</v>
      </c>
      <c r="P52" s="343">
        <f t="shared" si="13"/>
        <v>0</v>
      </c>
      <c r="Q52" s="343">
        <f t="shared" si="13"/>
        <v>0</v>
      </c>
      <c r="R52" s="343">
        <f t="shared" si="13"/>
        <v>0</v>
      </c>
      <c r="S52" s="343">
        <f t="shared" si="13"/>
        <v>0</v>
      </c>
      <c r="T52" s="343">
        <f t="shared" si="13"/>
        <v>0</v>
      </c>
      <c r="U52" s="344">
        <f t="shared" si="13"/>
        <v>0</v>
      </c>
    </row>
    <row r="53" spans="1:21" ht="13.5" thickBot="1"/>
    <row r="54" spans="1:21" s="329" customFormat="1" ht="18" thickBot="1">
      <c r="A54" s="328">
        <v>3</v>
      </c>
      <c r="B54" s="836" t="s">
        <v>1002</v>
      </c>
      <c r="C54" s="837"/>
      <c r="D54" s="837"/>
      <c r="E54" s="837"/>
      <c r="F54" s="837"/>
      <c r="G54" s="838"/>
    </row>
    <row r="55" spans="1:21" ht="30">
      <c r="B55" s="353" t="s">
        <v>984</v>
      </c>
      <c r="C55" s="354" t="s">
        <v>638</v>
      </c>
      <c r="D55" s="355" t="s">
        <v>985</v>
      </c>
      <c r="E55" s="355" t="s">
        <v>986</v>
      </c>
      <c r="F55" s="356" t="s">
        <v>987</v>
      </c>
      <c r="G55" s="357" t="s">
        <v>988</v>
      </c>
    </row>
    <row r="56" spans="1:21">
      <c r="B56" s="358">
        <v>1</v>
      </c>
      <c r="C56" s="359">
        <v>44503</v>
      </c>
      <c r="D56" s="360" t="s">
        <v>1003</v>
      </c>
      <c r="E56" s="361">
        <v>300000</v>
      </c>
      <c r="F56" s="361" t="s">
        <v>1004</v>
      </c>
      <c r="G56" s="362" t="s">
        <v>943</v>
      </c>
    </row>
    <row r="57" spans="1:21">
      <c r="B57" s="358">
        <v>2</v>
      </c>
      <c r="C57" s="359">
        <v>44268</v>
      </c>
      <c r="D57" s="360" t="s">
        <v>1005</v>
      </c>
      <c r="E57" s="361">
        <v>100</v>
      </c>
      <c r="F57" s="361" t="s">
        <v>1006</v>
      </c>
      <c r="G57" s="362" t="s">
        <v>943</v>
      </c>
    </row>
    <row r="58" spans="1:21">
      <c r="B58" s="358">
        <v>3</v>
      </c>
      <c r="C58" s="359">
        <v>44303</v>
      </c>
      <c r="D58" s="360" t="s">
        <v>1005</v>
      </c>
      <c r="E58" s="361">
        <v>100</v>
      </c>
      <c r="F58" s="361" t="s">
        <v>1006</v>
      </c>
      <c r="G58" s="362" t="s">
        <v>943</v>
      </c>
    </row>
    <row r="59" spans="1:21">
      <c r="B59" s="358">
        <v>4</v>
      </c>
      <c r="C59" s="359">
        <v>44331</v>
      </c>
      <c r="D59" s="360" t="s">
        <v>1005</v>
      </c>
      <c r="E59" s="361">
        <v>100</v>
      </c>
      <c r="F59" s="361" t="s">
        <v>1006</v>
      </c>
      <c r="G59" s="362" t="s">
        <v>943</v>
      </c>
    </row>
    <row r="60" spans="1:21">
      <c r="B60" s="358">
        <v>5</v>
      </c>
      <c r="C60" s="359">
        <v>44359</v>
      </c>
      <c r="D60" s="360" t="s">
        <v>1005</v>
      </c>
      <c r="E60" s="361">
        <v>100</v>
      </c>
      <c r="F60" s="361" t="s">
        <v>1006</v>
      </c>
      <c r="G60" s="362" t="s">
        <v>943</v>
      </c>
    </row>
    <row r="61" spans="1:21">
      <c r="B61" s="358">
        <v>6</v>
      </c>
      <c r="C61" s="359">
        <v>44280</v>
      </c>
      <c r="D61" s="360" t="s">
        <v>1007</v>
      </c>
      <c r="E61" s="361">
        <v>500000</v>
      </c>
      <c r="F61" s="361" t="s">
        <v>1008</v>
      </c>
      <c r="G61" s="362" t="s">
        <v>944</v>
      </c>
    </row>
    <row r="62" spans="1:21">
      <c r="B62" s="358">
        <v>7</v>
      </c>
      <c r="C62" s="359">
        <v>44281</v>
      </c>
      <c r="D62" s="360" t="s">
        <v>1009</v>
      </c>
      <c r="E62" s="361">
        <v>500000</v>
      </c>
      <c r="F62" s="361" t="s">
        <v>1008</v>
      </c>
      <c r="G62" s="362" t="s">
        <v>944</v>
      </c>
    </row>
    <row r="63" spans="1:21">
      <c r="B63" s="358">
        <v>8</v>
      </c>
      <c r="C63" s="359">
        <v>44282</v>
      </c>
      <c r="D63" s="360" t="s">
        <v>1010</v>
      </c>
      <c r="E63" s="361">
        <v>500000</v>
      </c>
      <c r="F63" s="361" t="s">
        <v>1008</v>
      </c>
      <c r="G63" s="362" t="s">
        <v>944</v>
      </c>
    </row>
    <row r="64" spans="1:21">
      <c r="B64" s="358">
        <v>9</v>
      </c>
      <c r="C64" s="359">
        <v>44283</v>
      </c>
      <c r="D64" s="360" t="s">
        <v>1011</v>
      </c>
      <c r="E64" s="361">
        <v>500000</v>
      </c>
      <c r="F64" s="361" t="s">
        <v>1008</v>
      </c>
      <c r="G64" s="362" t="s">
        <v>944</v>
      </c>
    </row>
    <row r="65" spans="2:7">
      <c r="B65" s="358">
        <v>10</v>
      </c>
      <c r="C65" s="359">
        <v>44444</v>
      </c>
      <c r="D65" s="360" t="s">
        <v>1012</v>
      </c>
      <c r="E65" s="361">
        <v>500000</v>
      </c>
      <c r="F65" s="361" t="s">
        <v>1008</v>
      </c>
      <c r="G65" s="362" t="s">
        <v>944</v>
      </c>
    </row>
    <row r="66" spans="2:7">
      <c r="B66" s="358">
        <v>11</v>
      </c>
      <c r="C66" s="359">
        <v>44333</v>
      </c>
      <c r="D66" s="360" t="s">
        <v>1013</v>
      </c>
      <c r="E66" s="361">
        <v>90000</v>
      </c>
      <c r="F66" s="361" t="s">
        <v>1014</v>
      </c>
      <c r="G66" s="362" t="s">
        <v>945</v>
      </c>
    </row>
    <row r="67" spans="2:7">
      <c r="B67" s="358">
        <v>12</v>
      </c>
      <c r="C67" s="359">
        <v>44333</v>
      </c>
      <c r="D67" s="360" t="s">
        <v>1015</v>
      </c>
      <c r="E67" s="361">
        <v>90000</v>
      </c>
      <c r="F67" s="361" t="s">
        <v>1014</v>
      </c>
      <c r="G67" s="362" t="s">
        <v>945</v>
      </c>
    </row>
    <row r="68" spans="2:7">
      <c r="B68" s="358">
        <v>13</v>
      </c>
      <c r="C68" s="359">
        <v>44275</v>
      </c>
      <c r="D68" s="360" t="s">
        <v>1016</v>
      </c>
      <c r="E68" s="361">
        <v>50000</v>
      </c>
      <c r="F68" s="361" t="s">
        <v>1014</v>
      </c>
      <c r="G68" s="362" t="s">
        <v>945</v>
      </c>
    </row>
    <row r="69" spans="2:7">
      <c r="B69" s="358">
        <v>14</v>
      </c>
      <c r="C69" s="359">
        <v>44275</v>
      </c>
      <c r="D69" s="360" t="s">
        <v>1017</v>
      </c>
      <c r="E69" s="361">
        <v>50000</v>
      </c>
      <c r="F69" s="361" t="s">
        <v>1014</v>
      </c>
      <c r="G69" s="362" t="s">
        <v>945</v>
      </c>
    </row>
    <row r="70" spans="2:7">
      <c r="B70" s="358">
        <v>15</v>
      </c>
      <c r="C70" s="359">
        <v>44373</v>
      </c>
      <c r="D70" s="360" t="s">
        <v>1018</v>
      </c>
      <c r="E70" s="361">
        <v>6.49</v>
      </c>
      <c r="F70" s="361" t="s">
        <v>1006</v>
      </c>
      <c r="G70" s="362" t="s">
        <v>945</v>
      </c>
    </row>
    <row r="71" spans="2:7">
      <c r="B71" s="358">
        <v>16</v>
      </c>
      <c r="C71" s="359">
        <v>44327</v>
      </c>
      <c r="D71" s="360" t="s">
        <v>1019</v>
      </c>
      <c r="E71" s="361">
        <v>600000</v>
      </c>
      <c r="F71" s="361" t="s">
        <v>1014</v>
      </c>
      <c r="G71" s="362" t="s">
        <v>946</v>
      </c>
    </row>
    <row r="72" spans="2:7">
      <c r="B72" s="358">
        <v>17</v>
      </c>
      <c r="C72" s="359">
        <v>44228</v>
      </c>
      <c r="D72" s="360" t="s">
        <v>1020</v>
      </c>
      <c r="E72" s="361">
        <v>450000</v>
      </c>
      <c r="F72" s="361" t="s">
        <v>1021</v>
      </c>
      <c r="G72" s="362" t="s">
        <v>946</v>
      </c>
    </row>
    <row r="73" spans="2:7">
      <c r="B73" s="358">
        <v>18</v>
      </c>
      <c r="C73" s="359">
        <v>44202</v>
      </c>
      <c r="D73" s="360" t="s">
        <v>1022</v>
      </c>
      <c r="E73" s="361">
        <v>400000</v>
      </c>
      <c r="F73" s="361" t="s">
        <v>1021</v>
      </c>
      <c r="G73" s="362" t="s">
        <v>946</v>
      </c>
    </row>
    <row r="74" spans="2:7">
      <c r="B74" s="358">
        <v>19</v>
      </c>
      <c r="C74" s="359">
        <v>44275</v>
      </c>
      <c r="D74" s="360" t="s">
        <v>1023</v>
      </c>
      <c r="E74" s="361">
        <v>300000</v>
      </c>
      <c r="F74" s="361" t="s">
        <v>1008</v>
      </c>
      <c r="G74" s="362" t="s">
        <v>946</v>
      </c>
    </row>
    <row r="75" spans="2:7">
      <c r="B75" s="358">
        <v>20</v>
      </c>
      <c r="C75" s="359">
        <v>44236</v>
      </c>
      <c r="D75" s="360" t="s">
        <v>1024</v>
      </c>
      <c r="E75" s="361">
        <v>92731</v>
      </c>
      <c r="F75" s="361" t="s">
        <v>1025</v>
      </c>
      <c r="G75" s="362" t="s">
        <v>946</v>
      </c>
    </row>
    <row r="76" spans="2:7">
      <c r="B76" s="358">
        <v>21</v>
      </c>
      <c r="C76" s="359">
        <v>44144</v>
      </c>
      <c r="D76" s="360" t="s">
        <v>1234</v>
      </c>
      <c r="E76" s="361">
        <v>2000000</v>
      </c>
      <c r="F76" s="361" t="s">
        <v>1235</v>
      </c>
      <c r="G76" s="362" t="s">
        <v>1230</v>
      </c>
    </row>
    <row r="77" spans="2:7">
      <c r="B77" s="358">
        <v>22</v>
      </c>
      <c r="C77" s="359">
        <v>44291</v>
      </c>
      <c r="D77" s="360" t="s">
        <v>1236</v>
      </c>
      <c r="E77" s="361">
        <v>1976281</v>
      </c>
      <c r="F77" s="361" t="s">
        <v>1237</v>
      </c>
      <c r="G77" s="362" t="s">
        <v>1230</v>
      </c>
    </row>
    <row r="78" spans="2:7">
      <c r="B78" s="358">
        <v>23</v>
      </c>
      <c r="C78" s="359">
        <v>44341</v>
      </c>
      <c r="D78" s="360" t="s">
        <v>1238</v>
      </c>
      <c r="E78" s="361">
        <v>1766978.61</v>
      </c>
      <c r="F78" s="361" t="s">
        <v>1235</v>
      </c>
      <c r="G78" s="362" t="s">
        <v>1230</v>
      </c>
    </row>
    <row r="79" spans="2:7">
      <c r="B79" s="358">
        <v>24</v>
      </c>
      <c r="C79" s="359">
        <v>44377</v>
      </c>
      <c r="D79" s="360" t="s">
        <v>1239</v>
      </c>
      <c r="E79" s="361">
        <v>1722055.61</v>
      </c>
      <c r="F79" s="361" t="s">
        <v>1235</v>
      </c>
      <c r="G79" s="362" t="s">
        <v>1230</v>
      </c>
    </row>
    <row r="80" spans="2:7">
      <c r="B80" s="358">
        <v>25</v>
      </c>
      <c r="C80" s="359">
        <v>44440</v>
      </c>
      <c r="D80" s="360" t="s">
        <v>1240</v>
      </c>
      <c r="E80" s="361">
        <v>1590371</v>
      </c>
      <c r="F80" s="361" t="s">
        <v>1237</v>
      </c>
      <c r="G80" s="362" t="s">
        <v>1230</v>
      </c>
    </row>
    <row r="81" spans="2:7">
      <c r="B81" s="358">
        <v>26</v>
      </c>
      <c r="C81" s="359">
        <v>44280</v>
      </c>
      <c r="D81" s="360" t="s">
        <v>1007</v>
      </c>
      <c r="E81" s="361">
        <v>500000</v>
      </c>
      <c r="F81" s="361" t="s">
        <v>1008</v>
      </c>
      <c r="G81" s="362" t="s">
        <v>944</v>
      </c>
    </row>
    <row r="82" spans="2:7">
      <c r="B82" s="358">
        <v>27</v>
      </c>
      <c r="C82" s="359">
        <v>44281</v>
      </c>
      <c r="D82" s="360" t="s">
        <v>1009</v>
      </c>
      <c r="E82" s="361">
        <v>500000</v>
      </c>
      <c r="F82" s="361" t="s">
        <v>1008</v>
      </c>
      <c r="G82" s="362" t="s">
        <v>944</v>
      </c>
    </row>
    <row r="83" spans="2:7">
      <c r="B83" s="358">
        <v>28</v>
      </c>
      <c r="C83" s="359">
        <v>44282</v>
      </c>
      <c r="D83" s="360" t="s">
        <v>1010</v>
      </c>
      <c r="E83" s="361">
        <v>500000</v>
      </c>
      <c r="F83" s="361" t="s">
        <v>1008</v>
      </c>
      <c r="G83" s="362" t="s">
        <v>944</v>
      </c>
    </row>
    <row r="84" spans="2:7">
      <c r="B84" s="358">
        <v>29</v>
      </c>
      <c r="C84" s="359">
        <v>44283</v>
      </c>
      <c r="D84" s="360" t="s">
        <v>1011</v>
      </c>
      <c r="E84" s="361">
        <v>500000</v>
      </c>
      <c r="F84" s="361" t="s">
        <v>1008</v>
      </c>
      <c r="G84" s="362" t="s">
        <v>944</v>
      </c>
    </row>
    <row r="85" spans="2:7">
      <c r="B85" s="358">
        <v>30</v>
      </c>
      <c r="C85" s="359">
        <v>44444</v>
      </c>
      <c r="D85" s="360" t="s">
        <v>1012</v>
      </c>
      <c r="E85" s="361">
        <v>500000</v>
      </c>
      <c r="F85" s="361" t="s">
        <v>1008</v>
      </c>
      <c r="G85" s="362" t="s">
        <v>944</v>
      </c>
    </row>
    <row r="86" spans="2:7">
      <c r="B86" s="358">
        <v>31</v>
      </c>
      <c r="C86" s="359">
        <v>44333</v>
      </c>
      <c r="D86" s="360" t="s">
        <v>1013</v>
      </c>
      <c r="E86" s="361">
        <v>90000</v>
      </c>
      <c r="F86" s="361" t="s">
        <v>1014</v>
      </c>
      <c r="G86" s="362" t="s">
        <v>945</v>
      </c>
    </row>
    <row r="87" spans="2:7">
      <c r="B87" s="358">
        <v>32</v>
      </c>
      <c r="C87" s="359">
        <v>44333</v>
      </c>
      <c r="D87" s="360" t="s">
        <v>1015</v>
      </c>
      <c r="E87" s="361">
        <v>90000</v>
      </c>
      <c r="F87" s="361" t="s">
        <v>1014</v>
      </c>
      <c r="G87" s="362" t="s">
        <v>945</v>
      </c>
    </row>
    <row r="88" spans="2:7">
      <c r="B88" s="358">
        <v>33</v>
      </c>
      <c r="C88" s="359">
        <v>44275</v>
      </c>
      <c r="D88" s="360" t="s">
        <v>1016</v>
      </c>
      <c r="E88" s="361">
        <v>50000</v>
      </c>
      <c r="F88" s="361" t="s">
        <v>1014</v>
      </c>
      <c r="G88" s="362" t="s">
        <v>945</v>
      </c>
    </row>
    <row r="89" spans="2:7">
      <c r="B89" s="358">
        <v>34</v>
      </c>
      <c r="C89" s="359">
        <v>44275</v>
      </c>
      <c r="D89" s="360" t="s">
        <v>1017</v>
      </c>
      <c r="E89" s="361">
        <v>50000</v>
      </c>
      <c r="F89" s="361" t="s">
        <v>1014</v>
      </c>
      <c r="G89" s="362" t="s">
        <v>945</v>
      </c>
    </row>
    <row r="90" spans="2:7">
      <c r="B90" s="358">
        <v>35</v>
      </c>
      <c r="C90" s="359">
        <v>44373</v>
      </c>
      <c r="D90" s="360" t="s">
        <v>1018</v>
      </c>
      <c r="E90" s="361">
        <v>6.49</v>
      </c>
      <c r="F90" s="361" t="s">
        <v>1006</v>
      </c>
      <c r="G90" s="362" t="s">
        <v>945</v>
      </c>
    </row>
    <row r="91" spans="2:7">
      <c r="B91" s="358"/>
      <c r="C91" s="359"/>
      <c r="D91" s="360"/>
      <c r="E91" s="361"/>
      <c r="F91" s="361"/>
      <c r="G91" s="362"/>
    </row>
    <row r="92" spans="2:7" ht="13.5" thickBot="1">
      <c r="B92" s="348"/>
      <c r="C92" s="363"/>
      <c r="D92" s="363"/>
      <c r="E92" s="364"/>
      <c r="F92" s="364"/>
      <c r="G92" s="365"/>
    </row>
  </sheetData>
  <mergeCells count="115">
    <mergeCell ref="C33:D33"/>
    <mergeCell ref="E33:G33"/>
    <mergeCell ref="C34:D34"/>
    <mergeCell ref="E34:G34"/>
    <mergeCell ref="B54:G54"/>
    <mergeCell ref="C35:D35"/>
    <mergeCell ref="E35:G35"/>
    <mergeCell ref="C51:D51"/>
    <mergeCell ref="E51:G51"/>
    <mergeCell ref="B52:C52"/>
    <mergeCell ref="E52:G52"/>
    <mergeCell ref="C36:D36"/>
    <mergeCell ref="E36:G36"/>
    <mergeCell ref="C37:D37"/>
    <mergeCell ref="E37:G37"/>
    <mergeCell ref="C38:D38"/>
    <mergeCell ref="E38:G38"/>
    <mergeCell ref="C39:D39"/>
    <mergeCell ref="E39:G39"/>
    <mergeCell ref="C40:D40"/>
    <mergeCell ref="C28:D28"/>
    <mergeCell ref="E28:G28"/>
    <mergeCell ref="C29:D29"/>
    <mergeCell ref="E29:G29"/>
    <mergeCell ref="C30:D30"/>
    <mergeCell ref="E30:G30"/>
    <mergeCell ref="C31:D31"/>
    <mergeCell ref="E31:G31"/>
    <mergeCell ref="C32:D32"/>
    <mergeCell ref="E32:G32"/>
    <mergeCell ref="C23:D23"/>
    <mergeCell ref="E23:G23"/>
    <mergeCell ref="C24:D24"/>
    <mergeCell ref="E24:G24"/>
    <mergeCell ref="C25:D25"/>
    <mergeCell ref="E25:G25"/>
    <mergeCell ref="C26:D26"/>
    <mergeCell ref="E26:G26"/>
    <mergeCell ref="C27:D27"/>
    <mergeCell ref="E27:G27"/>
    <mergeCell ref="C18:D18"/>
    <mergeCell ref="E18:G18"/>
    <mergeCell ref="C19:D19"/>
    <mergeCell ref="E19:G19"/>
    <mergeCell ref="C20:D20"/>
    <mergeCell ref="E20:G20"/>
    <mergeCell ref="C21:D21"/>
    <mergeCell ref="E21:G21"/>
    <mergeCell ref="C22:D22"/>
    <mergeCell ref="E22:G22"/>
    <mergeCell ref="C17:D17"/>
    <mergeCell ref="E17:G17"/>
    <mergeCell ref="B11:C11"/>
    <mergeCell ref="B13:G13"/>
    <mergeCell ref="H13:U13"/>
    <mergeCell ref="B14:B15"/>
    <mergeCell ref="C14:D15"/>
    <mergeCell ref="E14:G15"/>
    <mergeCell ref="H14:I14"/>
    <mergeCell ref="J14:K14"/>
    <mergeCell ref="L14:M14"/>
    <mergeCell ref="N14:O14"/>
    <mergeCell ref="P14:Q14"/>
    <mergeCell ref="R14:S14"/>
    <mergeCell ref="T14:U14"/>
    <mergeCell ref="C16:D16"/>
    <mergeCell ref="E16:G16"/>
    <mergeCell ref="C10:D10"/>
    <mergeCell ref="N3:O3"/>
    <mergeCell ref="P3:Q3"/>
    <mergeCell ref="R3:S3"/>
    <mergeCell ref="T3:U3"/>
    <mergeCell ref="C5:D5"/>
    <mergeCell ref="C6:D6"/>
    <mergeCell ref="C7:D7"/>
    <mergeCell ref="C8:D8"/>
    <mergeCell ref="C9:D9"/>
    <mergeCell ref="V3:W3"/>
    <mergeCell ref="X3:Y3"/>
    <mergeCell ref="B2:G2"/>
    <mergeCell ref="H2:AH2"/>
    <mergeCell ref="B3:B4"/>
    <mergeCell ref="C3:D4"/>
    <mergeCell ref="E3:E4"/>
    <mergeCell ref="F3:F4"/>
    <mergeCell ref="G3:G4"/>
    <mergeCell ref="H3:I3"/>
    <mergeCell ref="J3:K3"/>
    <mergeCell ref="L3:M3"/>
    <mergeCell ref="Z3:AA3"/>
    <mergeCell ref="AB3:AC3"/>
    <mergeCell ref="AD3:AE3"/>
    <mergeCell ref="AF3:AG3"/>
    <mergeCell ref="AH3:AH4"/>
    <mergeCell ref="C43:D43"/>
    <mergeCell ref="E43:G43"/>
    <mergeCell ref="C44:D44"/>
    <mergeCell ref="E44:G44"/>
    <mergeCell ref="C45:D45"/>
    <mergeCell ref="E45:G45"/>
    <mergeCell ref="E40:G40"/>
    <mergeCell ref="C41:D41"/>
    <mergeCell ref="E41:G41"/>
    <mergeCell ref="C42:D42"/>
    <mergeCell ref="E42:G42"/>
    <mergeCell ref="C49:D49"/>
    <mergeCell ref="E49:G49"/>
    <mergeCell ref="C50:D50"/>
    <mergeCell ref="E50:G50"/>
    <mergeCell ref="C46:D46"/>
    <mergeCell ref="E46:G46"/>
    <mergeCell ref="C47:D47"/>
    <mergeCell ref="E47:G47"/>
    <mergeCell ref="C48:D48"/>
    <mergeCell ref="E48:G48"/>
  </mergeCells>
  <dataValidations count="2">
    <dataValidation type="list" allowBlank="1" showInputMessage="1" showErrorMessage="1" sqref="WUE15:WUE16 IF65605:IF65606 SB65605:SB65606 ABX65605:ABX65606 ALT65605:ALT65606 AVP65605:AVP65606 BFL65605:BFL65606 BPH65605:BPH65606 BZD65605:BZD65606 CIZ65605:CIZ65606 CSV65605:CSV65606 DCR65605:DCR65606 DMN65605:DMN65606 DWJ65605:DWJ65606 EGF65605:EGF65606 EQB65605:EQB65606 EZX65605:EZX65606 FJT65605:FJT65606 FTP65605:FTP65606 GDL65605:GDL65606 GNH65605:GNH65606 GXD65605:GXD65606 HGZ65605:HGZ65606 HQV65605:HQV65606 IAR65605:IAR65606 IKN65605:IKN65606 IUJ65605:IUJ65606 JEF65605:JEF65606 JOB65605:JOB65606 JXX65605:JXX65606 KHT65605:KHT65606 KRP65605:KRP65606 LBL65605:LBL65606 LLH65605:LLH65606 LVD65605:LVD65606 MEZ65605:MEZ65606 MOV65605:MOV65606 MYR65605:MYR65606 NIN65605:NIN65606 NSJ65605:NSJ65606 OCF65605:OCF65606 OMB65605:OMB65606 OVX65605:OVX65606 PFT65605:PFT65606 PPP65605:PPP65606 PZL65605:PZL65606 QJH65605:QJH65606 QTD65605:QTD65606 RCZ65605:RCZ65606 RMV65605:RMV65606 RWR65605:RWR65606 SGN65605:SGN65606 SQJ65605:SQJ65606 TAF65605:TAF65606 TKB65605:TKB65606 TTX65605:TTX65606 UDT65605:UDT65606 UNP65605:UNP65606 UXL65605:UXL65606 VHH65605:VHH65606 VRD65605:VRD65606 WAZ65605:WAZ65606 WKV65605:WKV65606 WUR65605:WUR65606 IF131141:IF131142 SB131141:SB131142 ABX131141:ABX131142 ALT131141:ALT131142 AVP131141:AVP131142 BFL131141:BFL131142 BPH131141:BPH131142 BZD131141:BZD131142 CIZ131141:CIZ131142 CSV131141:CSV131142 DCR131141:DCR131142 DMN131141:DMN131142 DWJ131141:DWJ131142 EGF131141:EGF131142 EQB131141:EQB131142 EZX131141:EZX131142 FJT131141:FJT131142 FTP131141:FTP131142 GDL131141:GDL131142 GNH131141:GNH131142 GXD131141:GXD131142 HGZ131141:HGZ131142 HQV131141:HQV131142 IAR131141:IAR131142 IKN131141:IKN131142 IUJ131141:IUJ131142 JEF131141:JEF131142 JOB131141:JOB131142 JXX131141:JXX131142 KHT131141:KHT131142 KRP131141:KRP131142 LBL131141:LBL131142 LLH131141:LLH131142 LVD131141:LVD131142 MEZ131141:MEZ131142 MOV131141:MOV131142 MYR131141:MYR131142 NIN131141:NIN131142 NSJ131141:NSJ131142 OCF131141:OCF131142 OMB131141:OMB131142 OVX131141:OVX131142 PFT131141:PFT131142 PPP131141:PPP131142 PZL131141:PZL131142 QJH131141:QJH131142 QTD131141:QTD131142 RCZ131141:RCZ131142 RMV131141:RMV131142 RWR131141:RWR131142 SGN131141:SGN131142 SQJ131141:SQJ131142 TAF131141:TAF131142 TKB131141:TKB131142 TTX131141:TTX131142 UDT131141:UDT131142 UNP131141:UNP131142 UXL131141:UXL131142 VHH131141:VHH131142 VRD131141:VRD131142 WAZ131141:WAZ131142 WKV131141:WKV131142 WUR131141:WUR131142 IF196677:IF196678 SB196677:SB196678 ABX196677:ABX196678 ALT196677:ALT196678 AVP196677:AVP196678 BFL196677:BFL196678 BPH196677:BPH196678 BZD196677:BZD196678 CIZ196677:CIZ196678 CSV196677:CSV196678 DCR196677:DCR196678 DMN196677:DMN196678 DWJ196677:DWJ196678 EGF196677:EGF196678 EQB196677:EQB196678 EZX196677:EZX196678 FJT196677:FJT196678 FTP196677:FTP196678 GDL196677:GDL196678 GNH196677:GNH196678 GXD196677:GXD196678 HGZ196677:HGZ196678 HQV196677:HQV196678 IAR196677:IAR196678 IKN196677:IKN196678 IUJ196677:IUJ196678 JEF196677:JEF196678 JOB196677:JOB196678 JXX196677:JXX196678 KHT196677:KHT196678 KRP196677:KRP196678 LBL196677:LBL196678 LLH196677:LLH196678 LVD196677:LVD196678 MEZ196677:MEZ196678 MOV196677:MOV196678 MYR196677:MYR196678 NIN196677:NIN196678 NSJ196677:NSJ196678 OCF196677:OCF196678 OMB196677:OMB196678 OVX196677:OVX196678 PFT196677:PFT196678 PPP196677:PPP196678 PZL196677:PZL196678 QJH196677:QJH196678 QTD196677:QTD196678 RCZ196677:RCZ196678 RMV196677:RMV196678 RWR196677:RWR196678 SGN196677:SGN196678 SQJ196677:SQJ196678 TAF196677:TAF196678 TKB196677:TKB196678 TTX196677:TTX196678 UDT196677:UDT196678 UNP196677:UNP196678 UXL196677:UXL196678 VHH196677:VHH196678 VRD196677:VRD196678 WAZ196677:WAZ196678 WKV196677:WKV196678 WUR196677:WUR196678 IF262213:IF262214 SB262213:SB262214 ABX262213:ABX262214 ALT262213:ALT262214 AVP262213:AVP262214 BFL262213:BFL262214 BPH262213:BPH262214 BZD262213:BZD262214 CIZ262213:CIZ262214 CSV262213:CSV262214 DCR262213:DCR262214 DMN262213:DMN262214 DWJ262213:DWJ262214 EGF262213:EGF262214 EQB262213:EQB262214 EZX262213:EZX262214 FJT262213:FJT262214 FTP262213:FTP262214 GDL262213:GDL262214 GNH262213:GNH262214 GXD262213:GXD262214 HGZ262213:HGZ262214 HQV262213:HQV262214 IAR262213:IAR262214 IKN262213:IKN262214 IUJ262213:IUJ262214 JEF262213:JEF262214 JOB262213:JOB262214 JXX262213:JXX262214 KHT262213:KHT262214 KRP262213:KRP262214 LBL262213:LBL262214 LLH262213:LLH262214 LVD262213:LVD262214 MEZ262213:MEZ262214 MOV262213:MOV262214 MYR262213:MYR262214 NIN262213:NIN262214 NSJ262213:NSJ262214 OCF262213:OCF262214 OMB262213:OMB262214 OVX262213:OVX262214 PFT262213:PFT262214 PPP262213:PPP262214 PZL262213:PZL262214 QJH262213:QJH262214 QTD262213:QTD262214 RCZ262213:RCZ262214 RMV262213:RMV262214 RWR262213:RWR262214 SGN262213:SGN262214 SQJ262213:SQJ262214 TAF262213:TAF262214 TKB262213:TKB262214 TTX262213:TTX262214 UDT262213:UDT262214 UNP262213:UNP262214 UXL262213:UXL262214 VHH262213:VHH262214 VRD262213:VRD262214 WAZ262213:WAZ262214 WKV262213:WKV262214 WUR262213:WUR262214 IF327749:IF327750 SB327749:SB327750 ABX327749:ABX327750 ALT327749:ALT327750 AVP327749:AVP327750 BFL327749:BFL327750 BPH327749:BPH327750 BZD327749:BZD327750 CIZ327749:CIZ327750 CSV327749:CSV327750 DCR327749:DCR327750 DMN327749:DMN327750 DWJ327749:DWJ327750 EGF327749:EGF327750 EQB327749:EQB327750 EZX327749:EZX327750 FJT327749:FJT327750 FTP327749:FTP327750 GDL327749:GDL327750 GNH327749:GNH327750 GXD327749:GXD327750 HGZ327749:HGZ327750 HQV327749:HQV327750 IAR327749:IAR327750 IKN327749:IKN327750 IUJ327749:IUJ327750 JEF327749:JEF327750 JOB327749:JOB327750 JXX327749:JXX327750 KHT327749:KHT327750 KRP327749:KRP327750 LBL327749:LBL327750 LLH327749:LLH327750 LVD327749:LVD327750 MEZ327749:MEZ327750 MOV327749:MOV327750 MYR327749:MYR327750 NIN327749:NIN327750 NSJ327749:NSJ327750 OCF327749:OCF327750 OMB327749:OMB327750 OVX327749:OVX327750 PFT327749:PFT327750 PPP327749:PPP327750 PZL327749:PZL327750 QJH327749:QJH327750 QTD327749:QTD327750 RCZ327749:RCZ327750 RMV327749:RMV327750 RWR327749:RWR327750 SGN327749:SGN327750 SQJ327749:SQJ327750 TAF327749:TAF327750 TKB327749:TKB327750 TTX327749:TTX327750 UDT327749:UDT327750 UNP327749:UNP327750 UXL327749:UXL327750 VHH327749:VHH327750 VRD327749:VRD327750 WAZ327749:WAZ327750 WKV327749:WKV327750 WUR327749:WUR327750 IF393285:IF393286 SB393285:SB393286 ABX393285:ABX393286 ALT393285:ALT393286 AVP393285:AVP393286 BFL393285:BFL393286 BPH393285:BPH393286 BZD393285:BZD393286 CIZ393285:CIZ393286 CSV393285:CSV393286 DCR393285:DCR393286 DMN393285:DMN393286 DWJ393285:DWJ393286 EGF393285:EGF393286 EQB393285:EQB393286 EZX393285:EZX393286 FJT393285:FJT393286 FTP393285:FTP393286 GDL393285:GDL393286 GNH393285:GNH393286 GXD393285:GXD393286 HGZ393285:HGZ393286 HQV393285:HQV393286 IAR393285:IAR393286 IKN393285:IKN393286 IUJ393285:IUJ393286 JEF393285:JEF393286 JOB393285:JOB393286 JXX393285:JXX393286 KHT393285:KHT393286 KRP393285:KRP393286 LBL393285:LBL393286 LLH393285:LLH393286 LVD393285:LVD393286 MEZ393285:MEZ393286 MOV393285:MOV393286 MYR393285:MYR393286 NIN393285:NIN393286 NSJ393285:NSJ393286 OCF393285:OCF393286 OMB393285:OMB393286 OVX393285:OVX393286 PFT393285:PFT393286 PPP393285:PPP393286 PZL393285:PZL393286 QJH393285:QJH393286 QTD393285:QTD393286 RCZ393285:RCZ393286 RMV393285:RMV393286 RWR393285:RWR393286 SGN393285:SGN393286 SQJ393285:SQJ393286 TAF393285:TAF393286 TKB393285:TKB393286 TTX393285:TTX393286 UDT393285:UDT393286 UNP393285:UNP393286 UXL393285:UXL393286 VHH393285:VHH393286 VRD393285:VRD393286 WAZ393285:WAZ393286 WKV393285:WKV393286 WUR393285:WUR393286 IF458821:IF458822 SB458821:SB458822 ABX458821:ABX458822 ALT458821:ALT458822 AVP458821:AVP458822 BFL458821:BFL458822 BPH458821:BPH458822 BZD458821:BZD458822 CIZ458821:CIZ458822 CSV458821:CSV458822 DCR458821:DCR458822 DMN458821:DMN458822 DWJ458821:DWJ458822 EGF458821:EGF458822 EQB458821:EQB458822 EZX458821:EZX458822 FJT458821:FJT458822 FTP458821:FTP458822 GDL458821:GDL458822 GNH458821:GNH458822 GXD458821:GXD458822 HGZ458821:HGZ458822 HQV458821:HQV458822 IAR458821:IAR458822 IKN458821:IKN458822 IUJ458821:IUJ458822 JEF458821:JEF458822 JOB458821:JOB458822 JXX458821:JXX458822 KHT458821:KHT458822 KRP458821:KRP458822 LBL458821:LBL458822 LLH458821:LLH458822 LVD458821:LVD458822 MEZ458821:MEZ458822 MOV458821:MOV458822 MYR458821:MYR458822 NIN458821:NIN458822 NSJ458821:NSJ458822 OCF458821:OCF458822 OMB458821:OMB458822 OVX458821:OVX458822 PFT458821:PFT458822 PPP458821:PPP458822 PZL458821:PZL458822 QJH458821:QJH458822 QTD458821:QTD458822 RCZ458821:RCZ458822 RMV458821:RMV458822 RWR458821:RWR458822 SGN458821:SGN458822 SQJ458821:SQJ458822 TAF458821:TAF458822 TKB458821:TKB458822 TTX458821:TTX458822 UDT458821:UDT458822 UNP458821:UNP458822 UXL458821:UXL458822 VHH458821:VHH458822 VRD458821:VRD458822 WAZ458821:WAZ458822 WKV458821:WKV458822 WUR458821:WUR458822 IF524357:IF524358 SB524357:SB524358 ABX524357:ABX524358 ALT524357:ALT524358 AVP524357:AVP524358 BFL524357:BFL524358 BPH524357:BPH524358 BZD524357:BZD524358 CIZ524357:CIZ524358 CSV524357:CSV524358 DCR524357:DCR524358 DMN524357:DMN524358 DWJ524357:DWJ524358 EGF524357:EGF524358 EQB524357:EQB524358 EZX524357:EZX524358 FJT524357:FJT524358 FTP524357:FTP524358 GDL524357:GDL524358 GNH524357:GNH524358 GXD524357:GXD524358 HGZ524357:HGZ524358 HQV524357:HQV524358 IAR524357:IAR524358 IKN524357:IKN524358 IUJ524357:IUJ524358 JEF524357:JEF524358 JOB524357:JOB524358 JXX524357:JXX524358 KHT524357:KHT524358 KRP524357:KRP524358 LBL524357:LBL524358 LLH524357:LLH524358 LVD524357:LVD524358 MEZ524357:MEZ524358 MOV524357:MOV524358 MYR524357:MYR524358 NIN524357:NIN524358 NSJ524357:NSJ524358 OCF524357:OCF524358 OMB524357:OMB524358 OVX524357:OVX524358 PFT524357:PFT524358 PPP524357:PPP524358 PZL524357:PZL524358 QJH524357:QJH524358 QTD524357:QTD524358 RCZ524357:RCZ524358 RMV524357:RMV524358 RWR524357:RWR524358 SGN524357:SGN524358 SQJ524357:SQJ524358 TAF524357:TAF524358 TKB524357:TKB524358 TTX524357:TTX524358 UDT524357:UDT524358 UNP524357:UNP524358 UXL524357:UXL524358 VHH524357:VHH524358 VRD524357:VRD524358 WAZ524357:WAZ524358 WKV524357:WKV524358 WUR524357:WUR524358 IF589893:IF589894 SB589893:SB589894 ABX589893:ABX589894 ALT589893:ALT589894 AVP589893:AVP589894 BFL589893:BFL589894 BPH589893:BPH589894 BZD589893:BZD589894 CIZ589893:CIZ589894 CSV589893:CSV589894 DCR589893:DCR589894 DMN589893:DMN589894 DWJ589893:DWJ589894 EGF589893:EGF589894 EQB589893:EQB589894 EZX589893:EZX589894 FJT589893:FJT589894 FTP589893:FTP589894 GDL589893:GDL589894 GNH589893:GNH589894 GXD589893:GXD589894 HGZ589893:HGZ589894 HQV589893:HQV589894 IAR589893:IAR589894 IKN589893:IKN589894 IUJ589893:IUJ589894 JEF589893:JEF589894 JOB589893:JOB589894 JXX589893:JXX589894 KHT589893:KHT589894 KRP589893:KRP589894 LBL589893:LBL589894 LLH589893:LLH589894 LVD589893:LVD589894 MEZ589893:MEZ589894 MOV589893:MOV589894 MYR589893:MYR589894 NIN589893:NIN589894 NSJ589893:NSJ589894 OCF589893:OCF589894 OMB589893:OMB589894 OVX589893:OVX589894 PFT589893:PFT589894 PPP589893:PPP589894 PZL589893:PZL589894 QJH589893:QJH589894 QTD589893:QTD589894 RCZ589893:RCZ589894 RMV589893:RMV589894 RWR589893:RWR589894 SGN589893:SGN589894 SQJ589893:SQJ589894 TAF589893:TAF589894 TKB589893:TKB589894 TTX589893:TTX589894 UDT589893:UDT589894 UNP589893:UNP589894 UXL589893:UXL589894 VHH589893:VHH589894 VRD589893:VRD589894 WAZ589893:WAZ589894 WKV589893:WKV589894 WUR589893:WUR589894 IF655429:IF655430 SB655429:SB655430 ABX655429:ABX655430 ALT655429:ALT655430 AVP655429:AVP655430 BFL655429:BFL655430 BPH655429:BPH655430 BZD655429:BZD655430 CIZ655429:CIZ655430 CSV655429:CSV655430 DCR655429:DCR655430 DMN655429:DMN655430 DWJ655429:DWJ655430 EGF655429:EGF655430 EQB655429:EQB655430 EZX655429:EZX655430 FJT655429:FJT655430 FTP655429:FTP655430 GDL655429:GDL655430 GNH655429:GNH655430 GXD655429:GXD655430 HGZ655429:HGZ655430 HQV655429:HQV655430 IAR655429:IAR655430 IKN655429:IKN655430 IUJ655429:IUJ655430 JEF655429:JEF655430 JOB655429:JOB655430 JXX655429:JXX655430 KHT655429:KHT655430 KRP655429:KRP655430 LBL655429:LBL655430 LLH655429:LLH655430 LVD655429:LVD655430 MEZ655429:MEZ655430 MOV655429:MOV655430 MYR655429:MYR655430 NIN655429:NIN655430 NSJ655429:NSJ655430 OCF655429:OCF655430 OMB655429:OMB655430 OVX655429:OVX655430 PFT655429:PFT655430 PPP655429:PPP655430 PZL655429:PZL655430 QJH655429:QJH655430 QTD655429:QTD655430 RCZ655429:RCZ655430 RMV655429:RMV655430 RWR655429:RWR655430 SGN655429:SGN655430 SQJ655429:SQJ655430 TAF655429:TAF655430 TKB655429:TKB655430 TTX655429:TTX655430 UDT655429:UDT655430 UNP655429:UNP655430 UXL655429:UXL655430 VHH655429:VHH655430 VRD655429:VRD655430 WAZ655429:WAZ655430 WKV655429:WKV655430 WUR655429:WUR655430 IF720965:IF720966 SB720965:SB720966 ABX720965:ABX720966 ALT720965:ALT720966 AVP720965:AVP720966 BFL720965:BFL720966 BPH720965:BPH720966 BZD720965:BZD720966 CIZ720965:CIZ720966 CSV720965:CSV720966 DCR720965:DCR720966 DMN720965:DMN720966 DWJ720965:DWJ720966 EGF720965:EGF720966 EQB720965:EQB720966 EZX720965:EZX720966 FJT720965:FJT720966 FTP720965:FTP720966 GDL720965:GDL720966 GNH720965:GNH720966 GXD720965:GXD720966 HGZ720965:HGZ720966 HQV720965:HQV720966 IAR720965:IAR720966 IKN720965:IKN720966 IUJ720965:IUJ720966 JEF720965:JEF720966 JOB720965:JOB720966 JXX720965:JXX720966 KHT720965:KHT720966 KRP720965:KRP720966 LBL720965:LBL720966 LLH720965:LLH720966 LVD720965:LVD720966 MEZ720965:MEZ720966 MOV720965:MOV720966 MYR720965:MYR720966 NIN720965:NIN720966 NSJ720965:NSJ720966 OCF720965:OCF720966 OMB720965:OMB720966 OVX720965:OVX720966 PFT720965:PFT720966 PPP720965:PPP720966 PZL720965:PZL720966 QJH720965:QJH720966 QTD720965:QTD720966 RCZ720965:RCZ720966 RMV720965:RMV720966 RWR720965:RWR720966 SGN720965:SGN720966 SQJ720965:SQJ720966 TAF720965:TAF720966 TKB720965:TKB720966 TTX720965:TTX720966 UDT720965:UDT720966 UNP720965:UNP720966 UXL720965:UXL720966 VHH720965:VHH720966 VRD720965:VRD720966 WAZ720965:WAZ720966 WKV720965:WKV720966 WUR720965:WUR720966 IF786501:IF786502 SB786501:SB786502 ABX786501:ABX786502 ALT786501:ALT786502 AVP786501:AVP786502 BFL786501:BFL786502 BPH786501:BPH786502 BZD786501:BZD786502 CIZ786501:CIZ786502 CSV786501:CSV786502 DCR786501:DCR786502 DMN786501:DMN786502 DWJ786501:DWJ786502 EGF786501:EGF786502 EQB786501:EQB786502 EZX786501:EZX786502 FJT786501:FJT786502 FTP786501:FTP786502 GDL786501:GDL786502 GNH786501:GNH786502 GXD786501:GXD786502 HGZ786501:HGZ786502 HQV786501:HQV786502 IAR786501:IAR786502 IKN786501:IKN786502 IUJ786501:IUJ786502 JEF786501:JEF786502 JOB786501:JOB786502 JXX786501:JXX786502 KHT786501:KHT786502 KRP786501:KRP786502 LBL786501:LBL786502 LLH786501:LLH786502 LVD786501:LVD786502 MEZ786501:MEZ786502 MOV786501:MOV786502 MYR786501:MYR786502 NIN786501:NIN786502 NSJ786501:NSJ786502 OCF786501:OCF786502 OMB786501:OMB786502 OVX786501:OVX786502 PFT786501:PFT786502 PPP786501:PPP786502 PZL786501:PZL786502 QJH786501:QJH786502 QTD786501:QTD786502 RCZ786501:RCZ786502 RMV786501:RMV786502 RWR786501:RWR786502 SGN786501:SGN786502 SQJ786501:SQJ786502 TAF786501:TAF786502 TKB786501:TKB786502 TTX786501:TTX786502 UDT786501:UDT786502 UNP786501:UNP786502 UXL786501:UXL786502 VHH786501:VHH786502 VRD786501:VRD786502 WAZ786501:WAZ786502 WKV786501:WKV786502 WUR786501:WUR786502 IF852037:IF852038 SB852037:SB852038 ABX852037:ABX852038 ALT852037:ALT852038 AVP852037:AVP852038 BFL852037:BFL852038 BPH852037:BPH852038 BZD852037:BZD852038 CIZ852037:CIZ852038 CSV852037:CSV852038 DCR852037:DCR852038 DMN852037:DMN852038 DWJ852037:DWJ852038 EGF852037:EGF852038 EQB852037:EQB852038 EZX852037:EZX852038 FJT852037:FJT852038 FTP852037:FTP852038 GDL852037:GDL852038 GNH852037:GNH852038 GXD852037:GXD852038 HGZ852037:HGZ852038 HQV852037:HQV852038 IAR852037:IAR852038 IKN852037:IKN852038 IUJ852037:IUJ852038 JEF852037:JEF852038 JOB852037:JOB852038 JXX852037:JXX852038 KHT852037:KHT852038 KRP852037:KRP852038 LBL852037:LBL852038 LLH852037:LLH852038 LVD852037:LVD852038 MEZ852037:MEZ852038 MOV852037:MOV852038 MYR852037:MYR852038 NIN852037:NIN852038 NSJ852037:NSJ852038 OCF852037:OCF852038 OMB852037:OMB852038 OVX852037:OVX852038 PFT852037:PFT852038 PPP852037:PPP852038 PZL852037:PZL852038 QJH852037:QJH852038 QTD852037:QTD852038 RCZ852037:RCZ852038 RMV852037:RMV852038 RWR852037:RWR852038 SGN852037:SGN852038 SQJ852037:SQJ852038 TAF852037:TAF852038 TKB852037:TKB852038 TTX852037:TTX852038 UDT852037:UDT852038 UNP852037:UNP852038 UXL852037:UXL852038 VHH852037:VHH852038 VRD852037:VRD852038 WAZ852037:WAZ852038 WKV852037:WKV852038 WUR852037:WUR852038 IF917573:IF917574 SB917573:SB917574 ABX917573:ABX917574 ALT917573:ALT917574 AVP917573:AVP917574 BFL917573:BFL917574 BPH917573:BPH917574 BZD917573:BZD917574 CIZ917573:CIZ917574 CSV917573:CSV917574 DCR917573:DCR917574 DMN917573:DMN917574 DWJ917573:DWJ917574 EGF917573:EGF917574 EQB917573:EQB917574 EZX917573:EZX917574 FJT917573:FJT917574 FTP917573:FTP917574 GDL917573:GDL917574 GNH917573:GNH917574 GXD917573:GXD917574 HGZ917573:HGZ917574 HQV917573:HQV917574 IAR917573:IAR917574 IKN917573:IKN917574 IUJ917573:IUJ917574 JEF917573:JEF917574 JOB917573:JOB917574 JXX917573:JXX917574 KHT917573:KHT917574 KRP917573:KRP917574 LBL917573:LBL917574 LLH917573:LLH917574 LVD917573:LVD917574 MEZ917573:MEZ917574 MOV917573:MOV917574 MYR917573:MYR917574 NIN917573:NIN917574 NSJ917573:NSJ917574 OCF917573:OCF917574 OMB917573:OMB917574 OVX917573:OVX917574 PFT917573:PFT917574 PPP917573:PPP917574 PZL917573:PZL917574 QJH917573:QJH917574 QTD917573:QTD917574 RCZ917573:RCZ917574 RMV917573:RMV917574 RWR917573:RWR917574 SGN917573:SGN917574 SQJ917573:SQJ917574 TAF917573:TAF917574 TKB917573:TKB917574 TTX917573:TTX917574 UDT917573:UDT917574 UNP917573:UNP917574 UXL917573:UXL917574 VHH917573:VHH917574 VRD917573:VRD917574 WAZ917573:WAZ917574 WKV917573:WKV917574 WUR917573:WUR917574 IF983109:IF983110 SB983109:SB983110 ABX983109:ABX983110 ALT983109:ALT983110 AVP983109:AVP983110 BFL983109:BFL983110 BPH983109:BPH983110 BZD983109:BZD983110 CIZ983109:CIZ983110 CSV983109:CSV983110 DCR983109:DCR983110 DMN983109:DMN983110 DWJ983109:DWJ983110 EGF983109:EGF983110 EQB983109:EQB983110 EZX983109:EZX983110 FJT983109:FJT983110 FTP983109:FTP983110 GDL983109:GDL983110 GNH983109:GNH983110 GXD983109:GXD983110 HGZ983109:HGZ983110 HQV983109:HQV983110 IAR983109:IAR983110 IKN983109:IKN983110 IUJ983109:IUJ983110 JEF983109:JEF983110 JOB983109:JOB983110 JXX983109:JXX983110 KHT983109:KHT983110 KRP983109:KRP983110 LBL983109:LBL983110 LLH983109:LLH983110 LVD983109:LVD983110 MEZ983109:MEZ983110 MOV983109:MOV983110 MYR983109:MYR983110 NIN983109:NIN983110 NSJ983109:NSJ983110 OCF983109:OCF983110 OMB983109:OMB983110 OVX983109:OVX983110 PFT983109:PFT983110 PPP983109:PPP983110 PZL983109:PZL983110 QJH983109:QJH983110 QTD983109:QTD983110 RCZ983109:RCZ983110 RMV983109:RMV983110 RWR983109:RWR983110 SGN983109:SGN983110 SQJ983109:SQJ983110 TAF983109:TAF983110 TKB983109:TKB983110 TTX983109:TTX983110 UDT983109:UDT983110 UNP983109:UNP983110 UXL983109:UXL983110 VHH983109:VHH983110 VRD983109:VRD983110 WAZ983109:WAZ983110 WKV983109:WKV983110 WUR983109:WUR983110 HS15:HS16 RO15:RO16 ABK15:ABK16 ALG15:ALG16 AVC15:AVC16 BEY15:BEY16 BOU15:BOU16 BYQ15:BYQ16 CIM15:CIM16 CSI15:CSI16 DCE15:DCE16 DMA15:DMA16 DVW15:DVW16 EFS15:EFS16 EPO15:EPO16 EZK15:EZK16 FJG15:FJG16 FTC15:FTC16 GCY15:GCY16 GMU15:GMU16 GWQ15:GWQ16 HGM15:HGM16 HQI15:HQI16 IAE15:IAE16 IKA15:IKA16 ITW15:ITW16 JDS15:JDS16 JNO15:JNO16 JXK15:JXK16 KHG15:KHG16 KRC15:KRC16 LAY15:LAY16 LKU15:LKU16 LUQ15:LUQ16 MEM15:MEM16 MOI15:MOI16 MYE15:MYE16 NIA15:NIA16 NRW15:NRW16 OBS15:OBS16 OLO15:OLO16 OVK15:OVK16 PFG15:PFG16 PPC15:PPC16 PYY15:PYY16 QIU15:QIU16 QSQ15:QSQ16 RCM15:RCM16 RMI15:RMI16 RWE15:RWE16 SGA15:SGA16 SPW15:SPW16 SZS15:SZS16 TJO15:TJO16 TTK15:TTK16 UDG15:UDG16 UNC15:UNC16 UWY15:UWY16 VGU15:VGU16 VQQ15:VQQ16 WAM15:WAM16 WKI15:WKI16 WUE21 HS21 RO21 ABK21 ALG21 AVC21 BEY21 BOU21 BYQ21 CIM21 CSI21 DCE21 DMA21 DVW21 EFS21 EPO21 EZK21 FJG21 FTC21 GCY21 GMU21 GWQ21 HGM21 HQI21 IAE21 IKA21 ITW21 JDS21 JNO21 JXK21 KHG21 KRC21 LAY21 LKU21 LUQ21 MEM21 MOI21 MYE21 NIA21 NRW21 OBS21 OLO21 OVK21 PFG21 PPC21 PYY21 QIU21 QSQ21 RCM21 RMI21 RWE21 SGA21 SPW21 SZS21 TJO21 TTK21 UDG21 UNC21 UWY21 VGU21 VQQ21 WAM21 WKI21 WUE26 HS26 RO26 ABK26 ALG26 AVC26 BEY26 BOU26 BYQ26 CIM26 CSI26 DCE26 DMA26 DVW26 EFS26 EPO26 EZK26 FJG26 FTC26 GCY26 GMU26 GWQ26 HGM26 HQI26 IAE26 IKA26 ITW26 JDS26 JNO26 JXK26 KHG26 KRC26 LAY26 LKU26 LUQ26 MEM26 MOI26 MYE26 NIA26 NRW26 OBS26 OLO26 OVK26 PFG26 PPC26 PYY26 QIU26 QSQ26 RCM26 RMI26 RWE26 SGA26 SPW26 SZS26 TJO26 TTK26 UDG26 UNC26 UWY26 VGU26 VQQ26 WAM26 WKI26 WUE31 HS31 RO31 ABK31 ALG31 AVC31 BEY31 BOU31 BYQ31 CIM31 CSI31 DCE31 DMA31 DVW31 EFS31 EPO31 EZK31 FJG31 FTC31 GCY31 GMU31 GWQ31 HGM31 HQI31 IAE31 IKA31 ITW31 JDS31 JNO31 JXK31 KHG31 KRC31 LAY31 LKU31 LUQ31 MEM31 MOI31 MYE31 NIA31 NRW31 OBS31 OLO31 OVK31 PFG31 PPC31 PYY31 QIU31 QSQ31 RCM31 RMI31 RWE31 SGA31 SPW31 SZS31 TJO31 TTK31 UDG31 UNC31 UWY31 VGU31 VQQ31 WAM31 WKI31 WUE36 HS36 RO36 ABK36 ALG36 AVC36 BEY36 BOU36 BYQ36 CIM36 CSI36 DCE36 DMA36 DVW36 EFS36 EPO36 EZK36 FJG36 FTC36 GCY36 GMU36 GWQ36 HGM36 HQI36 IAE36 IKA36 ITW36 JDS36 JNO36 JXK36 KHG36 KRC36 LAY36 LKU36 LUQ36 MEM36 MOI36 MYE36 NIA36 NRW36 OBS36 OLO36 OVK36 PFG36 PPC36 PYY36 QIU36 QSQ36 RCM36 RMI36 RWE36 SGA36 SPW36 SZS36 TJO36 TTK36 UDG36 UNC36 UWY36 VGU36 VQQ36 WAM36 WKI36 WUE41 HS41 RO41 ABK41 ALG41 AVC41 BEY41 BOU41 BYQ41 CIM41 CSI41 DCE41 DMA41 DVW41 EFS41 EPO41 EZK41 FJG41 FTC41 GCY41 GMU41 GWQ41 HGM41 HQI41 IAE41 IKA41 ITW41 JDS41 JNO41 JXK41 KHG41 KRC41 LAY41 LKU41 LUQ41 MEM41 MOI41 MYE41 NIA41 NRW41 OBS41 OLO41 OVK41 PFG41 PPC41 PYY41 QIU41 QSQ41 RCM41 RMI41 RWE41 SGA41 SPW41 SZS41 TJO41 TTK41 UDG41 UNC41 UWY41 VGU41 VQQ41 WAM41 WKI41 WUE46 HS46 RO46 ABK46 ALG46 AVC46 BEY46 BOU46 BYQ46 CIM46 CSI46 DCE46 DMA46 DVW46 EFS46 EPO46 EZK46 FJG46 FTC46 GCY46 GMU46 GWQ46 HGM46 HQI46 IAE46 IKA46 ITW46 JDS46 JNO46 JXK46 KHG46 KRC46 LAY46 LKU46 LUQ46 MEM46 MOI46 MYE46 NIA46 NRW46 OBS46 OLO46 OVK46 PFG46 PPC46 PYY46 QIU46 QSQ46 RCM46 RMI46 RWE46 SGA46 SPW46 SZS46 TJO46 TTK46 UDG46 UNC46 UWY46 VGU46 VQQ46 WAM46 WKI46 IF5:IF10 WUR5:WUR10 WKV5:WKV10 WAZ5:WAZ10 VRD5:VRD10 VHH5:VHH10 UXL5:UXL10 UNP5:UNP10 UDT5:UDT10 TTX5:TTX10 TKB5:TKB10 TAF5:TAF10 SQJ5:SQJ10 SGN5:SGN10 RWR5:RWR10 RMV5:RMV10 RCZ5:RCZ10 QTD5:QTD10 QJH5:QJH10 PZL5:PZL10 PPP5:PPP10 PFT5:PFT10 OVX5:OVX10 OMB5:OMB10 OCF5:OCF10 NSJ5:NSJ10 NIN5:NIN10 MYR5:MYR10 MOV5:MOV10 MEZ5:MEZ10 LVD5:LVD10 LLH5:LLH10 LBL5:LBL10 KRP5:KRP10 KHT5:KHT10 JXX5:JXX10 JOB5:JOB10 JEF5:JEF10 IUJ5:IUJ10 IKN5:IKN10 IAR5:IAR10 HQV5:HQV10 HGZ5:HGZ10 GXD5:GXD10 GNH5:GNH10 GDL5:GDL10 FTP5:FTP10 FJT5:FJT10 EZX5:EZX10 EQB5:EQB10 EGF5:EGF10 DWJ5:DWJ10 DMN5:DMN10 DCR5:DCR10 CSV5:CSV10 CIZ5:CIZ10 BZD5:BZD10 BPH5:BPH10 BFL5:BFL10 AVP5:AVP10 ALT5:ALT10 ABX5:ABX10 SB5:SB10" xr:uid="{DF5C3E5E-081A-44FB-813F-87E351470613}">
      <formula1>"Home Loan, LAP,Vehicle Loan,CVL, Personal Loan,Business Loan, CC/OD,Term Loan,Machinery Loan,Education Loan"</formula1>
    </dataValidation>
    <dataValidation allowBlank="1" showInputMessage="1" sqref="J16:U51" xr:uid="{FEDB4D0E-A452-4CA5-834D-441303E2FD24}"/>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whole" allowBlank="1" showInputMessage="1" showErrorMessage="1" errorTitle="Error" error="Not a valid Date" promptTitle="Date" prompt="Insert a date (DD)" xr:uid="{939330BA-B23D-4C00-9F97-941185606B9F}">
          <x14:formula1>
            <xm:f>1</xm:f>
          </x14:formula1>
          <x14:formula2>
            <xm:f>31</xm:f>
          </x14:formula2>
          <xm:sqref>J65606:J65607 IT65605:IT65606 SP65605:SP65606 ACL65605:ACL65606 AMH65605:AMH65606 AWD65605:AWD65606 BFZ65605:BFZ65606 BPV65605:BPV65606 BZR65605:BZR65606 CJN65605:CJN65606 CTJ65605:CTJ65606 DDF65605:DDF65606 DNB65605:DNB65606 DWX65605:DWX65606 EGT65605:EGT65606 EQP65605:EQP65606 FAL65605:FAL65606 FKH65605:FKH65606 FUD65605:FUD65606 GDZ65605:GDZ65606 GNV65605:GNV65606 GXR65605:GXR65606 HHN65605:HHN65606 HRJ65605:HRJ65606 IBF65605:IBF65606 ILB65605:ILB65606 IUX65605:IUX65606 JET65605:JET65606 JOP65605:JOP65606 JYL65605:JYL65606 KIH65605:KIH65606 KSD65605:KSD65606 LBZ65605:LBZ65606 LLV65605:LLV65606 LVR65605:LVR65606 MFN65605:MFN65606 MPJ65605:MPJ65606 MZF65605:MZF65606 NJB65605:NJB65606 NSX65605:NSX65606 OCT65605:OCT65606 OMP65605:OMP65606 OWL65605:OWL65606 PGH65605:PGH65606 PQD65605:PQD65606 PZZ65605:PZZ65606 QJV65605:QJV65606 QTR65605:QTR65606 RDN65605:RDN65606 RNJ65605:RNJ65606 RXF65605:RXF65606 SHB65605:SHB65606 SQX65605:SQX65606 TAT65605:TAT65606 TKP65605:TKP65606 TUL65605:TUL65606 UEH65605:UEH65606 UOD65605:UOD65606 UXZ65605:UXZ65606 VHV65605:VHV65606 VRR65605:VRR65606 WBN65605:WBN65606 WLJ65605:WLJ65606 WVF65605:WVF65606 J131142:J131143 IT131141:IT131142 SP131141:SP131142 ACL131141:ACL131142 AMH131141:AMH131142 AWD131141:AWD131142 BFZ131141:BFZ131142 BPV131141:BPV131142 BZR131141:BZR131142 CJN131141:CJN131142 CTJ131141:CTJ131142 DDF131141:DDF131142 DNB131141:DNB131142 DWX131141:DWX131142 EGT131141:EGT131142 EQP131141:EQP131142 FAL131141:FAL131142 FKH131141:FKH131142 FUD131141:FUD131142 GDZ131141:GDZ131142 GNV131141:GNV131142 GXR131141:GXR131142 HHN131141:HHN131142 HRJ131141:HRJ131142 IBF131141:IBF131142 ILB131141:ILB131142 IUX131141:IUX131142 JET131141:JET131142 JOP131141:JOP131142 JYL131141:JYL131142 KIH131141:KIH131142 KSD131141:KSD131142 LBZ131141:LBZ131142 LLV131141:LLV131142 LVR131141:LVR131142 MFN131141:MFN131142 MPJ131141:MPJ131142 MZF131141:MZF131142 NJB131141:NJB131142 NSX131141:NSX131142 OCT131141:OCT131142 OMP131141:OMP131142 OWL131141:OWL131142 PGH131141:PGH131142 PQD131141:PQD131142 PZZ131141:PZZ131142 QJV131141:QJV131142 QTR131141:QTR131142 RDN131141:RDN131142 RNJ131141:RNJ131142 RXF131141:RXF131142 SHB131141:SHB131142 SQX131141:SQX131142 TAT131141:TAT131142 TKP131141:TKP131142 TUL131141:TUL131142 UEH131141:UEH131142 UOD131141:UOD131142 UXZ131141:UXZ131142 VHV131141:VHV131142 VRR131141:VRR131142 WBN131141:WBN131142 WLJ131141:WLJ131142 WVF131141:WVF131142 J196678:J196679 IT196677:IT196678 SP196677:SP196678 ACL196677:ACL196678 AMH196677:AMH196678 AWD196677:AWD196678 BFZ196677:BFZ196678 BPV196677:BPV196678 BZR196677:BZR196678 CJN196677:CJN196678 CTJ196677:CTJ196678 DDF196677:DDF196678 DNB196677:DNB196678 DWX196677:DWX196678 EGT196677:EGT196678 EQP196677:EQP196678 FAL196677:FAL196678 FKH196677:FKH196678 FUD196677:FUD196678 GDZ196677:GDZ196678 GNV196677:GNV196678 GXR196677:GXR196678 HHN196677:HHN196678 HRJ196677:HRJ196678 IBF196677:IBF196678 ILB196677:ILB196678 IUX196677:IUX196678 JET196677:JET196678 JOP196677:JOP196678 JYL196677:JYL196678 KIH196677:KIH196678 KSD196677:KSD196678 LBZ196677:LBZ196678 LLV196677:LLV196678 LVR196677:LVR196678 MFN196677:MFN196678 MPJ196677:MPJ196678 MZF196677:MZF196678 NJB196677:NJB196678 NSX196677:NSX196678 OCT196677:OCT196678 OMP196677:OMP196678 OWL196677:OWL196678 PGH196677:PGH196678 PQD196677:PQD196678 PZZ196677:PZZ196678 QJV196677:QJV196678 QTR196677:QTR196678 RDN196677:RDN196678 RNJ196677:RNJ196678 RXF196677:RXF196678 SHB196677:SHB196678 SQX196677:SQX196678 TAT196677:TAT196678 TKP196677:TKP196678 TUL196677:TUL196678 UEH196677:UEH196678 UOD196677:UOD196678 UXZ196677:UXZ196678 VHV196677:VHV196678 VRR196677:VRR196678 WBN196677:WBN196678 WLJ196677:WLJ196678 WVF196677:WVF196678 J262214:J262215 IT262213:IT262214 SP262213:SP262214 ACL262213:ACL262214 AMH262213:AMH262214 AWD262213:AWD262214 BFZ262213:BFZ262214 BPV262213:BPV262214 BZR262213:BZR262214 CJN262213:CJN262214 CTJ262213:CTJ262214 DDF262213:DDF262214 DNB262213:DNB262214 DWX262213:DWX262214 EGT262213:EGT262214 EQP262213:EQP262214 FAL262213:FAL262214 FKH262213:FKH262214 FUD262213:FUD262214 GDZ262213:GDZ262214 GNV262213:GNV262214 GXR262213:GXR262214 HHN262213:HHN262214 HRJ262213:HRJ262214 IBF262213:IBF262214 ILB262213:ILB262214 IUX262213:IUX262214 JET262213:JET262214 JOP262213:JOP262214 JYL262213:JYL262214 KIH262213:KIH262214 KSD262213:KSD262214 LBZ262213:LBZ262214 LLV262213:LLV262214 LVR262213:LVR262214 MFN262213:MFN262214 MPJ262213:MPJ262214 MZF262213:MZF262214 NJB262213:NJB262214 NSX262213:NSX262214 OCT262213:OCT262214 OMP262213:OMP262214 OWL262213:OWL262214 PGH262213:PGH262214 PQD262213:PQD262214 PZZ262213:PZZ262214 QJV262213:QJV262214 QTR262213:QTR262214 RDN262213:RDN262214 RNJ262213:RNJ262214 RXF262213:RXF262214 SHB262213:SHB262214 SQX262213:SQX262214 TAT262213:TAT262214 TKP262213:TKP262214 TUL262213:TUL262214 UEH262213:UEH262214 UOD262213:UOD262214 UXZ262213:UXZ262214 VHV262213:VHV262214 VRR262213:VRR262214 WBN262213:WBN262214 WLJ262213:WLJ262214 WVF262213:WVF262214 J327750:J327751 IT327749:IT327750 SP327749:SP327750 ACL327749:ACL327750 AMH327749:AMH327750 AWD327749:AWD327750 BFZ327749:BFZ327750 BPV327749:BPV327750 BZR327749:BZR327750 CJN327749:CJN327750 CTJ327749:CTJ327750 DDF327749:DDF327750 DNB327749:DNB327750 DWX327749:DWX327750 EGT327749:EGT327750 EQP327749:EQP327750 FAL327749:FAL327750 FKH327749:FKH327750 FUD327749:FUD327750 GDZ327749:GDZ327750 GNV327749:GNV327750 GXR327749:GXR327750 HHN327749:HHN327750 HRJ327749:HRJ327750 IBF327749:IBF327750 ILB327749:ILB327750 IUX327749:IUX327750 JET327749:JET327750 JOP327749:JOP327750 JYL327749:JYL327750 KIH327749:KIH327750 KSD327749:KSD327750 LBZ327749:LBZ327750 LLV327749:LLV327750 LVR327749:LVR327750 MFN327749:MFN327750 MPJ327749:MPJ327750 MZF327749:MZF327750 NJB327749:NJB327750 NSX327749:NSX327750 OCT327749:OCT327750 OMP327749:OMP327750 OWL327749:OWL327750 PGH327749:PGH327750 PQD327749:PQD327750 PZZ327749:PZZ327750 QJV327749:QJV327750 QTR327749:QTR327750 RDN327749:RDN327750 RNJ327749:RNJ327750 RXF327749:RXF327750 SHB327749:SHB327750 SQX327749:SQX327750 TAT327749:TAT327750 TKP327749:TKP327750 TUL327749:TUL327750 UEH327749:UEH327750 UOD327749:UOD327750 UXZ327749:UXZ327750 VHV327749:VHV327750 VRR327749:VRR327750 WBN327749:WBN327750 WLJ327749:WLJ327750 WVF327749:WVF327750 J393286:J393287 IT393285:IT393286 SP393285:SP393286 ACL393285:ACL393286 AMH393285:AMH393286 AWD393285:AWD393286 BFZ393285:BFZ393286 BPV393285:BPV393286 BZR393285:BZR393286 CJN393285:CJN393286 CTJ393285:CTJ393286 DDF393285:DDF393286 DNB393285:DNB393286 DWX393285:DWX393286 EGT393285:EGT393286 EQP393285:EQP393286 FAL393285:FAL393286 FKH393285:FKH393286 FUD393285:FUD393286 GDZ393285:GDZ393286 GNV393285:GNV393286 GXR393285:GXR393286 HHN393285:HHN393286 HRJ393285:HRJ393286 IBF393285:IBF393286 ILB393285:ILB393286 IUX393285:IUX393286 JET393285:JET393286 JOP393285:JOP393286 JYL393285:JYL393286 KIH393285:KIH393286 KSD393285:KSD393286 LBZ393285:LBZ393286 LLV393285:LLV393286 LVR393285:LVR393286 MFN393285:MFN393286 MPJ393285:MPJ393286 MZF393285:MZF393286 NJB393285:NJB393286 NSX393285:NSX393286 OCT393285:OCT393286 OMP393285:OMP393286 OWL393285:OWL393286 PGH393285:PGH393286 PQD393285:PQD393286 PZZ393285:PZZ393286 QJV393285:QJV393286 QTR393285:QTR393286 RDN393285:RDN393286 RNJ393285:RNJ393286 RXF393285:RXF393286 SHB393285:SHB393286 SQX393285:SQX393286 TAT393285:TAT393286 TKP393285:TKP393286 TUL393285:TUL393286 UEH393285:UEH393286 UOD393285:UOD393286 UXZ393285:UXZ393286 VHV393285:VHV393286 VRR393285:VRR393286 WBN393285:WBN393286 WLJ393285:WLJ393286 WVF393285:WVF393286 J458822:J458823 IT458821:IT458822 SP458821:SP458822 ACL458821:ACL458822 AMH458821:AMH458822 AWD458821:AWD458822 BFZ458821:BFZ458822 BPV458821:BPV458822 BZR458821:BZR458822 CJN458821:CJN458822 CTJ458821:CTJ458822 DDF458821:DDF458822 DNB458821:DNB458822 DWX458821:DWX458822 EGT458821:EGT458822 EQP458821:EQP458822 FAL458821:FAL458822 FKH458821:FKH458822 FUD458821:FUD458822 GDZ458821:GDZ458822 GNV458821:GNV458822 GXR458821:GXR458822 HHN458821:HHN458822 HRJ458821:HRJ458822 IBF458821:IBF458822 ILB458821:ILB458822 IUX458821:IUX458822 JET458821:JET458822 JOP458821:JOP458822 JYL458821:JYL458822 KIH458821:KIH458822 KSD458821:KSD458822 LBZ458821:LBZ458822 LLV458821:LLV458822 LVR458821:LVR458822 MFN458821:MFN458822 MPJ458821:MPJ458822 MZF458821:MZF458822 NJB458821:NJB458822 NSX458821:NSX458822 OCT458821:OCT458822 OMP458821:OMP458822 OWL458821:OWL458822 PGH458821:PGH458822 PQD458821:PQD458822 PZZ458821:PZZ458822 QJV458821:QJV458822 QTR458821:QTR458822 RDN458821:RDN458822 RNJ458821:RNJ458822 RXF458821:RXF458822 SHB458821:SHB458822 SQX458821:SQX458822 TAT458821:TAT458822 TKP458821:TKP458822 TUL458821:TUL458822 UEH458821:UEH458822 UOD458821:UOD458822 UXZ458821:UXZ458822 VHV458821:VHV458822 VRR458821:VRR458822 WBN458821:WBN458822 WLJ458821:WLJ458822 WVF458821:WVF458822 J524358:J524359 IT524357:IT524358 SP524357:SP524358 ACL524357:ACL524358 AMH524357:AMH524358 AWD524357:AWD524358 BFZ524357:BFZ524358 BPV524357:BPV524358 BZR524357:BZR524358 CJN524357:CJN524358 CTJ524357:CTJ524358 DDF524357:DDF524358 DNB524357:DNB524358 DWX524357:DWX524358 EGT524357:EGT524358 EQP524357:EQP524358 FAL524357:FAL524358 FKH524357:FKH524358 FUD524357:FUD524358 GDZ524357:GDZ524358 GNV524357:GNV524358 GXR524357:GXR524358 HHN524357:HHN524358 HRJ524357:HRJ524358 IBF524357:IBF524358 ILB524357:ILB524358 IUX524357:IUX524358 JET524357:JET524358 JOP524357:JOP524358 JYL524357:JYL524358 KIH524357:KIH524358 KSD524357:KSD524358 LBZ524357:LBZ524358 LLV524357:LLV524358 LVR524357:LVR524358 MFN524357:MFN524358 MPJ524357:MPJ524358 MZF524357:MZF524358 NJB524357:NJB524358 NSX524357:NSX524358 OCT524357:OCT524358 OMP524357:OMP524358 OWL524357:OWL524358 PGH524357:PGH524358 PQD524357:PQD524358 PZZ524357:PZZ524358 QJV524357:QJV524358 QTR524357:QTR524358 RDN524357:RDN524358 RNJ524357:RNJ524358 RXF524357:RXF524358 SHB524357:SHB524358 SQX524357:SQX524358 TAT524357:TAT524358 TKP524357:TKP524358 TUL524357:TUL524358 UEH524357:UEH524358 UOD524357:UOD524358 UXZ524357:UXZ524358 VHV524357:VHV524358 VRR524357:VRR524358 WBN524357:WBN524358 WLJ524357:WLJ524358 WVF524357:WVF524358 J589894:J589895 IT589893:IT589894 SP589893:SP589894 ACL589893:ACL589894 AMH589893:AMH589894 AWD589893:AWD589894 BFZ589893:BFZ589894 BPV589893:BPV589894 BZR589893:BZR589894 CJN589893:CJN589894 CTJ589893:CTJ589894 DDF589893:DDF589894 DNB589893:DNB589894 DWX589893:DWX589894 EGT589893:EGT589894 EQP589893:EQP589894 FAL589893:FAL589894 FKH589893:FKH589894 FUD589893:FUD589894 GDZ589893:GDZ589894 GNV589893:GNV589894 GXR589893:GXR589894 HHN589893:HHN589894 HRJ589893:HRJ589894 IBF589893:IBF589894 ILB589893:ILB589894 IUX589893:IUX589894 JET589893:JET589894 JOP589893:JOP589894 JYL589893:JYL589894 KIH589893:KIH589894 KSD589893:KSD589894 LBZ589893:LBZ589894 LLV589893:LLV589894 LVR589893:LVR589894 MFN589893:MFN589894 MPJ589893:MPJ589894 MZF589893:MZF589894 NJB589893:NJB589894 NSX589893:NSX589894 OCT589893:OCT589894 OMP589893:OMP589894 OWL589893:OWL589894 PGH589893:PGH589894 PQD589893:PQD589894 PZZ589893:PZZ589894 QJV589893:QJV589894 QTR589893:QTR589894 RDN589893:RDN589894 RNJ589893:RNJ589894 RXF589893:RXF589894 SHB589893:SHB589894 SQX589893:SQX589894 TAT589893:TAT589894 TKP589893:TKP589894 TUL589893:TUL589894 UEH589893:UEH589894 UOD589893:UOD589894 UXZ589893:UXZ589894 VHV589893:VHV589894 VRR589893:VRR589894 WBN589893:WBN589894 WLJ589893:WLJ589894 WVF589893:WVF589894 J655430:J655431 IT655429:IT655430 SP655429:SP655430 ACL655429:ACL655430 AMH655429:AMH655430 AWD655429:AWD655430 BFZ655429:BFZ655430 BPV655429:BPV655430 BZR655429:BZR655430 CJN655429:CJN655430 CTJ655429:CTJ655430 DDF655429:DDF655430 DNB655429:DNB655430 DWX655429:DWX655430 EGT655429:EGT655430 EQP655429:EQP655430 FAL655429:FAL655430 FKH655429:FKH655430 FUD655429:FUD655430 GDZ655429:GDZ655430 GNV655429:GNV655430 GXR655429:GXR655430 HHN655429:HHN655430 HRJ655429:HRJ655430 IBF655429:IBF655430 ILB655429:ILB655430 IUX655429:IUX655430 JET655429:JET655430 JOP655429:JOP655430 JYL655429:JYL655430 KIH655429:KIH655430 KSD655429:KSD655430 LBZ655429:LBZ655430 LLV655429:LLV655430 LVR655429:LVR655430 MFN655429:MFN655430 MPJ655429:MPJ655430 MZF655429:MZF655430 NJB655429:NJB655430 NSX655429:NSX655430 OCT655429:OCT655430 OMP655429:OMP655430 OWL655429:OWL655430 PGH655429:PGH655430 PQD655429:PQD655430 PZZ655429:PZZ655430 QJV655429:QJV655430 QTR655429:QTR655430 RDN655429:RDN655430 RNJ655429:RNJ655430 RXF655429:RXF655430 SHB655429:SHB655430 SQX655429:SQX655430 TAT655429:TAT655430 TKP655429:TKP655430 TUL655429:TUL655430 UEH655429:UEH655430 UOD655429:UOD655430 UXZ655429:UXZ655430 VHV655429:VHV655430 VRR655429:VRR655430 WBN655429:WBN655430 WLJ655429:WLJ655430 WVF655429:WVF655430 J720966:J720967 IT720965:IT720966 SP720965:SP720966 ACL720965:ACL720966 AMH720965:AMH720966 AWD720965:AWD720966 BFZ720965:BFZ720966 BPV720965:BPV720966 BZR720965:BZR720966 CJN720965:CJN720966 CTJ720965:CTJ720966 DDF720965:DDF720966 DNB720965:DNB720966 DWX720965:DWX720966 EGT720965:EGT720966 EQP720965:EQP720966 FAL720965:FAL720966 FKH720965:FKH720966 FUD720965:FUD720966 GDZ720965:GDZ720966 GNV720965:GNV720966 GXR720965:GXR720966 HHN720965:HHN720966 HRJ720965:HRJ720966 IBF720965:IBF720966 ILB720965:ILB720966 IUX720965:IUX720966 JET720965:JET720966 JOP720965:JOP720966 JYL720965:JYL720966 KIH720965:KIH720966 KSD720965:KSD720966 LBZ720965:LBZ720966 LLV720965:LLV720966 LVR720965:LVR720966 MFN720965:MFN720966 MPJ720965:MPJ720966 MZF720965:MZF720966 NJB720965:NJB720966 NSX720965:NSX720966 OCT720965:OCT720966 OMP720965:OMP720966 OWL720965:OWL720966 PGH720965:PGH720966 PQD720965:PQD720966 PZZ720965:PZZ720966 QJV720965:QJV720966 QTR720965:QTR720966 RDN720965:RDN720966 RNJ720965:RNJ720966 RXF720965:RXF720966 SHB720965:SHB720966 SQX720965:SQX720966 TAT720965:TAT720966 TKP720965:TKP720966 TUL720965:TUL720966 UEH720965:UEH720966 UOD720965:UOD720966 UXZ720965:UXZ720966 VHV720965:VHV720966 VRR720965:VRR720966 WBN720965:WBN720966 WLJ720965:WLJ720966 WVF720965:WVF720966 J786502:J786503 IT786501:IT786502 SP786501:SP786502 ACL786501:ACL786502 AMH786501:AMH786502 AWD786501:AWD786502 BFZ786501:BFZ786502 BPV786501:BPV786502 BZR786501:BZR786502 CJN786501:CJN786502 CTJ786501:CTJ786502 DDF786501:DDF786502 DNB786501:DNB786502 DWX786501:DWX786502 EGT786501:EGT786502 EQP786501:EQP786502 FAL786501:FAL786502 FKH786501:FKH786502 FUD786501:FUD786502 GDZ786501:GDZ786502 GNV786501:GNV786502 GXR786501:GXR786502 HHN786501:HHN786502 HRJ786501:HRJ786502 IBF786501:IBF786502 ILB786501:ILB786502 IUX786501:IUX786502 JET786501:JET786502 JOP786501:JOP786502 JYL786501:JYL786502 KIH786501:KIH786502 KSD786501:KSD786502 LBZ786501:LBZ786502 LLV786501:LLV786502 LVR786501:LVR786502 MFN786501:MFN786502 MPJ786501:MPJ786502 MZF786501:MZF786502 NJB786501:NJB786502 NSX786501:NSX786502 OCT786501:OCT786502 OMP786501:OMP786502 OWL786501:OWL786502 PGH786501:PGH786502 PQD786501:PQD786502 PZZ786501:PZZ786502 QJV786501:QJV786502 QTR786501:QTR786502 RDN786501:RDN786502 RNJ786501:RNJ786502 RXF786501:RXF786502 SHB786501:SHB786502 SQX786501:SQX786502 TAT786501:TAT786502 TKP786501:TKP786502 TUL786501:TUL786502 UEH786501:UEH786502 UOD786501:UOD786502 UXZ786501:UXZ786502 VHV786501:VHV786502 VRR786501:VRR786502 WBN786501:WBN786502 WLJ786501:WLJ786502 WVF786501:WVF786502 J852038:J852039 IT852037:IT852038 SP852037:SP852038 ACL852037:ACL852038 AMH852037:AMH852038 AWD852037:AWD852038 BFZ852037:BFZ852038 BPV852037:BPV852038 BZR852037:BZR852038 CJN852037:CJN852038 CTJ852037:CTJ852038 DDF852037:DDF852038 DNB852037:DNB852038 DWX852037:DWX852038 EGT852037:EGT852038 EQP852037:EQP852038 FAL852037:FAL852038 FKH852037:FKH852038 FUD852037:FUD852038 GDZ852037:GDZ852038 GNV852037:GNV852038 GXR852037:GXR852038 HHN852037:HHN852038 HRJ852037:HRJ852038 IBF852037:IBF852038 ILB852037:ILB852038 IUX852037:IUX852038 JET852037:JET852038 JOP852037:JOP852038 JYL852037:JYL852038 KIH852037:KIH852038 KSD852037:KSD852038 LBZ852037:LBZ852038 LLV852037:LLV852038 LVR852037:LVR852038 MFN852037:MFN852038 MPJ852037:MPJ852038 MZF852037:MZF852038 NJB852037:NJB852038 NSX852037:NSX852038 OCT852037:OCT852038 OMP852037:OMP852038 OWL852037:OWL852038 PGH852037:PGH852038 PQD852037:PQD852038 PZZ852037:PZZ852038 QJV852037:QJV852038 QTR852037:QTR852038 RDN852037:RDN852038 RNJ852037:RNJ852038 RXF852037:RXF852038 SHB852037:SHB852038 SQX852037:SQX852038 TAT852037:TAT852038 TKP852037:TKP852038 TUL852037:TUL852038 UEH852037:UEH852038 UOD852037:UOD852038 UXZ852037:UXZ852038 VHV852037:VHV852038 VRR852037:VRR852038 WBN852037:WBN852038 WLJ852037:WLJ852038 WVF852037:WVF852038 J917574:J917575 IT917573:IT917574 SP917573:SP917574 ACL917573:ACL917574 AMH917573:AMH917574 AWD917573:AWD917574 BFZ917573:BFZ917574 BPV917573:BPV917574 BZR917573:BZR917574 CJN917573:CJN917574 CTJ917573:CTJ917574 DDF917573:DDF917574 DNB917573:DNB917574 DWX917573:DWX917574 EGT917573:EGT917574 EQP917573:EQP917574 FAL917573:FAL917574 FKH917573:FKH917574 FUD917573:FUD917574 GDZ917573:GDZ917574 GNV917573:GNV917574 GXR917573:GXR917574 HHN917573:HHN917574 HRJ917573:HRJ917574 IBF917573:IBF917574 ILB917573:ILB917574 IUX917573:IUX917574 JET917573:JET917574 JOP917573:JOP917574 JYL917573:JYL917574 KIH917573:KIH917574 KSD917573:KSD917574 LBZ917573:LBZ917574 LLV917573:LLV917574 LVR917573:LVR917574 MFN917573:MFN917574 MPJ917573:MPJ917574 MZF917573:MZF917574 NJB917573:NJB917574 NSX917573:NSX917574 OCT917573:OCT917574 OMP917573:OMP917574 OWL917573:OWL917574 PGH917573:PGH917574 PQD917573:PQD917574 PZZ917573:PZZ917574 QJV917573:QJV917574 QTR917573:QTR917574 RDN917573:RDN917574 RNJ917573:RNJ917574 RXF917573:RXF917574 SHB917573:SHB917574 SQX917573:SQX917574 TAT917573:TAT917574 TKP917573:TKP917574 TUL917573:TUL917574 UEH917573:UEH917574 UOD917573:UOD917574 UXZ917573:UXZ917574 VHV917573:VHV917574 VRR917573:VRR917574 WBN917573:WBN917574 WLJ917573:WLJ917574 WVF917573:WVF917574 J983110:J983111 IT983109:IT983110 SP983109:SP983110 ACL983109:ACL983110 AMH983109:AMH983110 AWD983109:AWD983110 BFZ983109:BFZ983110 BPV983109:BPV983110 BZR983109:BZR983110 CJN983109:CJN983110 CTJ983109:CTJ983110 DDF983109:DDF983110 DNB983109:DNB983110 DWX983109:DWX983110 EGT983109:EGT983110 EQP983109:EQP983110 FAL983109:FAL983110 FKH983109:FKH983110 FUD983109:FUD983110 GDZ983109:GDZ983110 GNV983109:GNV983110 GXR983109:GXR983110 HHN983109:HHN983110 HRJ983109:HRJ983110 IBF983109:IBF983110 ILB983109:ILB983110 IUX983109:IUX983110 JET983109:JET983110 JOP983109:JOP983110 JYL983109:JYL983110 KIH983109:KIH983110 KSD983109:KSD983110 LBZ983109:LBZ983110 LLV983109:LLV983110 LVR983109:LVR983110 MFN983109:MFN983110 MPJ983109:MPJ983110 MZF983109:MZF983110 NJB983109:NJB983110 NSX983109:NSX983110 OCT983109:OCT983110 OMP983109:OMP983110 OWL983109:OWL983110 PGH983109:PGH983110 PQD983109:PQD983110 PZZ983109:PZZ983110 QJV983109:QJV983110 QTR983109:QTR983110 RDN983109:RDN983110 RNJ983109:RNJ983110 RXF983109:RXF983110 SHB983109:SHB983110 SQX983109:SQX983110 TAT983109:TAT983110 TKP983109:TKP983110 TUL983109:TUL983110 UEH983109:UEH983110 UOD983109:UOD983110 UXZ983109:UXZ983110 VHV983109:VHV983110 VRR983109:VRR983110 WBN983109:WBN983110 WLJ983109:WLJ983110 WVF983109:WVF983110 L65606:L65607 IW65605:IW65606 SS65605:SS65606 ACO65605:ACO65606 AMK65605:AMK65606 AWG65605:AWG65606 BGC65605:BGC65606 BPY65605:BPY65606 BZU65605:BZU65606 CJQ65605:CJQ65606 CTM65605:CTM65606 DDI65605:DDI65606 DNE65605:DNE65606 DXA65605:DXA65606 EGW65605:EGW65606 EQS65605:EQS65606 FAO65605:FAO65606 FKK65605:FKK65606 FUG65605:FUG65606 GEC65605:GEC65606 GNY65605:GNY65606 GXU65605:GXU65606 HHQ65605:HHQ65606 HRM65605:HRM65606 IBI65605:IBI65606 ILE65605:ILE65606 IVA65605:IVA65606 JEW65605:JEW65606 JOS65605:JOS65606 JYO65605:JYO65606 KIK65605:KIK65606 KSG65605:KSG65606 LCC65605:LCC65606 LLY65605:LLY65606 LVU65605:LVU65606 MFQ65605:MFQ65606 MPM65605:MPM65606 MZI65605:MZI65606 NJE65605:NJE65606 NTA65605:NTA65606 OCW65605:OCW65606 OMS65605:OMS65606 OWO65605:OWO65606 PGK65605:PGK65606 PQG65605:PQG65606 QAC65605:QAC65606 QJY65605:QJY65606 QTU65605:QTU65606 RDQ65605:RDQ65606 RNM65605:RNM65606 RXI65605:RXI65606 SHE65605:SHE65606 SRA65605:SRA65606 TAW65605:TAW65606 TKS65605:TKS65606 TUO65605:TUO65606 UEK65605:UEK65606 UOG65605:UOG65606 UYC65605:UYC65606 VHY65605:VHY65606 VRU65605:VRU65606 WBQ65605:WBQ65606 WLM65605:WLM65606 WVI65605:WVI65606 L131142:L131143 IW131141:IW131142 SS131141:SS131142 ACO131141:ACO131142 AMK131141:AMK131142 AWG131141:AWG131142 BGC131141:BGC131142 BPY131141:BPY131142 BZU131141:BZU131142 CJQ131141:CJQ131142 CTM131141:CTM131142 DDI131141:DDI131142 DNE131141:DNE131142 DXA131141:DXA131142 EGW131141:EGW131142 EQS131141:EQS131142 FAO131141:FAO131142 FKK131141:FKK131142 FUG131141:FUG131142 GEC131141:GEC131142 GNY131141:GNY131142 GXU131141:GXU131142 HHQ131141:HHQ131142 HRM131141:HRM131142 IBI131141:IBI131142 ILE131141:ILE131142 IVA131141:IVA131142 JEW131141:JEW131142 JOS131141:JOS131142 JYO131141:JYO131142 KIK131141:KIK131142 KSG131141:KSG131142 LCC131141:LCC131142 LLY131141:LLY131142 LVU131141:LVU131142 MFQ131141:MFQ131142 MPM131141:MPM131142 MZI131141:MZI131142 NJE131141:NJE131142 NTA131141:NTA131142 OCW131141:OCW131142 OMS131141:OMS131142 OWO131141:OWO131142 PGK131141:PGK131142 PQG131141:PQG131142 QAC131141:QAC131142 QJY131141:QJY131142 QTU131141:QTU131142 RDQ131141:RDQ131142 RNM131141:RNM131142 RXI131141:RXI131142 SHE131141:SHE131142 SRA131141:SRA131142 TAW131141:TAW131142 TKS131141:TKS131142 TUO131141:TUO131142 UEK131141:UEK131142 UOG131141:UOG131142 UYC131141:UYC131142 VHY131141:VHY131142 VRU131141:VRU131142 WBQ131141:WBQ131142 WLM131141:WLM131142 WVI131141:WVI131142 L196678:L196679 IW196677:IW196678 SS196677:SS196678 ACO196677:ACO196678 AMK196677:AMK196678 AWG196677:AWG196678 BGC196677:BGC196678 BPY196677:BPY196678 BZU196677:BZU196678 CJQ196677:CJQ196678 CTM196677:CTM196678 DDI196677:DDI196678 DNE196677:DNE196678 DXA196677:DXA196678 EGW196677:EGW196678 EQS196677:EQS196678 FAO196677:FAO196678 FKK196677:FKK196678 FUG196677:FUG196678 GEC196677:GEC196678 GNY196677:GNY196678 GXU196677:GXU196678 HHQ196677:HHQ196678 HRM196677:HRM196678 IBI196677:IBI196678 ILE196677:ILE196678 IVA196677:IVA196678 JEW196677:JEW196678 JOS196677:JOS196678 JYO196677:JYO196678 KIK196677:KIK196678 KSG196677:KSG196678 LCC196677:LCC196678 LLY196677:LLY196678 LVU196677:LVU196678 MFQ196677:MFQ196678 MPM196677:MPM196678 MZI196677:MZI196678 NJE196677:NJE196678 NTA196677:NTA196678 OCW196677:OCW196678 OMS196677:OMS196678 OWO196677:OWO196678 PGK196677:PGK196678 PQG196677:PQG196678 QAC196677:QAC196678 QJY196677:QJY196678 QTU196677:QTU196678 RDQ196677:RDQ196678 RNM196677:RNM196678 RXI196677:RXI196678 SHE196677:SHE196678 SRA196677:SRA196678 TAW196677:TAW196678 TKS196677:TKS196678 TUO196677:TUO196678 UEK196677:UEK196678 UOG196677:UOG196678 UYC196677:UYC196678 VHY196677:VHY196678 VRU196677:VRU196678 WBQ196677:WBQ196678 WLM196677:WLM196678 WVI196677:WVI196678 L262214:L262215 IW262213:IW262214 SS262213:SS262214 ACO262213:ACO262214 AMK262213:AMK262214 AWG262213:AWG262214 BGC262213:BGC262214 BPY262213:BPY262214 BZU262213:BZU262214 CJQ262213:CJQ262214 CTM262213:CTM262214 DDI262213:DDI262214 DNE262213:DNE262214 DXA262213:DXA262214 EGW262213:EGW262214 EQS262213:EQS262214 FAO262213:FAO262214 FKK262213:FKK262214 FUG262213:FUG262214 GEC262213:GEC262214 GNY262213:GNY262214 GXU262213:GXU262214 HHQ262213:HHQ262214 HRM262213:HRM262214 IBI262213:IBI262214 ILE262213:ILE262214 IVA262213:IVA262214 JEW262213:JEW262214 JOS262213:JOS262214 JYO262213:JYO262214 KIK262213:KIK262214 KSG262213:KSG262214 LCC262213:LCC262214 LLY262213:LLY262214 LVU262213:LVU262214 MFQ262213:MFQ262214 MPM262213:MPM262214 MZI262213:MZI262214 NJE262213:NJE262214 NTA262213:NTA262214 OCW262213:OCW262214 OMS262213:OMS262214 OWO262213:OWO262214 PGK262213:PGK262214 PQG262213:PQG262214 QAC262213:QAC262214 QJY262213:QJY262214 QTU262213:QTU262214 RDQ262213:RDQ262214 RNM262213:RNM262214 RXI262213:RXI262214 SHE262213:SHE262214 SRA262213:SRA262214 TAW262213:TAW262214 TKS262213:TKS262214 TUO262213:TUO262214 UEK262213:UEK262214 UOG262213:UOG262214 UYC262213:UYC262214 VHY262213:VHY262214 VRU262213:VRU262214 WBQ262213:WBQ262214 WLM262213:WLM262214 WVI262213:WVI262214 L327750:L327751 IW327749:IW327750 SS327749:SS327750 ACO327749:ACO327750 AMK327749:AMK327750 AWG327749:AWG327750 BGC327749:BGC327750 BPY327749:BPY327750 BZU327749:BZU327750 CJQ327749:CJQ327750 CTM327749:CTM327750 DDI327749:DDI327750 DNE327749:DNE327750 DXA327749:DXA327750 EGW327749:EGW327750 EQS327749:EQS327750 FAO327749:FAO327750 FKK327749:FKK327750 FUG327749:FUG327750 GEC327749:GEC327750 GNY327749:GNY327750 GXU327749:GXU327750 HHQ327749:HHQ327750 HRM327749:HRM327750 IBI327749:IBI327750 ILE327749:ILE327750 IVA327749:IVA327750 JEW327749:JEW327750 JOS327749:JOS327750 JYO327749:JYO327750 KIK327749:KIK327750 KSG327749:KSG327750 LCC327749:LCC327750 LLY327749:LLY327750 LVU327749:LVU327750 MFQ327749:MFQ327750 MPM327749:MPM327750 MZI327749:MZI327750 NJE327749:NJE327750 NTA327749:NTA327750 OCW327749:OCW327750 OMS327749:OMS327750 OWO327749:OWO327750 PGK327749:PGK327750 PQG327749:PQG327750 QAC327749:QAC327750 QJY327749:QJY327750 QTU327749:QTU327750 RDQ327749:RDQ327750 RNM327749:RNM327750 RXI327749:RXI327750 SHE327749:SHE327750 SRA327749:SRA327750 TAW327749:TAW327750 TKS327749:TKS327750 TUO327749:TUO327750 UEK327749:UEK327750 UOG327749:UOG327750 UYC327749:UYC327750 VHY327749:VHY327750 VRU327749:VRU327750 WBQ327749:WBQ327750 WLM327749:WLM327750 WVI327749:WVI327750 L393286:L393287 IW393285:IW393286 SS393285:SS393286 ACO393285:ACO393286 AMK393285:AMK393286 AWG393285:AWG393286 BGC393285:BGC393286 BPY393285:BPY393286 BZU393285:BZU393286 CJQ393285:CJQ393286 CTM393285:CTM393286 DDI393285:DDI393286 DNE393285:DNE393286 DXA393285:DXA393286 EGW393285:EGW393286 EQS393285:EQS393286 FAO393285:FAO393286 FKK393285:FKK393286 FUG393285:FUG393286 GEC393285:GEC393286 GNY393285:GNY393286 GXU393285:GXU393286 HHQ393285:HHQ393286 HRM393285:HRM393286 IBI393285:IBI393286 ILE393285:ILE393286 IVA393285:IVA393286 JEW393285:JEW393286 JOS393285:JOS393286 JYO393285:JYO393286 KIK393285:KIK393286 KSG393285:KSG393286 LCC393285:LCC393286 LLY393285:LLY393286 LVU393285:LVU393286 MFQ393285:MFQ393286 MPM393285:MPM393286 MZI393285:MZI393286 NJE393285:NJE393286 NTA393285:NTA393286 OCW393285:OCW393286 OMS393285:OMS393286 OWO393285:OWO393286 PGK393285:PGK393286 PQG393285:PQG393286 QAC393285:QAC393286 QJY393285:QJY393286 QTU393285:QTU393286 RDQ393285:RDQ393286 RNM393285:RNM393286 RXI393285:RXI393286 SHE393285:SHE393286 SRA393285:SRA393286 TAW393285:TAW393286 TKS393285:TKS393286 TUO393285:TUO393286 UEK393285:UEK393286 UOG393285:UOG393286 UYC393285:UYC393286 VHY393285:VHY393286 VRU393285:VRU393286 WBQ393285:WBQ393286 WLM393285:WLM393286 WVI393285:WVI393286 L458822:L458823 IW458821:IW458822 SS458821:SS458822 ACO458821:ACO458822 AMK458821:AMK458822 AWG458821:AWG458822 BGC458821:BGC458822 BPY458821:BPY458822 BZU458821:BZU458822 CJQ458821:CJQ458822 CTM458821:CTM458822 DDI458821:DDI458822 DNE458821:DNE458822 DXA458821:DXA458822 EGW458821:EGW458822 EQS458821:EQS458822 FAO458821:FAO458822 FKK458821:FKK458822 FUG458821:FUG458822 GEC458821:GEC458822 GNY458821:GNY458822 GXU458821:GXU458822 HHQ458821:HHQ458822 HRM458821:HRM458822 IBI458821:IBI458822 ILE458821:ILE458822 IVA458821:IVA458822 JEW458821:JEW458822 JOS458821:JOS458822 JYO458821:JYO458822 KIK458821:KIK458822 KSG458821:KSG458822 LCC458821:LCC458822 LLY458821:LLY458822 LVU458821:LVU458822 MFQ458821:MFQ458822 MPM458821:MPM458822 MZI458821:MZI458822 NJE458821:NJE458822 NTA458821:NTA458822 OCW458821:OCW458822 OMS458821:OMS458822 OWO458821:OWO458822 PGK458821:PGK458822 PQG458821:PQG458822 QAC458821:QAC458822 QJY458821:QJY458822 QTU458821:QTU458822 RDQ458821:RDQ458822 RNM458821:RNM458822 RXI458821:RXI458822 SHE458821:SHE458822 SRA458821:SRA458822 TAW458821:TAW458822 TKS458821:TKS458822 TUO458821:TUO458822 UEK458821:UEK458822 UOG458821:UOG458822 UYC458821:UYC458822 VHY458821:VHY458822 VRU458821:VRU458822 WBQ458821:WBQ458822 WLM458821:WLM458822 WVI458821:WVI458822 L524358:L524359 IW524357:IW524358 SS524357:SS524358 ACO524357:ACO524358 AMK524357:AMK524358 AWG524357:AWG524358 BGC524357:BGC524358 BPY524357:BPY524358 BZU524357:BZU524358 CJQ524357:CJQ524358 CTM524357:CTM524358 DDI524357:DDI524358 DNE524357:DNE524358 DXA524357:DXA524358 EGW524357:EGW524358 EQS524357:EQS524358 FAO524357:FAO524358 FKK524357:FKK524358 FUG524357:FUG524358 GEC524357:GEC524358 GNY524357:GNY524358 GXU524357:GXU524358 HHQ524357:HHQ524358 HRM524357:HRM524358 IBI524357:IBI524358 ILE524357:ILE524358 IVA524357:IVA524358 JEW524357:JEW524358 JOS524357:JOS524358 JYO524357:JYO524358 KIK524357:KIK524358 KSG524357:KSG524358 LCC524357:LCC524358 LLY524357:LLY524358 LVU524357:LVU524358 MFQ524357:MFQ524358 MPM524357:MPM524358 MZI524357:MZI524358 NJE524357:NJE524358 NTA524357:NTA524358 OCW524357:OCW524358 OMS524357:OMS524358 OWO524357:OWO524358 PGK524357:PGK524358 PQG524357:PQG524358 QAC524357:QAC524358 QJY524357:QJY524358 QTU524357:QTU524358 RDQ524357:RDQ524358 RNM524357:RNM524358 RXI524357:RXI524358 SHE524357:SHE524358 SRA524357:SRA524358 TAW524357:TAW524358 TKS524357:TKS524358 TUO524357:TUO524358 UEK524357:UEK524358 UOG524357:UOG524358 UYC524357:UYC524358 VHY524357:VHY524358 VRU524357:VRU524358 WBQ524357:WBQ524358 WLM524357:WLM524358 WVI524357:WVI524358 L589894:L589895 IW589893:IW589894 SS589893:SS589894 ACO589893:ACO589894 AMK589893:AMK589894 AWG589893:AWG589894 BGC589893:BGC589894 BPY589893:BPY589894 BZU589893:BZU589894 CJQ589893:CJQ589894 CTM589893:CTM589894 DDI589893:DDI589894 DNE589893:DNE589894 DXA589893:DXA589894 EGW589893:EGW589894 EQS589893:EQS589894 FAO589893:FAO589894 FKK589893:FKK589894 FUG589893:FUG589894 GEC589893:GEC589894 GNY589893:GNY589894 GXU589893:GXU589894 HHQ589893:HHQ589894 HRM589893:HRM589894 IBI589893:IBI589894 ILE589893:ILE589894 IVA589893:IVA589894 JEW589893:JEW589894 JOS589893:JOS589894 JYO589893:JYO589894 KIK589893:KIK589894 KSG589893:KSG589894 LCC589893:LCC589894 LLY589893:LLY589894 LVU589893:LVU589894 MFQ589893:MFQ589894 MPM589893:MPM589894 MZI589893:MZI589894 NJE589893:NJE589894 NTA589893:NTA589894 OCW589893:OCW589894 OMS589893:OMS589894 OWO589893:OWO589894 PGK589893:PGK589894 PQG589893:PQG589894 QAC589893:QAC589894 QJY589893:QJY589894 QTU589893:QTU589894 RDQ589893:RDQ589894 RNM589893:RNM589894 RXI589893:RXI589894 SHE589893:SHE589894 SRA589893:SRA589894 TAW589893:TAW589894 TKS589893:TKS589894 TUO589893:TUO589894 UEK589893:UEK589894 UOG589893:UOG589894 UYC589893:UYC589894 VHY589893:VHY589894 VRU589893:VRU589894 WBQ589893:WBQ589894 WLM589893:WLM589894 WVI589893:WVI589894 L655430:L655431 IW655429:IW655430 SS655429:SS655430 ACO655429:ACO655430 AMK655429:AMK655430 AWG655429:AWG655430 BGC655429:BGC655430 BPY655429:BPY655430 BZU655429:BZU655430 CJQ655429:CJQ655430 CTM655429:CTM655430 DDI655429:DDI655430 DNE655429:DNE655430 DXA655429:DXA655430 EGW655429:EGW655430 EQS655429:EQS655430 FAO655429:FAO655430 FKK655429:FKK655430 FUG655429:FUG655430 GEC655429:GEC655430 GNY655429:GNY655430 GXU655429:GXU655430 HHQ655429:HHQ655430 HRM655429:HRM655430 IBI655429:IBI655430 ILE655429:ILE655430 IVA655429:IVA655430 JEW655429:JEW655430 JOS655429:JOS655430 JYO655429:JYO655430 KIK655429:KIK655430 KSG655429:KSG655430 LCC655429:LCC655430 LLY655429:LLY655430 LVU655429:LVU655430 MFQ655429:MFQ655430 MPM655429:MPM655430 MZI655429:MZI655430 NJE655429:NJE655430 NTA655429:NTA655430 OCW655429:OCW655430 OMS655429:OMS655430 OWO655429:OWO655430 PGK655429:PGK655430 PQG655429:PQG655430 QAC655429:QAC655430 QJY655429:QJY655430 QTU655429:QTU655430 RDQ655429:RDQ655430 RNM655429:RNM655430 RXI655429:RXI655430 SHE655429:SHE655430 SRA655429:SRA655430 TAW655429:TAW655430 TKS655429:TKS655430 TUO655429:TUO655430 UEK655429:UEK655430 UOG655429:UOG655430 UYC655429:UYC655430 VHY655429:VHY655430 VRU655429:VRU655430 WBQ655429:WBQ655430 WLM655429:WLM655430 WVI655429:WVI655430 L720966:L720967 IW720965:IW720966 SS720965:SS720966 ACO720965:ACO720966 AMK720965:AMK720966 AWG720965:AWG720966 BGC720965:BGC720966 BPY720965:BPY720966 BZU720965:BZU720966 CJQ720965:CJQ720966 CTM720965:CTM720966 DDI720965:DDI720966 DNE720965:DNE720966 DXA720965:DXA720966 EGW720965:EGW720966 EQS720965:EQS720966 FAO720965:FAO720966 FKK720965:FKK720966 FUG720965:FUG720966 GEC720965:GEC720966 GNY720965:GNY720966 GXU720965:GXU720966 HHQ720965:HHQ720966 HRM720965:HRM720966 IBI720965:IBI720966 ILE720965:ILE720966 IVA720965:IVA720966 JEW720965:JEW720966 JOS720965:JOS720966 JYO720965:JYO720966 KIK720965:KIK720966 KSG720965:KSG720966 LCC720965:LCC720966 LLY720965:LLY720966 LVU720965:LVU720966 MFQ720965:MFQ720966 MPM720965:MPM720966 MZI720965:MZI720966 NJE720965:NJE720966 NTA720965:NTA720966 OCW720965:OCW720966 OMS720965:OMS720966 OWO720965:OWO720966 PGK720965:PGK720966 PQG720965:PQG720966 QAC720965:QAC720966 QJY720965:QJY720966 QTU720965:QTU720966 RDQ720965:RDQ720966 RNM720965:RNM720966 RXI720965:RXI720966 SHE720965:SHE720966 SRA720965:SRA720966 TAW720965:TAW720966 TKS720965:TKS720966 TUO720965:TUO720966 UEK720965:UEK720966 UOG720965:UOG720966 UYC720965:UYC720966 VHY720965:VHY720966 VRU720965:VRU720966 WBQ720965:WBQ720966 WLM720965:WLM720966 WVI720965:WVI720966 L786502:L786503 IW786501:IW786502 SS786501:SS786502 ACO786501:ACO786502 AMK786501:AMK786502 AWG786501:AWG786502 BGC786501:BGC786502 BPY786501:BPY786502 BZU786501:BZU786502 CJQ786501:CJQ786502 CTM786501:CTM786502 DDI786501:DDI786502 DNE786501:DNE786502 DXA786501:DXA786502 EGW786501:EGW786502 EQS786501:EQS786502 FAO786501:FAO786502 FKK786501:FKK786502 FUG786501:FUG786502 GEC786501:GEC786502 GNY786501:GNY786502 GXU786501:GXU786502 HHQ786501:HHQ786502 HRM786501:HRM786502 IBI786501:IBI786502 ILE786501:ILE786502 IVA786501:IVA786502 JEW786501:JEW786502 JOS786501:JOS786502 JYO786501:JYO786502 KIK786501:KIK786502 KSG786501:KSG786502 LCC786501:LCC786502 LLY786501:LLY786502 LVU786501:LVU786502 MFQ786501:MFQ786502 MPM786501:MPM786502 MZI786501:MZI786502 NJE786501:NJE786502 NTA786501:NTA786502 OCW786501:OCW786502 OMS786501:OMS786502 OWO786501:OWO786502 PGK786501:PGK786502 PQG786501:PQG786502 QAC786501:QAC786502 QJY786501:QJY786502 QTU786501:QTU786502 RDQ786501:RDQ786502 RNM786501:RNM786502 RXI786501:RXI786502 SHE786501:SHE786502 SRA786501:SRA786502 TAW786501:TAW786502 TKS786501:TKS786502 TUO786501:TUO786502 UEK786501:UEK786502 UOG786501:UOG786502 UYC786501:UYC786502 VHY786501:VHY786502 VRU786501:VRU786502 WBQ786501:WBQ786502 WLM786501:WLM786502 WVI786501:WVI786502 L852038:L852039 IW852037:IW852038 SS852037:SS852038 ACO852037:ACO852038 AMK852037:AMK852038 AWG852037:AWG852038 BGC852037:BGC852038 BPY852037:BPY852038 BZU852037:BZU852038 CJQ852037:CJQ852038 CTM852037:CTM852038 DDI852037:DDI852038 DNE852037:DNE852038 DXA852037:DXA852038 EGW852037:EGW852038 EQS852037:EQS852038 FAO852037:FAO852038 FKK852037:FKK852038 FUG852037:FUG852038 GEC852037:GEC852038 GNY852037:GNY852038 GXU852037:GXU852038 HHQ852037:HHQ852038 HRM852037:HRM852038 IBI852037:IBI852038 ILE852037:ILE852038 IVA852037:IVA852038 JEW852037:JEW852038 JOS852037:JOS852038 JYO852037:JYO852038 KIK852037:KIK852038 KSG852037:KSG852038 LCC852037:LCC852038 LLY852037:LLY852038 LVU852037:LVU852038 MFQ852037:MFQ852038 MPM852037:MPM852038 MZI852037:MZI852038 NJE852037:NJE852038 NTA852037:NTA852038 OCW852037:OCW852038 OMS852037:OMS852038 OWO852037:OWO852038 PGK852037:PGK852038 PQG852037:PQG852038 QAC852037:QAC852038 QJY852037:QJY852038 QTU852037:QTU852038 RDQ852037:RDQ852038 RNM852037:RNM852038 RXI852037:RXI852038 SHE852037:SHE852038 SRA852037:SRA852038 TAW852037:TAW852038 TKS852037:TKS852038 TUO852037:TUO852038 UEK852037:UEK852038 UOG852037:UOG852038 UYC852037:UYC852038 VHY852037:VHY852038 VRU852037:VRU852038 WBQ852037:WBQ852038 WLM852037:WLM852038 WVI852037:WVI852038 L917574:L917575 IW917573:IW917574 SS917573:SS917574 ACO917573:ACO917574 AMK917573:AMK917574 AWG917573:AWG917574 BGC917573:BGC917574 BPY917573:BPY917574 BZU917573:BZU917574 CJQ917573:CJQ917574 CTM917573:CTM917574 DDI917573:DDI917574 DNE917573:DNE917574 DXA917573:DXA917574 EGW917573:EGW917574 EQS917573:EQS917574 FAO917573:FAO917574 FKK917573:FKK917574 FUG917573:FUG917574 GEC917573:GEC917574 GNY917573:GNY917574 GXU917573:GXU917574 HHQ917573:HHQ917574 HRM917573:HRM917574 IBI917573:IBI917574 ILE917573:ILE917574 IVA917573:IVA917574 JEW917573:JEW917574 JOS917573:JOS917574 JYO917573:JYO917574 KIK917573:KIK917574 KSG917573:KSG917574 LCC917573:LCC917574 LLY917573:LLY917574 LVU917573:LVU917574 MFQ917573:MFQ917574 MPM917573:MPM917574 MZI917573:MZI917574 NJE917573:NJE917574 NTA917573:NTA917574 OCW917573:OCW917574 OMS917573:OMS917574 OWO917573:OWO917574 PGK917573:PGK917574 PQG917573:PQG917574 QAC917573:QAC917574 QJY917573:QJY917574 QTU917573:QTU917574 RDQ917573:RDQ917574 RNM917573:RNM917574 RXI917573:RXI917574 SHE917573:SHE917574 SRA917573:SRA917574 TAW917573:TAW917574 TKS917573:TKS917574 TUO917573:TUO917574 UEK917573:UEK917574 UOG917573:UOG917574 UYC917573:UYC917574 VHY917573:VHY917574 VRU917573:VRU917574 WBQ917573:WBQ917574 WLM917573:WLM917574 WVI917573:WVI917574 L983110:L983111 IW983109:IW983110 SS983109:SS983110 ACO983109:ACO983110 AMK983109:AMK983110 AWG983109:AWG983110 BGC983109:BGC983110 BPY983109:BPY983110 BZU983109:BZU983110 CJQ983109:CJQ983110 CTM983109:CTM983110 DDI983109:DDI983110 DNE983109:DNE983110 DXA983109:DXA983110 EGW983109:EGW983110 EQS983109:EQS983110 FAO983109:FAO983110 FKK983109:FKK983110 FUG983109:FUG983110 GEC983109:GEC983110 GNY983109:GNY983110 GXU983109:GXU983110 HHQ983109:HHQ983110 HRM983109:HRM983110 IBI983109:IBI983110 ILE983109:ILE983110 IVA983109:IVA983110 JEW983109:JEW983110 JOS983109:JOS983110 JYO983109:JYO983110 KIK983109:KIK983110 KSG983109:KSG983110 LCC983109:LCC983110 LLY983109:LLY983110 LVU983109:LVU983110 MFQ983109:MFQ983110 MPM983109:MPM983110 MZI983109:MZI983110 NJE983109:NJE983110 NTA983109:NTA983110 OCW983109:OCW983110 OMS983109:OMS983110 OWO983109:OWO983110 PGK983109:PGK983110 PQG983109:PQG983110 QAC983109:QAC983110 QJY983109:QJY983110 QTU983109:QTU983110 RDQ983109:RDQ983110 RNM983109:RNM983110 RXI983109:RXI983110 SHE983109:SHE983110 SRA983109:SRA983110 TAW983109:TAW983110 TKS983109:TKS983110 TUO983109:TUO983110 UEK983109:UEK983110 UOG983109:UOG983110 UYC983109:UYC983110 VHY983109:VHY983110 VRU983109:VRU983110 WBQ983109:WBQ983110 WLM983109:WLM983110 WVI983109:WVI983110 N65606:N65607 IZ65605:IZ65606 SV65605:SV65606 ACR65605:ACR65606 AMN65605:AMN65606 AWJ65605:AWJ65606 BGF65605:BGF65606 BQB65605:BQB65606 BZX65605:BZX65606 CJT65605:CJT65606 CTP65605:CTP65606 DDL65605:DDL65606 DNH65605:DNH65606 DXD65605:DXD65606 EGZ65605:EGZ65606 EQV65605:EQV65606 FAR65605:FAR65606 FKN65605:FKN65606 FUJ65605:FUJ65606 GEF65605:GEF65606 GOB65605:GOB65606 GXX65605:GXX65606 HHT65605:HHT65606 HRP65605:HRP65606 IBL65605:IBL65606 ILH65605:ILH65606 IVD65605:IVD65606 JEZ65605:JEZ65606 JOV65605:JOV65606 JYR65605:JYR65606 KIN65605:KIN65606 KSJ65605:KSJ65606 LCF65605:LCF65606 LMB65605:LMB65606 LVX65605:LVX65606 MFT65605:MFT65606 MPP65605:MPP65606 MZL65605:MZL65606 NJH65605:NJH65606 NTD65605:NTD65606 OCZ65605:OCZ65606 OMV65605:OMV65606 OWR65605:OWR65606 PGN65605:PGN65606 PQJ65605:PQJ65606 QAF65605:QAF65606 QKB65605:QKB65606 QTX65605:QTX65606 RDT65605:RDT65606 RNP65605:RNP65606 RXL65605:RXL65606 SHH65605:SHH65606 SRD65605:SRD65606 TAZ65605:TAZ65606 TKV65605:TKV65606 TUR65605:TUR65606 UEN65605:UEN65606 UOJ65605:UOJ65606 UYF65605:UYF65606 VIB65605:VIB65606 VRX65605:VRX65606 WBT65605:WBT65606 WLP65605:WLP65606 WVL65605:WVL65606 N131142:N131143 IZ131141:IZ131142 SV131141:SV131142 ACR131141:ACR131142 AMN131141:AMN131142 AWJ131141:AWJ131142 BGF131141:BGF131142 BQB131141:BQB131142 BZX131141:BZX131142 CJT131141:CJT131142 CTP131141:CTP131142 DDL131141:DDL131142 DNH131141:DNH131142 DXD131141:DXD131142 EGZ131141:EGZ131142 EQV131141:EQV131142 FAR131141:FAR131142 FKN131141:FKN131142 FUJ131141:FUJ131142 GEF131141:GEF131142 GOB131141:GOB131142 GXX131141:GXX131142 HHT131141:HHT131142 HRP131141:HRP131142 IBL131141:IBL131142 ILH131141:ILH131142 IVD131141:IVD131142 JEZ131141:JEZ131142 JOV131141:JOV131142 JYR131141:JYR131142 KIN131141:KIN131142 KSJ131141:KSJ131142 LCF131141:LCF131142 LMB131141:LMB131142 LVX131141:LVX131142 MFT131141:MFT131142 MPP131141:MPP131142 MZL131141:MZL131142 NJH131141:NJH131142 NTD131141:NTD131142 OCZ131141:OCZ131142 OMV131141:OMV131142 OWR131141:OWR131142 PGN131141:PGN131142 PQJ131141:PQJ131142 QAF131141:QAF131142 QKB131141:QKB131142 QTX131141:QTX131142 RDT131141:RDT131142 RNP131141:RNP131142 RXL131141:RXL131142 SHH131141:SHH131142 SRD131141:SRD131142 TAZ131141:TAZ131142 TKV131141:TKV131142 TUR131141:TUR131142 UEN131141:UEN131142 UOJ131141:UOJ131142 UYF131141:UYF131142 VIB131141:VIB131142 VRX131141:VRX131142 WBT131141:WBT131142 WLP131141:WLP131142 WVL131141:WVL131142 N196678:N196679 IZ196677:IZ196678 SV196677:SV196678 ACR196677:ACR196678 AMN196677:AMN196678 AWJ196677:AWJ196678 BGF196677:BGF196678 BQB196677:BQB196678 BZX196677:BZX196678 CJT196677:CJT196678 CTP196677:CTP196678 DDL196677:DDL196678 DNH196677:DNH196678 DXD196677:DXD196678 EGZ196677:EGZ196678 EQV196677:EQV196678 FAR196677:FAR196678 FKN196677:FKN196678 FUJ196677:FUJ196678 GEF196677:GEF196678 GOB196677:GOB196678 GXX196677:GXX196678 HHT196677:HHT196678 HRP196677:HRP196678 IBL196677:IBL196678 ILH196677:ILH196678 IVD196677:IVD196678 JEZ196677:JEZ196678 JOV196677:JOV196678 JYR196677:JYR196678 KIN196677:KIN196678 KSJ196677:KSJ196678 LCF196677:LCF196678 LMB196677:LMB196678 LVX196677:LVX196678 MFT196677:MFT196678 MPP196677:MPP196678 MZL196677:MZL196678 NJH196677:NJH196678 NTD196677:NTD196678 OCZ196677:OCZ196678 OMV196677:OMV196678 OWR196677:OWR196678 PGN196677:PGN196678 PQJ196677:PQJ196678 QAF196677:QAF196678 QKB196677:QKB196678 QTX196677:QTX196678 RDT196677:RDT196678 RNP196677:RNP196678 RXL196677:RXL196678 SHH196677:SHH196678 SRD196677:SRD196678 TAZ196677:TAZ196678 TKV196677:TKV196678 TUR196677:TUR196678 UEN196677:UEN196678 UOJ196677:UOJ196678 UYF196677:UYF196678 VIB196677:VIB196678 VRX196677:VRX196678 WBT196677:WBT196678 WLP196677:WLP196678 WVL196677:WVL196678 N262214:N262215 IZ262213:IZ262214 SV262213:SV262214 ACR262213:ACR262214 AMN262213:AMN262214 AWJ262213:AWJ262214 BGF262213:BGF262214 BQB262213:BQB262214 BZX262213:BZX262214 CJT262213:CJT262214 CTP262213:CTP262214 DDL262213:DDL262214 DNH262213:DNH262214 DXD262213:DXD262214 EGZ262213:EGZ262214 EQV262213:EQV262214 FAR262213:FAR262214 FKN262213:FKN262214 FUJ262213:FUJ262214 GEF262213:GEF262214 GOB262213:GOB262214 GXX262213:GXX262214 HHT262213:HHT262214 HRP262213:HRP262214 IBL262213:IBL262214 ILH262213:ILH262214 IVD262213:IVD262214 JEZ262213:JEZ262214 JOV262213:JOV262214 JYR262213:JYR262214 KIN262213:KIN262214 KSJ262213:KSJ262214 LCF262213:LCF262214 LMB262213:LMB262214 LVX262213:LVX262214 MFT262213:MFT262214 MPP262213:MPP262214 MZL262213:MZL262214 NJH262213:NJH262214 NTD262213:NTD262214 OCZ262213:OCZ262214 OMV262213:OMV262214 OWR262213:OWR262214 PGN262213:PGN262214 PQJ262213:PQJ262214 QAF262213:QAF262214 QKB262213:QKB262214 QTX262213:QTX262214 RDT262213:RDT262214 RNP262213:RNP262214 RXL262213:RXL262214 SHH262213:SHH262214 SRD262213:SRD262214 TAZ262213:TAZ262214 TKV262213:TKV262214 TUR262213:TUR262214 UEN262213:UEN262214 UOJ262213:UOJ262214 UYF262213:UYF262214 VIB262213:VIB262214 VRX262213:VRX262214 WBT262213:WBT262214 WLP262213:WLP262214 WVL262213:WVL262214 N327750:N327751 IZ327749:IZ327750 SV327749:SV327750 ACR327749:ACR327750 AMN327749:AMN327750 AWJ327749:AWJ327750 BGF327749:BGF327750 BQB327749:BQB327750 BZX327749:BZX327750 CJT327749:CJT327750 CTP327749:CTP327750 DDL327749:DDL327750 DNH327749:DNH327750 DXD327749:DXD327750 EGZ327749:EGZ327750 EQV327749:EQV327750 FAR327749:FAR327750 FKN327749:FKN327750 FUJ327749:FUJ327750 GEF327749:GEF327750 GOB327749:GOB327750 GXX327749:GXX327750 HHT327749:HHT327750 HRP327749:HRP327750 IBL327749:IBL327750 ILH327749:ILH327750 IVD327749:IVD327750 JEZ327749:JEZ327750 JOV327749:JOV327750 JYR327749:JYR327750 KIN327749:KIN327750 KSJ327749:KSJ327750 LCF327749:LCF327750 LMB327749:LMB327750 LVX327749:LVX327750 MFT327749:MFT327750 MPP327749:MPP327750 MZL327749:MZL327750 NJH327749:NJH327750 NTD327749:NTD327750 OCZ327749:OCZ327750 OMV327749:OMV327750 OWR327749:OWR327750 PGN327749:PGN327750 PQJ327749:PQJ327750 QAF327749:QAF327750 QKB327749:QKB327750 QTX327749:QTX327750 RDT327749:RDT327750 RNP327749:RNP327750 RXL327749:RXL327750 SHH327749:SHH327750 SRD327749:SRD327750 TAZ327749:TAZ327750 TKV327749:TKV327750 TUR327749:TUR327750 UEN327749:UEN327750 UOJ327749:UOJ327750 UYF327749:UYF327750 VIB327749:VIB327750 VRX327749:VRX327750 WBT327749:WBT327750 WLP327749:WLP327750 WVL327749:WVL327750 N393286:N393287 IZ393285:IZ393286 SV393285:SV393286 ACR393285:ACR393286 AMN393285:AMN393286 AWJ393285:AWJ393286 BGF393285:BGF393286 BQB393285:BQB393286 BZX393285:BZX393286 CJT393285:CJT393286 CTP393285:CTP393286 DDL393285:DDL393286 DNH393285:DNH393286 DXD393285:DXD393286 EGZ393285:EGZ393286 EQV393285:EQV393286 FAR393285:FAR393286 FKN393285:FKN393286 FUJ393285:FUJ393286 GEF393285:GEF393286 GOB393285:GOB393286 GXX393285:GXX393286 HHT393285:HHT393286 HRP393285:HRP393286 IBL393285:IBL393286 ILH393285:ILH393286 IVD393285:IVD393286 JEZ393285:JEZ393286 JOV393285:JOV393286 JYR393285:JYR393286 KIN393285:KIN393286 KSJ393285:KSJ393286 LCF393285:LCF393286 LMB393285:LMB393286 LVX393285:LVX393286 MFT393285:MFT393286 MPP393285:MPP393286 MZL393285:MZL393286 NJH393285:NJH393286 NTD393285:NTD393286 OCZ393285:OCZ393286 OMV393285:OMV393286 OWR393285:OWR393286 PGN393285:PGN393286 PQJ393285:PQJ393286 QAF393285:QAF393286 QKB393285:QKB393286 QTX393285:QTX393286 RDT393285:RDT393286 RNP393285:RNP393286 RXL393285:RXL393286 SHH393285:SHH393286 SRD393285:SRD393286 TAZ393285:TAZ393286 TKV393285:TKV393286 TUR393285:TUR393286 UEN393285:UEN393286 UOJ393285:UOJ393286 UYF393285:UYF393286 VIB393285:VIB393286 VRX393285:VRX393286 WBT393285:WBT393286 WLP393285:WLP393286 WVL393285:WVL393286 N458822:N458823 IZ458821:IZ458822 SV458821:SV458822 ACR458821:ACR458822 AMN458821:AMN458822 AWJ458821:AWJ458822 BGF458821:BGF458822 BQB458821:BQB458822 BZX458821:BZX458822 CJT458821:CJT458822 CTP458821:CTP458822 DDL458821:DDL458822 DNH458821:DNH458822 DXD458821:DXD458822 EGZ458821:EGZ458822 EQV458821:EQV458822 FAR458821:FAR458822 FKN458821:FKN458822 FUJ458821:FUJ458822 GEF458821:GEF458822 GOB458821:GOB458822 GXX458821:GXX458822 HHT458821:HHT458822 HRP458821:HRP458822 IBL458821:IBL458822 ILH458821:ILH458822 IVD458821:IVD458822 JEZ458821:JEZ458822 JOV458821:JOV458822 JYR458821:JYR458822 KIN458821:KIN458822 KSJ458821:KSJ458822 LCF458821:LCF458822 LMB458821:LMB458822 LVX458821:LVX458822 MFT458821:MFT458822 MPP458821:MPP458822 MZL458821:MZL458822 NJH458821:NJH458822 NTD458821:NTD458822 OCZ458821:OCZ458822 OMV458821:OMV458822 OWR458821:OWR458822 PGN458821:PGN458822 PQJ458821:PQJ458822 QAF458821:QAF458822 QKB458821:QKB458822 QTX458821:QTX458822 RDT458821:RDT458822 RNP458821:RNP458822 RXL458821:RXL458822 SHH458821:SHH458822 SRD458821:SRD458822 TAZ458821:TAZ458822 TKV458821:TKV458822 TUR458821:TUR458822 UEN458821:UEN458822 UOJ458821:UOJ458822 UYF458821:UYF458822 VIB458821:VIB458822 VRX458821:VRX458822 WBT458821:WBT458822 WLP458821:WLP458822 WVL458821:WVL458822 N524358:N524359 IZ524357:IZ524358 SV524357:SV524358 ACR524357:ACR524358 AMN524357:AMN524358 AWJ524357:AWJ524358 BGF524357:BGF524358 BQB524357:BQB524358 BZX524357:BZX524358 CJT524357:CJT524358 CTP524357:CTP524358 DDL524357:DDL524358 DNH524357:DNH524358 DXD524357:DXD524358 EGZ524357:EGZ524358 EQV524357:EQV524358 FAR524357:FAR524358 FKN524357:FKN524358 FUJ524357:FUJ524358 GEF524357:GEF524358 GOB524357:GOB524358 GXX524357:GXX524358 HHT524357:HHT524358 HRP524357:HRP524358 IBL524357:IBL524358 ILH524357:ILH524358 IVD524357:IVD524358 JEZ524357:JEZ524358 JOV524357:JOV524358 JYR524357:JYR524358 KIN524357:KIN524358 KSJ524357:KSJ524358 LCF524357:LCF524358 LMB524357:LMB524358 LVX524357:LVX524358 MFT524357:MFT524358 MPP524357:MPP524358 MZL524357:MZL524358 NJH524357:NJH524358 NTD524357:NTD524358 OCZ524357:OCZ524358 OMV524357:OMV524358 OWR524357:OWR524358 PGN524357:PGN524358 PQJ524357:PQJ524358 QAF524357:QAF524358 QKB524357:QKB524358 QTX524357:QTX524358 RDT524357:RDT524358 RNP524357:RNP524358 RXL524357:RXL524358 SHH524357:SHH524358 SRD524357:SRD524358 TAZ524357:TAZ524358 TKV524357:TKV524358 TUR524357:TUR524358 UEN524357:UEN524358 UOJ524357:UOJ524358 UYF524357:UYF524358 VIB524357:VIB524358 VRX524357:VRX524358 WBT524357:WBT524358 WLP524357:WLP524358 WVL524357:WVL524358 N589894:N589895 IZ589893:IZ589894 SV589893:SV589894 ACR589893:ACR589894 AMN589893:AMN589894 AWJ589893:AWJ589894 BGF589893:BGF589894 BQB589893:BQB589894 BZX589893:BZX589894 CJT589893:CJT589894 CTP589893:CTP589894 DDL589893:DDL589894 DNH589893:DNH589894 DXD589893:DXD589894 EGZ589893:EGZ589894 EQV589893:EQV589894 FAR589893:FAR589894 FKN589893:FKN589894 FUJ589893:FUJ589894 GEF589893:GEF589894 GOB589893:GOB589894 GXX589893:GXX589894 HHT589893:HHT589894 HRP589893:HRP589894 IBL589893:IBL589894 ILH589893:ILH589894 IVD589893:IVD589894 JEZ589893:JEZ589894 JOV589893:JOV589894 JYR589893:JYR589894 KIN589893:KIN589894 KSJ589893:KSJ589894 LCF589893:LCF589894 LMB589893:LMB589894 LVX589893:LVX589894 MFT589893:MFT589894 MPP589893:MPP589894 MZL589893:MZL589894 NJH589893:NJH589894 NTD589893:NTD589894 OCZ589893:OCZ589894 OMV589893:OMV589894 OWR589893:OWR589894 PGN589893:PGN589894 PQJ589893:PQJ589894 QAF589893:QAF589894 QKB589893:QKB589894 QTX589893:QTX589894 RDT589893:RDT589894 RNP589893:RNP589894 RXL589893:RXL589894 SHH589893:SHH589894 SRD589893:SRD589894 TAZ589893:TAZ589894 TKV589893:TKV589894 TUR589893:TUR589894 UEN589893:UEN589894 UOJ589893:UOJ589894 UYF589893:UYF589894 VIB589893:VIB589894 VRX589893:VRX589894 WBT589893:WBT589894 WLP589893:WLP589894 WVL589893:WVL589894 N655430:N655431 IZ655429:IZ655430 SV655429:SV655430 ACR655429:ACR655430 AMN655429:AMN655430 AWJ655429:AWJ655430 BGF655429:BGF655430 BQB655429:BQB655430 BZX655429:BZX655430 CJT655429:CJT655430 CTP655429:CTP655430 DDL655429:DDL655430 DNH655429:DNH655430 DXD655429:DXD655430 EGZ655429:EGZ655430 EQV655429:EQV655430 FAR655429:FAR655430 FKN655429:FKN655430 FUJ655429:FUJ655430 GEF655429:GEF655430 GOB655429:GOB655430 GXX655429:GXX655430 HHT655429:HHT655430 HRP655429:HRP655430 IBL655429:IBL655430 ILH655429:ILH655430 IVD655429:IVD655430 JEZ655429:JEZ655430 JOV655429:JOV655430 JYR655429:JYR655430 KIN655429:KIN655430 KSJ655429:KSJ655430 LCF655429:LCF655430 LMB655429:LMB655430 LVX655429:LVX655430 MFT655429:MFT655430 MPP655429:MPP655430 MZL655429:MZL655430 NJH655429:NJH655430 NTD655429:NTD655430 OCZ655429:OCZ655430 OMV655429:OMV655430 OWR655429:OWR655430 PGN655429:PGN655430 PQJ655429:PQJ655430 QAF655429:QAF655430 QKB655429:QKB655430 QTX655429:QTX655430 RDT655429:RDT655430 RNP655429:RNP655430 RXL655429:RXL655430 SHH655429:SHH655430 SRD655429:SRD655430 TAZ655429:TAZ655430 TKV655429:TKV655430 TUR655429:TUR655430 UEN655429:UEN655430 UOJ655429:UOJ655430 UYF655429:UYF655430 VIB655429:VIB655430 VRX655429:VRX655430 WBT655429:WBT655430 WLP655429:WLP655430 WVL655429:WVL655430 N720966:N720967 IZ720965:IZ720966 SV720965:SV720966 ACR720965:ACR720966 AMN720965:AMN720966 AWJ720965:AWJ720966 BGF720965:BGF720966 BQB720965:BQB720966 BZX720965:BZX720966 CJT720965:CJT720966 CTP720965:CTP720966 DDL720965:DDL720966 DNH720965:DNH720966 DXD720965:DXD720966 EGZ720965:EGZ720966 EQV720965:EQV720966 FAR720965:FAR720966 FKN720965:FKN720966 FUJ720965:FUJ720966 GEF720965:GEF720966 GOB720965:GOB720966 GXX720965:GXX720966 HHT720965:HHT720966 HRP720965:HRP720966 IBL720965:IBL720966 ILH720965:ILH720966 IVD720965:IVD720966 JEZ720965:JEZ720966 JOV720965:JOV720966 JYR720965:JYR720966 KIN720965:KIN720966 KSJ720965:KSJ720966 LCF720965:LCF720966 LMB720965:LMB720966 LVX720965:LVX720966 MFT720965:MFT720966 MPP720965:MPP720966 MZL720965:MZL720966 NJH720965:NJH720966 NTD720965:NTD720966 OCZ720965:OCZ720966 OMV720965:OMV720966 OWR720965:OWR720966 PGN720965:PGN720966 PQJ720965:PQJ720966 QAF720965:QAF720966 QKB720965:QKB720966 QTX720965:QTX720966 RDT720965:RDT720966 RNP720965:RNP720966 RXL720965:RXL720966 SHH720965:SHH720966 SRD720965:SRD720966 TAZ720965:TAZ720966 TKV720965:TKV720966 TUR720965:TUR720966 UEN720965:UEN720966 UOJ720965:UOJ720966 UYF720965:UYF720966 VIB720965:VIB720966 VRX720965:VRX720966 WBT720965:WBT720966 WLP720965:WLP720966 WVL720965:WVL720966 N786502:N786503 IZ786501:IZ786502 SV786501:SV786502 ACR786501:ACR786502 AMN786501:AMN786502 AWJ786501:AWJ786502 BGF786501:BGF786502 BQB786501:BQB786502 BZX786501:BZX786502 CJT786501:CJT786502 CTP786501:CTP786502 DDL786501:DDL786502 DNH786501:DNH786502 DXD786501:DXD786502 EGZ786501:EGZ786502 EQV786501:EQV786502 FAR786501:FAR786502 FKN786501:FKN786502 FUJ786501:FUJ786502 GEF786501:GEF786502 GOB786501:GOB786502 GXX786501:GXX786502 HHT786501:HHT786502 HRP786501:HRP786502 IBL786501:IBL786502 ILH786501:ILH786502 IVD786501:IVD786502 JEZ786501:JEZ786502 JOV786501:JOV786502 JYR786501:JYR786502 KIN786501:KIN786502 KSJ786501:KSJ786502 LCF786501:LCF786502 LMB786501:LMB786502 LVX786501:LVX786502 MFT786501:MFT786502 MPP786501:MPP786502 MZL786501:MZL786502 NJH786501:NJH786502 NTD786501:NTD786502 OCZ786501:OCZ786502 OMV786501:OMV786502 OWR786501:OWR786502 PGN786501:PGN786502 PQJ786501:PQJ786502 QAF786501:QAF786502 QKB786501:QKB786502 QTX786501:QTX786502 RDT786501:RDT786502 RNP786501:RNP786502 RXL786501:RXL786502 SHH786501:SHH786502 SRD786501:SRD786502 TAZ786501:TAZ786502 TKV786501:TKV786502 TUR786501:TUR786502 UEN786501:UEN786502 UOJ786501:UOJ786502 UYF786501:UYF786502 VIB786501:VIB786502 VRX786501:VRX786502 WBT786501:WBT786502 WLP786501:WLP786502 WVL786501:WVL786502 N852038:N852039 IZ852037:IZ852038 SV852037:SV852038 ACR852037:ACR852038 AMN852037:AMN852038 AWJ852037:AWJ852038 BGF852037:BGF852038 BQB852037:BQB852038 BZX852037:BZX852038 CJT852037:CJT852038 CTP852037:CTP852038 DDL852037:DDL852038 DNH852037:DNH852038 DXD852037:DXD852038 EGZ852037:EGZ852038 EQV852037:EQV852038 FAR852037:FAR852038 FKN852037:FKN852038 FUJ852037:FUJ852038 GEF852037:GEF852038 GOB852037:GOB852038 GXX852037:GXX852038 HHT852037:HHT852038 HRP852037:HRP852038 IBL852037:IBL852038 ILH852037:ILH852038 IVD852037:IVD852038 JEZ852037:JEZ852038 JOV852037:JOV852038 JYR852037:JYR852038 KIN852037:KIN852038 KSJ852037:KSJ852038 LCF852037:LCF852038 LMB852037:LMB852038 LVX852037:LVX852038 MFT852037:MFT852038 MPP852037:MPP852038 MZL852037:MZL852038 NJH852037:NJH852038 NTD852037:NTD852038 OCZ852037:OCZ852038 OMV852037:OMV852038 OWR852037:OWR852038 PGN852037:PGN852038 PQJ852037:PQJ852038 QAF852037:QAF852038 QKB852037:QKB852038 QTX852037:QTX852038 RDT852037:RDT852038 RNP852037:RNP852038 RXL852037:RXL852038 SHH852037:SHH852038 SRD852037:SRD852038 TAZ852037:TAZ852038 TKV852037:TKV852038 TUR852037:TUR852038 UEN852037:UEN852038 UOJ852037:UOJ852038 UYF852037:UYF852038 VIB852037:VIB852038 VRX852037:VRX852038 WBT852037:WBT852038 WLP852037:WLP852038 WVL852037:WVL852038 N917574:N917575 IZ917573:IZ917574 SV917573:SV917574 ACR917573:ACR917574 AMN917573:AMN917574 AWJ917573:AWJ917574 BGF917573:BGF917574 BQB917573:BQB917574 BZX917573:BZX917574 CJT917573:CJT917574 CTP917573:CTP917574 DDL917573:DDL917574 DNH917573:DNH917574 DXD917573:DXD917574 EGZ917573:EGZ917574 EQV917573:EQV917574 FAR917573:FAR917574 FKN917573:FKN917574 FUJ917573:FUJ917574 GEF917573:GEF917574 GOB917573:GOB917574 GXX917573:GXX917574 HHT917573:HHT917574 HRP917573:HRP917574 IBL917573:IBL917574 ILH917573:ILH917574 IVD917573:IVD917574 JEZ917573:JEZ917574 JOV917573:JOV917574 JYR917573:JYR917574 KIN917573:KIN917574 KSJ917573:KSJ917574 LCF917573:LCF917574 LMB917573:LMB917574 LVX917573:LVX917574 MFT917573:MFT917574 MPP917573:MPP917574 MZL917573:MZL917574 NJH917573:NJH917574 NTD917573:NTD917574 OCZ917573:OCZ917574 OMV917573:OMV917574 OWR917573:OWR917574 PGN917573:PGN917574 PQJ917573:PQJ917574 QAF917573:QAF917574 QKB917573:QKB917574 QTX917573:QTX917574 RDT917573:RDT917574 RNP917573:RNP917574 RXL917573:RXL917574 SHH917573:SHH917574 SRD917573:SRD917574 TAZ917573:TAZ917574 TKV917573:TKV917574 TUR917573:TUR917574 UEN917573:UEN917574 UOJ917573:UOJ917574 UYF917573:UYF917574 VIB917573:VIB917574 VRX917573:VRX917574 WBT917573:WBT917574 WLP917573:WLP917574 WVL917573:WVL917574 N983110:N983111 IZ983109:IZ983110 SV983109:SV983110 ACR983109:ACR983110 AMN983109:AMN983110 AWJ983109:AWJ983110 BGF983109:BGF983110 BQB983109:BQB983110 BZX983109:BZX983110 CJT983109:CJT983110 CTP983109:CTP983110 DDL983109:DDL983110 DNH983109:DNH983110 DXD983109:DXD983110 EGZ983109:EGZ983110 EQV983109:EQV983110 FAR983109:FAR983110 FKN983109:FKN983110 FUJ983109:FUJ983110 GEF983109:GEF983110 GOB983109:GOB983110 GXX983109:GXX983110 HHT983109:HHT983110 HRP983109:HRP983110 IBL983109:IBL983110 ILH983109:ILH983110 IVD983109:IVD983110 JEZ983109:JEZ983110 JOV983109:JOV983110 JYR983109:JYR983110 KIN983109:KIN983110 KSJ983109:KSJ983110 LCF983109:LCF983110 LMB983109:LMB983110 LVX983109:LVX983110 MFT983109:MFT983110 MPP983109:MPP983110 MZL983109:MZL983110 NJH983109:NJH983110 NTD983109:NTD983110 OCZ983109:OCZ983110 OMV983109:OMV983110 OWR983109:OWR983110 PGN983109:PGN983110 PQJ983109:PQJ983110 QAF983109:QAF983110 QKB983109:QKB983110 QTX983109:QTX983110 RDT983109:RDT983110 RNP983109:RNP983110 RXL983109:RXL983110 SHH983109:SHH983110 SRD983109:SRD983110 TAZ983109:TAZ983110 TKV983109:TKV983110 TUR983109:TUR983110 UEN983109:UEN983110 UOJ983109:UOJ983110 UYF983109:UYF983110 VIB983109:VIB983110 VRX983109:VRX983110 WBT983109:WBT983110 WLP983109:WLP983110 WVL983109:WVL983110 P65606:P65607 JC65605:JC65606 SY65605:SY65606 ACU65605:ACU65606 AMQ65605:AMQ65606 AWM65605:AWM65606 BGI65605:BGI65606 BQE65605:BQE65606 CAA65605:CAA65606 CJW65605:CJW65606 CTS65605:CTS65606 DDO65605:DDO65606 DNK65605:DNK65606 DXG65605:DXG65606 EHC65605:EHC65606 EQY65605:EQY65606 FAU65605:FAU65606 FKQ65605:FKQ65606 FUM65605:FUM65606 GEI65605:GEI65606 GOE65605:GOE65606 GYA65605:GYA65606 HHW65605:HHW65606 HRS65605:HRS65606 IBO65605:IBO65606 ILK65605:ILK65606 IVG65605:IVG65606 JFC65605:JFC65606 JOY65605:JOY65606 JYU65605:JYU65606 KIQ65605:KIQ65606 KSM65605:KSM65606 LCI65605:LCI65606 LME65605:LME65606 LWA65605:LWA65606 MFW65605:MFW65606 MPS65605:MPS65606 MZO65605:MZO65606 NJK65605:NJK65606 NTG65605:NTG65606 ODC65605:ODC65606 OMY65605:OMY65606 OWU65605:OWU65606 PGQ65605:PGQ65606 PQM65605:PQM65606 QAI65605:QAI65606 QKE65605:QKE65606 QUA65605:QUA65606 RDW65605:RDW65606 RNS65605:RNS65606 RXO65605:RXO65606 SHK65605:SHK65606 SRG65605:SRG65606 TBC65605:TBC65606 TKY65605:TKY65606 TUU65605:TUU65606 UEQ65605:UEQ65606 UOM65605:UOM65606 UYI65605:UYI65606 VIE65605:VIE65606 VSA65605:VSA65606 WBW65605:WBW65606 WLS65605:WLS65606 WVO65605:WVO65606 P131142:P131143 JC131141:JC131142 SY131141:SY131142 ACU131141:ACU131142 AMQ131141:AMQ131142 AWM131141:AWM131142 BGI131141:BGI131142 BQE131141:BQE131142 CAA131141:CAA131142 CJW131141:CJW131142 CTS131141:CTS131142 DDO131141:DDO131142 DNK131141:DNK131142 DXG131141:DXG131142 EHC131141:EHC131142 EQY131141:EQY131142 FAU131141:FAU131142 FKQ131141:FKQ131142 FUM131141:FUM131142 GEI131141:GEI131142 GOE131141:GOE131142 GYA131141:GYA131142 HHW131141:HHW131142 HRS131141:HRS131142 IBO131141:IBO131142 ILK131141:ILK131142 IVG131141:IVG131142 JFC131141:JFC131142 JOY131141:JOY131142 JYU131141:JYU131142 KIQ131141:KIQ131142 KSM131141:KSM131142 LCI131141:LCI131142 LME131141:LME131142 LWA131141:LWA131142 MFW131141:MFW131142 MPS131141:MPS131142 MZO131141:MZO131142 NJK131141:NJK131142 NTG131141:NTG131142 ODC131141:ODC131142 OMY131141:OMY131142 OWU131141:OWU131142 PGQ131141:PGQ131142 PQM131141:PQM131142 QAI131141:QAI131142 QKE131141:QKE131142 QUA131141:QUA131142 RDW131141:RDW131142 RNS131141:RNS131142 RXO131141:RXO131142 SHK131141:SHK131142 SRG131141:SRG131142 TBC131141:TBC131142 TKY131141:TKY131142 TUU131141:TUU131142 UEQ131141:UEQ131142 UOM131141:UOM131142 UYI131141:UYI131142 VIE131141:VIE131142 VSA131141:VSA131142 WBW131141:WBW131142 WLS131141:WLS131142 WVO131141:WVO131142 P196678:P196679 JC196677:JC196678 SY196677:SY196678 ACU196677:ACU196678 AMQ196677:AMQ196678 AWM196677:AWM196678 BGI196677:BGI196678 BQE196677:BQE196678 CAA196677:CAA196678 CJW196677:CJW196678 CTS196677:CTS196678 DDO196677:DDO196678 DNK196677:DNK196678 DXG196677:DXG196678 EHC196677:EHC196678 EQY196677:EQY196678 FAU196677:FAU196678 FKQ196677:FKQ196678 FUM196677:FUM196678 GEI196677:GEI196678 GOE196677:GOE196678 GYA196677:GYA196678 HHW196677:HHW196678 HRS196677:HRS196678 IBO196677:IBO196678 ILK196677:ILK196678 IVG196677:IVG196678 JFC196677:JFC196678 JOY196677:JOY196678 JYU196677:JYU196678 KIQ196677:KIQ196678 KSM196677:KSM196678 LCI196677:LCI196678 LME196677:LME196678 LWA196677:LWA196678 MFW196677:MFW196678 MPS196677:MPS196678 MZO196677:MZO196678 NJK196677:NJK196678 NTG196677:NTG196678 ODC196677:ODC196678 OMY196677:OMY196678 OWU196677:OWU196678 PGQ196677:PGQ196678 PQM196677:PQM196678 QAI196677:QAI196678 QKE196677:QKE196678 QUA196677:QUA196678 RDW196677:RDW196678 RNS196677:RNS196678 RXO196677:RXO196678 SHK196677:SHK196678 SRG196677:SRG196678 TBC196677:TBC196678 TKY196677:TKY196678 TUU196677:TUU196678 UEQ196677:UEQ196678 UOM196677:UOM196678 UYI196677:UYI196678 VIE196677:VIE196678 VSA196677:VSA196678 WBW196677:WBW196678 WLS196677:WLS196678 WVO196677:WVO196678 P262214:P262215 JC262213:JC262214 SY262213:SY262214 ACU262213:ACU262214 AMQ262213:AMQ262214 AWM262213:AWM262214 BGI262213:BGI262214 BQE262213:BQE262214 CAA262213:CAA262214 CJW262213:CJW262214 CTS262213:CTS262214 DDO262213:DDO262214 DNK262213:DNK262214 DXG262213:DXG262214 EHC262213:EHC262214 EQY262213:EQY262214 FAU262213:FAU262214 FKQ262213:FKQ262214 FUM262213:FUM262214 GEI262213:GEI262214 GOE262213:GOE262214 GYA262213:GYA262214 HHW262213:HHW262214 HRS262213:HRS262214 IBO262213:IBO262214 ILK262213:ILK262214 IVG262213:IVG262214 JFC262213:JFC262214 JOY262213:JOY262214 JYU262213:JYU262214 KIQ262213:KIQ262214 KSM262213:KSM262214 LCI262213:LCI262214 LME262213:LME262214 LWA262213:LWA262214 MFW262213:MFW262214 MPS262213:MPS262214 MZO262213:MZO262214 NJK262213:NJK262214 NTG262213:NTG262214 ODC262213:ODC262214 OMY262213:OMY262214 OWU262213:OWU262214 PGQ262213:PGQ262214 PQM262213:PQM262214 QAI262213:QAI262214 QKE262213:QKE262214 QUA262213:QUA262214 RDW262213:RDW262214 RNS262213:RNS262214 RXO262213:RXO262214 SHK262213:SHK262214 SRG262213:SRG262214 TBC262213:TBC262214 TKY262213:TKY262214 TUU262213:TUU262214 UEQ262213:UEQ262214 UOM262213:UOM262214 UYI262213:UYI262214 VIE262213:VIE262214 VSA262213:VSA262214 WBW262213:WBW262214 WLS262213:WLS262214 WVO262213:WVO262214 P327750:P327751 JC327749:JC327750 SY327749:SY327750 ACU327749:ACU327750 AMQ327749:AMQ327750 AWM327749:AWM327750 BGI327749:BGI327750 BQE327749:BQE327750 CAA327749:CAA327750 CJW327749:CJW327750 CTS327749:CTS327750 DDO327749:DDO327750 DNK327749:DNK327750 DXG327749:DXG327750 EHC327749:EHC327750 EQY327749:EQY327750 FAU327749:FAU327750 FKQ327749:FKQ327750 FUM327749:FUM327750 GEI327749:GEI327750 GOE327749:GOE327750 GYA327749:GYA327750 HHW327749:HHW327750 HRS327749:HRS327750 IBO327749:IBO327750 ILK327749:ILK327750 IVG327749:IVG327750 JFC327749:JFC327750 JOY327749:JOY327750 JYU327749:JYU327750 KIQ327749:KIQ327750 KSM327749:KSM327750 LCI327749:LCI327750 LME327749:LME327750 LWA327749:LWA327750 MFW327749:MFW327750 MPS327749:MPS327750 MZO327749:MZO327750 NJK327749:NJK327750 NTG327749:NTG327750 ODC327749:ODC327750 OMY327749:OMY327750 OWU327749:OWU327750 PGQ327749:PGQ327750 PQM327749:PQM327750 QAI327749:QAI327750 QKE327749:QKE327750 QUA327749:QUA327750 RDW327749:RDW327750 RNS327749:RNS327750 RXO327749:RXO327750 SHK327749:SHK327750 SRG327749:SRG327750 TBC327749:TBC327750 TKY327749:TKY327750 TUU327749:TUU327750 UEQ327749:UEQ327750 UOM327749:UOM327750 UYI327749:UYI327750 VIE327749:VIE327750 VSA327749:VSA327750 WBW327749:WBW327750 WLS327749:WLS327750 WVO327749:WVO327750 P393286:P393287 JC393285:JC393286 SY393285:SY393286 ACU393285:ACU393286 AMQ393285:AMQ393286 AWM393285:AWM393286 BGI393285:BGI393286 BQE393285:BQE393286 CAA393285:CAA393286 CJW393285:CJW393286 CTS393285:CTS393286 DDO393285:DDO393286 DNK393285:DNK393286 DXG393285:DXG393286 EHC393285:EHC393286 EQY393285:EQY393286 FAU393285:FAU393286 FKQ393285:FKQ393286 FUM393285:FUM393286 GEI393285:GEI393286 GOE393285:GOE393286 GYA393285:GYA393286 HHW393285:HHW393286 HRS393285:HRS393286 IBO393285:IBO393286 ILK393285:ILK393286 IVG393285:IVG393286 JFC393285:JFC393286 JOY393285:JOY393286 JYU393285:JYU393286 KIQ393285:KIQ393286 KSM393285:KSM393286 LCI393285:LCI393286 LME393285:LME393286 LWA393285:LWA393286 MFW393285:MFW393286 MPS393285:MPS393286 MZO393285:MZO393286 NJK393285:NJK393286 NTG393285:NTG393286 ODC393285:ODC393286 OMY393285:OMY393286 OWU393285:OWU393286 PGQ393285:PGQ393286 PQM393285:PQM393286 QAI393285:QAI393286 QKE393285:QKE393286 QUA393285:QUA393286 RDW393285:RDW393286 RNS393285:RNS393286 RXO393285:RXO393286 SHK393285:SHK393286 SRG393285:SRG393286 TBC393285:TBC393286 TKY393285:TKY393286 TUU393285:TUU393286 UEQ393285:UEQ393286 UOM393285:UOM393286 UYI393285:UYI393286 VIE393285:VIE393286 VSA393285:VSA393286 WBW393285:WBW393286 WLS393285:WLS393286 WVO393285:WVO393286 P458822:P458823 JC458821:JC458822 SY458821:SY458822 ACU458821:ACU458822 AMQ458821:AMQ458822 AWM458821:AWM458822 BGI458821:BGI458822 BQE458821:BQE458822 CAA458821:CAA458822 CJW458821:CJW458822 CTS458821:CTS458822 DDO458821:DDO458822 DNK458821:DNK458822 DXG458821:DXG458822 EHC458821:EHC458822 EQY458821:EQY458822 FAU458821:FAU458822 FKQ458821:FKQ458822 FUM458821:FUM458822 GEI458821:GEI458822 GOE458821:GOE458822 GYA458821:GYA458822 HHW458821:HHW458822 HRS458821:HRS458822 IBO458821:IBO458822 ILK458821:ILK458822 IVG458821:IVG458822 JFC458821:JFC458822 JOY458821:JOY458822 JYU458821:JYU458822 KIQ458821:KIQ458822 KSM458821:KSM458822 LCI458821:LCI458822 LME458821:LME458822 LWA458821:LWA458822 MFW458821:MFW458822 MPS458821:MPS458822 MZO458821:MZO458822 NJK458821:NJK458822 NTG458821:NTG458822 ODC458821:ODC458822 OMY458821:OMY458822 OWU458821:OWU458822 PGQ458821:PGQ458822 PQM458821:PQM458822 QAI458821:QAI458822 QKE458821:QKE458822 QUA458821:QUA458822 RDW458821:RDW458822 RNS458821:RNS458822 RXO458821:RXO458822 SHK458821:SHK458822 SRG458821:SRG458822 TBC458821:TBC458822 TKY458821:TKY458822 TUU458821:TUU458822 UEQ458821:UEQ458822 UOM458821:UOM458822 UYI458821:UYI458822 VIE458821:VIE458822 VSA458821:VSA458822 WBW458821:WBW458822 WLS458821:WLS458822 WVO458821:WVO458822 P524358:P524359 JC524357:JC524358 SY524357:SY524358 ACU524357:ACU524358 AMQ524357:AMQ524358 AWM524357:AWM524358 BGI524357:BGI524358 BQE524357:BQE524358 CAA524357:CAA524358 CJW524357:CJW524358 CTS524357:CTS524358 DDO524357:DDO524358 DNK524357:DNK524358 DXG524357:DXG524358 EHC524357:EHC524358 EQY524357:EQY524358 FAU524357:FAU524358 FKQ524357:FKQ524358 FUM524357:FUM524358 GEI524357:GEI524358 GOE524357:GOE524358 GYA524357:GYA524358 HHW524357:HHW524358 HRS524357:HRS524358 IBO524357:IBO524358 ILK524357:ILK524358 IVG524357:IVG524358 JFC524357:JFC524358 JOY524357:JOY524358 JYU524357:JYU524358 KIQ524357:KIQ524358 KSM524357:KSM524358 LCI524357:LCI524358 LME524357:LME524358 LWA524357:LWA524358 MFW524357:MFW524358 MPS524357:MPS524358 MZO524357:MZO524358 NJK524357:NJK524358 NTG524357:NTG524358 ODC524357:ODC524358 OMY524357:OMY524358 OWU524357:OWU524358 PGQ524357:PGQ524358 PQM524357:PQM524358 QAI524357:QAI524358 QKE524357:QKE524358 QUA524357:QUA524358 RDW524357:RDW524358 RNS524357:RNS524358 RXO524357:RXO524358 SHK524357:SHK524358 SRG524357:SRG524358 TBC524357:TBC524358 TKY524357:TKY524358 TUU524357:TUU524358 UEQ524357:UEQ524358 UOM524357:UOM524358 UYI524357:UYI524358 VIE524357:VIE524358 VSA524357:VSA524358 WBW524357:WBW524358 WLS524357:WLS524358 WVO524357:WVO524358 P589894:P589895 JC589893:JC589894 SY589893:SY589894 ACU589893:ACU589894 AMQ589893:AMQ589894 AWM589893:AWM589894 BGI589893:BGI589894 BQE589893:BQE589894 CAA589893:CAA589894 CJW589893:CJW589894 CTS589893:CTS589894 DDO589893:DDO589894 DNK589893:DNK589894 DXG589893:DXG589894 EHC589893:EHC589894 EQY589893:EQY589894 FAU589893:FAU589894 FKQ589893:FKQ589894 FUM589893:FUM589894 GEI589893:GEI589894 GOE589893:GOE589894 GYA589893:GYA589894 HHW589893:HHW589894 HRS589893:HRS589894 IBO589893:IBO589894 ILK589893:ILK589894 IVG589893:IVG589894 JFC589893:JFC589894 JOY589893:JOY589894 JYU589893:JYU589894 KIQ589893:KIQ589894 KSM589893:KSM589894 LCI589893:LCI589894 LME589893:LME589894 LWA589893:LWA589894 MFW589893:MFW589894 MPS589893:MPS589894 MZO589893:MZO589894 NJK589893:NJK589894 NTG589893:NTG589894 ODC589893:ODC589894 OMY589893:OMY589894 OWU589893:OWU589894 PGQ589893:PGQ589894 PQM589893:PQM589894 QAI589893:QAI589894 QKE589893:QKE589894 QUA589893:QUA589894 RDW589893:RDW589894 RNS589893:RNS589894 RXO589893:RXO589894 SHK589893:SHK589894 SRG589893:SRG589894 TBC589893:TBC589894 TKY589893:TKY589894 TUU589893:TUU589894 UEQ589893:UEQ589894 UOM589893:UOM589894 UYI589893:UYI589894 VIE589893:VIE589894 VSA589893:VSA589894 WBW589893:WBW589894 WLS589893:WLS589894 WVO589893:WVO589894 P655430:P655431 JC655429:JC655430 SY655429:SY655430 ACU655429:ACU655430 AMQ655429:AMQ655430 AWM655429:AWM655430 BGI655429:BGI655430 BQE655429:BQE655430 CAA655429:CAA655430 CJW655429:CJW655430 CTS655429:CTS655430 DDO655429:DDO655430 DNK655429:DNK655430 DXG655429:DXG655430 EHC655429:EHC655430 EQY655429:EQY655430 FAU655429:FAU655430 FKQ655429:FKQ655430 FUM655429:FUM655430 GEI655429:GEI655430 GOE655429:GOE655430 GYA655429:GYA655430 HHW655429:HHW655430 HRS655429:HRS655430 IBO655429:IBO655430 ILK655429:ILK655430 IVG655429:IVG655430 JFC655429:JFC655430 JOY655429:JOY655430 JYU655429:JYU655430 KIQ655429:KIQ655430 KSM655429:KSM655430 LCI655429:LCI655430 LME655429:LME655430 LWA655429:LWA655430 MFW655429:MFW655430 MPS655429:MPS655430 MZO655429:MZO655430 NJK655429:NJK655430 NTG655429:NTG655430 ODC655429:ODC655430 OMY655429:OMY655430 OWU655429:OWU655430 PGQ655429:PGQ655430 PQM655429:PQM655430 QAI655429:QAI655430 QKE655429:QKE655430 QUA655429:QUA655430 RDW655429:RDW655430 RNS655429:RNS655430 RXO655429:RXO655430 SHK655429:SHK655430 SRG655429:SRG655430 TBC655429:TBC655430 TKY655429:TKY655430 TUU655429:TUU655430 UEQ655429:UEQ655430 UOM655429:UOM655430 UYI655429:UYI655430 VIE655429:VIE655430 VSA655429:VSA655430 WBW655429:WBW655430 WLS655429:WLS655430 WVO655429:WVO655430 P720966:P720967 JC720965:JC720966 SY720965:SY720966 ACU720965:ACU720966 AMQ720965:AMQ720966 AWM720965:AWM720966 BGI720965:BGI720966 BQE720965:BQE720966 CAA720965:CAA720966 CJW720965:CJW720966 CTS720965:CTS720966 DDO720965:DDO720966 DNK720965:DNK720966 DXG720965:DXG720966 EHC720965:EHC720966 EQY720965:EQY720966 FAU720965:FAU720966 FKQ720965:FKQ720966 FUM720965:FUM720966 GEI720965:GEI720966 GOE720965:GOE720966 GYA720965:GYA720966 HHW720965:HHW720966 HRS720965:HRS720966 IBO720965:IBO720966 ILK720965:ILK720966 IVG720965:IVG720966 JFC720965:JFC720966 JOY720965:JOY720966 JYU720965:JYU720966 KIQ720965:KIQ720966 KSM720965:KSM720966 LCI720965:LCI720966 LME720965:LME720966 LWA720965:LWA720966 MFW720965:MFW720966 MPS720965:MPS720966 MZO720965:MZO720966 NJK720965:NJK720966 NTG720965:NTG720966 ODC720965:ODC720966 OMY720965:OMY720966 OWU720965:OWU720966 PGQ720965:PGQ720966 PQM720965:PQM720966 QAI720965:QAI720966 QKE720965:QKE720966 QUA720965:QUA720966 RDW720965:RDW720966 RNS720965:RNS720966 RXO720965:RXO720966 SHK720965:SHK720966 SRG720965:SRG720966 TBC720965:TBC720966 TKY720965:TKY720966 TUU720965:TUU720966 UEQ720965:UEQ720966 UOM720965:UOM720966 UYI720965:UYI720966 VIE720965:VIE720966 VSA720965:VSA720966 WBW720965:WBW720966 WLS720965:WLS720966 WVO720965:WVO720966 P786502:P786503 JC786501:JC786502 SY786501:SY786502 ACU786501:ACU786502 AMQ786501:AMQ786502 AWM786501:AWM786502 BGI786501:BGI786502 BQE786501:BQE786502 CAA786501:CAA786502 CJW786501:CJW786502 CTS786501:CTS786502 DDO786501:DDO786502 DNK786501:DNK786502 DXG786501:DXG786502 EHC786501:EHC786502 EQY786501:EQY786502 FAU786501:FAU786502 FKQ786501:FKQ786502 FUM786501:FUM786502 GEI786501:GEI786502 GOE786501:GOE786502 GYA786501:GYA786502 HHW786501:HHW786502 HRS786501:HRS786502 IBO786501:IBO786502 ILK786501:ILK786502 IVG786501:IVG786502 JFC786501:JFC786502 JOY786501:JOY786502 JYU786501:JYU786502 KIQ786501:KIQ786502 KSM786501:KSM786502 LCI786501:LCI786502 LME786501:LME786502 LWA786501:LWA786502 MFW786501:MFW786502 MPS786501:MPS786502 MZO786501:MZO786502 NJK786501:NJK786502 NTG786501:NTG786502 ODC786501:ODC786502 OMY786501:OMY786502 OWU786501:OWU786502 PGQ786501:PGQ786502 PQM786501:PQM786502 QAI786501:QAI786502 QKE786501:QKE786502 QUA786501:QUA786502 RDW786501:RDW786502 RNS786501:RNS786502 RXO786501:RXO786502 SHK786501:SHK786502 SRG786501:SRG786502 TBC786501:TBC786502 TKY786501:TKY786502 TUU786501:TUU786502 UEQ786501:UEQ786502 UOM786501:UOM786502 UYI786501:UYI786502 VIE786501:VIE786502 VSA786501:VSA786502 WBW786501:WBW786502 WLS786501:WLS786502 WVO786501:WVO786502 P852038:P852039 JC852037:JC852038 SY852037:SY852038 ACU852037:ACU852038 AMQ852037:AMQ852038 AWM852037:AWM852038 BGI852037:BGI852038 BQE852037:BQE852038 CAA852037:CAA852038 CJW852037:CJW852038 CTS852037:CTS852038 DDO852037:DDO852038 DNK852037:DNK852038 DXG852037:DXG852038 EHC852037:EHC852038 EQY852037:EQY852038 FAU852037:FAU852038 FKQ852037:FKQ852038 FUM852037:FUM852038 GEI852037:GEI852038 GOE852037:GOE852038 GYA852037:GYA852038 HHW852037:HHW852038 HRS852037:HRS852038 IBO852037:IBO852038 ILK852037:ILK852038 IVG852037:IVG852038 JFC852037:JFC852038 JOY852037:JOY852038 JYU852037:JYU852038 KIQ852037:KIQ852038 KSM852037:KSM852038 LCI852037:LCI852038 LME852037:LME852038 LWA852037:LWA852038 MFW852037:MFW852038 MPS852037:MPS852038 MZO852037:MZO852038 NJK852037:NJK852038 NTG852037:NTG852038 ODC852037:ODC852038 OMY852037:OMY852038 OWU852037:OWU852038 PGQ852037:PGQ852038 PQM852037:PQM852038 QAI852037:QAI852038 QKE852037:QKE852038 QUA852037:QUA852038 RDW852037:RDW852038 RNS852037:RNS852038 RXO852037:RXO852038 SHK852037:SHK852038 SRG852037:SRG852038 TBC852037:TBC852038 TKY852037:TKY852038 TUU852037:TUU852038 UEQ852037:UEQ852038 UOM852037:UOM852038 UYI852037:UYI852038 VIE852037:VIE852038 VSA852037:VSA852038 WBW852037:WBW852038 WLS852037:WLS852038 WVO852037:WVO852038 P917574:P917575 JC917573:JC917574 SY917573:SY917574 ACU917573:ACU917574 AMQ917573:AMQ917574 AWM917573:AWM917574 BGI917573:BGI917574 BQE917573:BQE917574 CAA917573:CAA917574 CJW917573:CJW917574 CTS917573:CTS917574 DDO917573:DDO917574 DNK917573:DNK917574 DXG917573:DXG917574 EHC917573:EHC917574 EQY917573:EQY917574 FAU917573:FAU917574 FKQ917573:FKQ917574 FUM917573:FUM917574 GEI917573:GEI917574 GOE917573:GOE917574 GYA917573:GYA917574 HHW917573:HHW917574 HRS917573:HRS917574 IBO917573:IBO917574 ILK917573:ILK917574 IVG917573:IVG917574 JFC917573:JFC917574 JOY917573:JOY917574 JYU917573:JYU917574 KIQ917573:KIQ917574 KSM917573:KSM917574 LCI917573:LCI917574 LME917573:LME917574 LWA917573:LWA917574 MFW917573:MFW917574 MPS917573:MPS917574 MZO917573:MZO917574 NJK917573:NJK917574 NTG917573:NTG917574 ODC917573:ODC917574 OMY917573:OMY917574 OWU917573:OWU917574 PGQ917573:PGQ917574 PQM917573:PQM917574 QAI917573:QAI917574 QKE917573:QKE917574 QUA917573:QUA917574 RDW917573:RDW917574 RNS917573:RNS917574 RXO917573:RXO917574 SHK917573:SHK917574 SRG917573:SRG917574 TBC917573:TBC917574 TKY917573:TKY917574 TUU917573:TUU917574 UEQ917573:UEQ917574 UOM917573:UOM917574 UYI917573:UYI917574 VIE917573:VIE917574 VSA917573:VSA917574 WBW917573:WBW917574 WLS917573:WLS917574 WVO917573:WVO917574 P983110:P983111 JC983109:JC983110 SY983109:SY983110 ACU983109:ACU983110 AMQ983109:AMQ983110 AWM983109:AWM983110 BGI983109:BGI983110 BQE983109:BQE983110 CAA983109:CAA983110 CJW983109:CJW983110 CTS983109:CTS983110 DDO983109:DDO983110 DNK983109:DNK983110 DXG983109:DXG983110 EHC983109:EHC983110 EQY983109:EQY983110 FAU983109:FAU983110 FKQ983109:FKQ983110 FUM983109:FUM983110 GEI983109:GEI983110 GOE983109:GOE983110 GYA983109:GYA983110 HHW983109:HHW983110 HRS983109:HRS983110 IBO983109:IBO983110 ILK983109:ILK983110 IVG983109:IVG983110 JFC983109:JFC983110 JOY983109:JOY983110 JYU983109:JYU983110 KIQ983109:KIQ983110 KSM983109:KSM983110 LCI983109:LCI983110 LME983109:LME983110 LWA983109:LWA983110 MFW983109:MFW983110 MPS983109:MPS983110 MZO983109:MZO983110 NJK983109:NJK983110 NTG983109:NTG983110 ODC983109:ODC983110 OMY983109:OMY983110 OWU983109:OWU983110 PGQ983109:PGQ983110 PQM983109:PQM983110 QAI983109:QAI983110 QKE983109:QKE983110 QUA983109:QUA983110 RDW983109:RDW983110 RNS983109:RNS983110 RXO983109:RXO983110 SHK983109:SHK983110 SRG983109:SRG983110 TBC983109:TBC983110 TKY983109:TKY983110 TUU983109:TUU983110 UEQ983109:UEQ983110 UOM983109:UOM983110 UYI983109:UYI983110 VIE983109:VIE983110 VSA983109:VSA983110 WBW983109:WBW983110 WLS983109:WLS983110 WVO983109:WVO983110 R65606:R65607 JF65605:JF65606 TB65605:TB65606 ACX65605:ACX65606 AMT65605:AMT65606 AWP65605:AWP65606 BGL65605:BGL65606 BQH65605:BQH65606 CAD65605:CAD65606 CJZ65605:CJZ65606 CTV65605:CTV65606 DDR65605:DDR65606 DNN65605:DNN65606 DXJ65605:DXJ65606 EHF65605:EHF65606 ERB65605:ERB65606 FAX65605:FAX65606 FKT65605:FKT65606 FUP65605:FUP65606 GEL65605:GEL65606 GOH65605:GOH65606 GYD65605:GYD65606 HHZ65605:HHZ65606 HRV65605:HRV65606 IBR65605:IBR65606 ILN65605:ILN65606 IVJ65605:IVJ65606 JFF65605:JFF65606 JPB65605:JPB65606 JYX65605:JYX65606 KIT65605:KIT65606 KSP65605:KSP65606 LCL65605:LCL65606 LMH65605:LMH65606 LWD65605:LWD65606 MFZ65605:MFZ65606 MPV65605:MPV65606 MZR65605:MZR65606 NJN65605:NJN65606 NTJ65605:NTJ65606 ODF65605:ODF65606 ONB65605:ONB65606 OWX65605:OWX65606 PGT65605:PGT65606 PQP65605:PQP65606 QAL65605:QAL65606 QKH65605:QKH65606 QUD65605:QUD65606 RDZ65605:RDZ65606 RNV65605:RNV65606 RXR65605:RXR65606 SHN65605:SHN65606 SRJ65605:SRJ65606 TBF65605:TBF65606 TLB65605:TLB65606 TUX65605:TUX65606 UET65605:UET65606 UOP65605:UOP65606 UYL65605:UYL65606 VIH65605:VIH65606 VSD65605:VSD65606 WBZ65605:WBZ65606 WLV65605:WLV65606 WVR65605:WVR65606 R131142:R131143 JF131141:JF131142 TB131141:TB131142 ACX131141:ACX131142 AMT131141:AMT131142 AWP131141:AWP131142 BGL131141:BGL131142 BQH131141:BQH131142 CAD131141:CAD131142 CJZ131141:CJZ131142 CTV131141:CTV131142 DDR131141:DDR131142 DNN131141:DNN131142 DXJ131141:DXJ131142 EHF131141:EHF131142 ERB131141:ERB131142 FAX131141:FAX131142 FKT131141:FKT131142 FUP131141:FUP131142 GEL131141:GEL131142 GOH131141:GOH131142 GYD131141:GYD131142 HHZ131141:HHZ131142 HRV131141:HRV131142 IBR131141:IBR131142 ILN131141:ILN131142 IVJ131141:IVJ131142 JFF131141:JFF131142 JPB131141:JPB131142 JYX131141:JYX131142 KIT131141:KIT131142 KSP131141:KSP131142 LCL131141:LCL131142 LMH131141:LMH131142 LWD131141:LWD131142 MFZ131141:MFZ131142 MPV131141:MPV131142 MZR131141:MZR131142 NJN131141:NJN131142 NTJ131141:NTJ131142 ODF131141:ODF131142 ONB131141:ONB131142 OWX131141:OWX131142 PGT131141:PGT131142 PQP131141:PQP131142 QAL131141:QAL131142 QKH131141:QKH131142 QUD131141:QUD131142 RDZ131141:RDZ131142 RNV131141:RNV131142 RXR131141:RXR131142 SHN131141:SHN131142 SRJ131141:SRJ131142 TBF131141:TBF131142 TLB131141:TLB131142 TUX131141:TUX131142 UET131141:UET131142 UOP131141:UOP131142 UYL131141:UYL131142 VIH131141:VIH131142 VSD131141:VSD131142 WBZ131141:WBZ131142 WLV131141:WLV131142 WVR131141:WVR131142 R196678:R196679 JF196677:JF196678 TB196677:TB196678 ACX196677:ACX196678 AMT196677:AMT196678 AWP196677:AWP196678 BGL196677:BGL196678 BQH196677:BQH196678 CAD196677:CAD196678 CJZ196677:CJZ196678 CTV196677:CTV196678 DDR196677:DDR196678 DNN196677:DNN196678 DXJ196677:DXJ196678 EHF196677:EHF196678 ERB196677:ERB196678 FAX196677:FAX196678 FKT196677:FKT196678 FUP196677:FUP196678 GEL196677:GEL196678 GOH196677:GOH196678 GYD196677:GYD196678 HHZ196677:HHZ196678 HRV196677:HRV196678 IBR196677:IBR196678 ILN196677:ILN196678 IVJ196677:IVJ196678 JFF196677:JFF196678 JPB196677:JPB196678 JYX196677:JYX196678 KIT196677:KIT196678 KSP196677:KSP196678 LCL196677:LCL196678 LMH196677:LMH196678 LWD196677:LWD196678 MFZ196677:MFZ196678 MPV196677:MPV196678 MZR196677:MZR196678 NJN196677:NJN196678 NTJ196677:NTJ196678 ODF196677:ODF196678 ONB196677:ONB196678 OWX196677:OWX196678 PGT196677:PGT196678 PQP196677:PQP196678 QAL196677:QAL196678 QKH196677:QKH196678 QUD196677:QUD196678 RDZ196677:RDZ196678 RNV196677:RNV196678 RXR196677:RXR196678 SHN196677:SHN196678 SRJ196677:SRJ196678 TBF196677:TBF196678 TLB196677:TLB196678 TUX196677:TUX196678 UET196677:UET196678 UOP196677:UOP196678 UYL196677:UYL196678 VIH196677:VIH196678 VSD196677:VSD196678 WBZ196677:WBZ196678 WLV196677:WLV196678 WVR196677:WVR196678 R262214:R262215 JF262213:JF262214 TB262213:TB262214 ACX262213:ACX262214 AMT262213:AMT262214 AWP262213:AWP262214 BGL262213:BGL262214 BQH262213:BQH262214 CAD262213:CAD262214 CJZ262213:CJZ262214 CTV262213:CTV262214 DDR262213:DDR262214 DNN262213:DNN262214 DXJ262213:DXJ262214 EHF262213:EHF262214 ERB262213:ERB262214 FAX262213:FAX262214 FKT262213:FKT262214 FUP262213:FUP262214 GEL262213:GEL262214 GOH262213:GOH262214 GYD262213:GYD262214 HHZ262213:HHZ262214 HRV262213:HRV262214 IBR262213:IBR262214 ILN262213:ILN262214 IVJ262213:IVJ262214 JFF262213:JFF262214 JPB262213:JPB262214 JYX262213:JYX262214 KIT262213:KIT262214 KSP262213:KSP262214 LCL262213:LCL262214 LMH262213:LMH262214 LWD262213:LWD262214 MFZ262213:MFZ262214 MPV262213:MPV262214 MZR262213:MZR262214 NJN262213:NJN262214 NTJ262213:NTJ262214 ODF262213:ODF262214 ONB262213:ONB262214 OWX262213:OWX262214 PGT262213:PGT262214 PQP262213:PQP262214 QAL262213:QAL262214 QKH262213:QKH262214 QUD262213:QUD262214 RDZ262213:RDZ262214 RNV262213:RNV262214 RXR262213:RXR262214 SHN262213:SHN262214 SRJ262213:SRJ262214 TBF262213:TBF262214 TLB262213:TLB262214 TUX262213:TUX262214 UET262213:UET262214 UOP262213:UOP262214 UYL262213:UYL262214 VIH262213:VIH262214 VSD262213:VSD262214 WBZ262213:WBZ262214 WLV262213:WLV262214 WVR262213:WVR262214 R327750:R327751 JF327749:JF327750 TB327749:TB327750 ACX327749:ACX327750 AMT327749:AMT327750 AWP327749:AWP327750 BGL327749:BGL327750 BQH327749:BQH327750 CAD327749:CAD327750 CJZ327749:CJZ327750 CTV327749:CTV327750 DDR327749:DDR327750 DNN327749:DNN327750 DXJ327749:DXJ327750 EHF327749:EHF327750 ERB327749:ERB327750 FAX327749:FAX327750 FKT327749:FKT327750 FUP327749:FUP327750 GEL327749:GEL327750 GOH327749:GOH327750 GYD327749:GYD327750 HHZ327749:HHZ327750 HRV327749:HRV327750 IBR327749:IBR327750 ILN327749:ILN327750 IVJ327749:IVJ327750 JFF327749:JFF327750 JPB327749:JPB327750 JYX327749:JYX327750 KIT327749:KIT327750 KSP327749:KSP327750 LCL327749:LCL327750 LMH327749:LMH327750 LWD327749:LWD327750 MFZ327749:MFZ327750 MPV327749:MPV327750 MZR327749:MZR327750 NJN327749:NJN327750 NTJ327749:NTJ327750 ODF327749:ODF327750 ONB327749:ONB327750 OWX327749:OWX327750 PGT327749:PGT327750 PQP327749:PQP327750 QAL327749:QAL327750 QKH327749:QKH327750 QUD327749:QUD327750 RDZ327749:RDZ327750 RNV327749:RNV327750 RXR327749:RXR327750 SHN327749:SHN327750 SRJ327749:SRJ327750 TBF327749:TBF327750 TLB327749:TLB327750 TUX327749:TUX327750 UET327749:UET327750 UOP327749:UOP327750 UYL327749:UYL327750 VIH327749:VIH327750 VSD327749:VSD327750 WBZ327749:WBZ327750 WLV327749:WLV327750 WVR327749:WVR327750 R393286:R393287 JF393285:JF393286 TB393285:TB393286 ACX393285:ACX393286 AMT393285:AMT393286 AWP393285:AWP393286 BGL393285:BGL393286 BQH393285:BQH393286 CAD393285:CAD393286 CJZ393285:CJZ393286 CTV393285:CTV393286 DDR393285:DDR393286 DNN393285:DNN393286 DXJ393285:DXJ393286 EHF393285:EHF393286 ERB393285:ERB393286 FAX393285:FAX393286 FKT393285:FKT393286 FUP393285:FUP393286 GEL393285:GEL393286 GOH393285:GOH393286 GYD393285:GYD393286 HHZ393285:HHZ393286 HRV393285:HRV393286 IBR393285:IBR393286 ILN393285:ILN393286 IVJ393285:IVJ393286 JFF393285:JFF393286 JPB393285:JPB393286 JYX393285:JYX393286 KIT393285:KIT393286 KSP393285:KSP393286 LCL393285:LCL393286 LMH393285:LMH393286 LWD393285:LWD393286 MFZ393285:MFZ393286 MPV393285:MPV393286 MZR393285:MZR393286 NJN393285:NJN393286 NTJ393285:NTJ393286 ODF393285:ODF393286 ONB393285:ONB393286 OWX393285:OWX393286 PGT393285:PGT393286 PQP393285:PQP393286 QAL393285:QAL393286 QKH393285:QKH393286 QUD393285:QUD393286 RDZ393285:RDZ393286 RNV393285:RNV393286 RXR393285:RXR393286 SHN393285:SHN393286 SRJ393285:SRJ393286 TBF393285:TBF393286 TLB393285:TLB393286 TUX393285:TUX393286 UET393285:UET393286 UOP393285:UOP393286 UYL393285:UYL393286 VIH393285:VIH393286 VSD393285:VSD393286 WBZ393285:WBZ393286 WLV393285:WLV393286 WVR393285:WVR393286 R458822:R458823 JF458821:JF458822 TB458821:TB458822 ACX458821:ACX458822 AMT458821:AMT458822 AWP458821:AWP458822 BGL458821:BGL458822 BQH458821:BQH458822 CAD458821:CAD458822 CJZ458821:CJZ458822 CTV458821:CTV458822 DDR458821:DDR458822 DNN458821:DNN458822 DXJ458821:DXJ458822 EHF458821:EHF458822 ERB458821:ERB458822 FAX458821:FAX458822 FKT458821:FKT458822 FUP458821:FUP458822 GEL458821:GEL458822 GOH458821:GOH458822 GYD458821:GYD458822 HHZ458821:HHZ458822 HRV458821:HRV458822 IBR458821:IBR458822 ILN458821:ILN458822 IVJ458821:IVJ458822 JFF458821:JFF458822 JPB458821:JPB458822 JYX458821:JYX458822 KIT458821:KIT458822 KSP458821:KSP458822 LCL458821:LCL458822 LMH458821:LMH458822 LWD458821:LWD458822 MFZ458821:MFZ458822 MPV458821:MPV458822 MZR458821:MZR458822 NJN458821:NJN458822 NTJ458821:NTJ458822 ODF458821:ODF458822 ONB458821:ONB458822 OWX458821:OWX458822 PGT458821:PGT458822 PQP458821:PQP458822 QAL458821:QAL458822 QKH458821:QKH458822 QUD458821:QUD458822 RDZ458821:RDZ458822 RNV458821:RNV458822 RXR458821:RXR458822 SHN458821:SHN458822 SRJ458821:SRJ458822 TBF458821:TBF458822 TLB458821:TLB458822 TUX458821:TUX458822 UET458821:UET458822 UOP458821:UOP458822 UYL458821:UYL458822 VIH458821:VIH458822 VSD458821:VSD458822 WBZ458821:WBZ458822 WLV458821:WLV458822 WVR458821:WVR458822 R524358:R524359 JF524357:JF524358 TB524357:TB524358 ACX524357:ACX524358 AMT524357:AMT524358 AWP524357:AWP524358 BGL524357:BGL524358 BQH524357:BQH524358 CAD524357:CAD524358 CJZ524357:CJZ524358 CTV524357:CTV524358 DDR524357:DDR524358 DNN524357:DNN524358 DXJ524357:DXJ524358 EHF524357:EHF524358 ERB524357:ERB524358 FAX524357:FAX524358 FKT524357:FKT524358 FUP524357:FUP524358 GEL524357:GEL524358 GOH524357:GOH524358 GYD524357:GYD524358 HHZ524357:HHZ524358 HRV524357:HRV524358 IBR524357:IBR524358 ILN524357:ILN524358 IVJ524357:IVJ524358 JFF524357:JFF524358 JPB524357:JPB524358 JYX524357:JYX524358 KIT524357:KIT524358 KSP524357:KSP524358 LCL524357:LCL524358 LMH524357:LMH524358 LWD524357:LWD524358 MFZ524357:MFZ524358 MPV524357:MPV524358 MZR524357:MZR524358 NJN524357:NJN524358 NTJ524357:NTJ524358 ODF524357:ODF524358 ONB524357:ONB524358 OWX524357:OWX524358 PGT524357:PGT524358 PQP524357:PQP524358 QAL524357:QAL524358 QKH524357:QKH524358 QUD524357:QUD524358 RDZ524357:RDZ524358 RNV524357:RNV524358 RXR524357:RXR524358 SHN524357:SHN524358 SRJ524357:SRJ524358 TBF524357:TBF524358 TLB524357:TLB524358 TUX524357:TUX524358 UET524357:UET524358 UOP524357:UOP524358 UYL524357:UYL524358 VIH524357:VIH524358 VSD524357:VSD524358 WBZ524357:WBZ524358 WLV524357:WLV524358 WVR524357:WVR524358 R589894:R589895 JF589893:JF589894 TB589893:TB589894 ACX589893:ACX589894 AMT589893:AMT589894 AWP589893:AWP589894 BGL589893:BGL589894 BQH589893:BQH589894 CAD589893:CAD589894 CJZ589893:CJZ589894 CTV589893:CTV589894 DDR589893:DDR589894 DNN589893:DNN589894 DXJ589893:DXJ589894 EHF589893:EHF589894 ERB589893:ERB589894 FAX589893:FAX589894 FKT589893:FKT589894 FUP589893:FUP589894 GEL589893:GEL589894 GOH589893:GOH589894 GYD589893:GYD589894 HHZ589893:HHZ589894 HRV589893:HRV589894 IBR589893:IBR589894 ILN589893:ILN589894 IVJ589893:IVJ589894 JFF589893:JFF589894 JPB589893:JPB589894 JYX589893:JYX589894 KIT589893:KIT589894 KSP589893:KSP589894 LCL589893:LCL589894 LMH589893:LMH589894 LWD589893:LWD589894 MFZ589893:MFZ589894 MPV589893:MPV589894 MZR589893:MZR589894 NJN589893:NJN589894 NTJ589893:NTJ589894 ODF589893:ODF589894 ONB589893:ONB589894 OWX589893:OWX589894 PGT589893:PGT589894 PQP589893:PQP589894 QAL589893:QAL589894 QKH589893:QKH589894 QUD589893:QUD589894 RDZ589893:RDZ589894 RNV589893:RNV589894 RXR589893:RXR589894 SHN589893:SHN589894 SRJ589893:SRJ589894 TBF589893:TBF589894 TLB589893:TLB589894 TUX589893:TUX589894 UET589893:UET589894 UOP589893:UOP589894 UYL589893:UYL589894 VIH589893:VIH589894 VSD589893:VSD589894 WBZ589893:WBZ589894 WLV589893:WLV589894 WVR589893:WVR589894 R655430:R655431 JF655429:JF655430 TB655429:TB655430 ACX655429:ACX655430 AMT655429:AMT655430 AWP655429:AWP655430 BGL655429:BGL655430 BQH655429:BQH655430 CAD655429:CAD655430 CJZ655429:CJZ655430 CTV655429:CTV655430 DDR655429:DDR655430 DNN655429:DNN655430 DXJ655429:DXJ655430 EHF655429:EHF655430 ERB655429:ERB655430 FAX655429:FAX655430 FKT655429:FKT655430 FUP655429:FUP655430 GEL655429:GEL655430 GOH655429:GOH655430 GYD655429:GYD655430 HHZ655429:HHZ655430 HRV655429:HRV655430 IBR655429:IBR655430 ILN655429:ILN655430 IVJ655429:IVJ655430 JFF655429:JFF655430 JPB655429:JPB655430 JYX655429:JYX655430 KIT655429:KIT655430 KSP655429:KSP655430 LCL655429:LCL655430 LMH655429:LMH655430 LWD655429:LWD655430 MFZ655429:MFZ655430 MPV655429:MPV655430 MZR655429:MZR655430 NJN655429:NJN655430 NTJ655429:NTJ655430 ODF655429:ODF655430 ONB655429:ONB655430 OWX655429:OWX655430 PGT655429:PGT655430 PQP655429:PQP655430 QAL655429:QAL655430 QKH655429:QKH655430 QUD655429:QUD655430 RDZ655429:RDZ655430 RNV655429:RNV655430 RXR655429:RXR655430 SHN655429:SHN655430 SRJ655429:SRJ655430 TBF655429:TBF655430 TLB655429:TLB655430 TUX655429:TUX655430 UET655429:UET655430 UOP655429:UOP655430 UYL655429:UYL655430 VIH655429:VIH655430 VSD655429:VSD655430 WBZ655429:WBZ655430 WLV655429:WLV655430 WVR655429:WVR655430 R720966:R720967 JF720965:JF720966 TB720965:TB720966 ACX720965:ACX720966 AMT720965:AMT720966 AWP720965:AWP720966 BGL720965:BGL720966 BQH720965:BQH720966 CAD720965:CAD720966 CJZ720965:CJZ720966 CTV720965:CTV720966 DDR720965:DDR720966 DNN720965:DNN720966 DXJ720965:DXJ720966 EHF720965:EHF720966 ERB720965:ERB720966 FAX720965:FAX720966 FKT720965:FKT720966 FUP720965:FUP720966 GEL720965:GEL720966 GOH720965:GOH720966 GYD720965:GYD720966 HHZ720965:HHZ720966 HRV720965:HRV720966 IBR720965:IBR720966 ILN720965:ILN720966 IVJ720965:IVJ720966 JFF720965:JFF720966 JPB720965:JPB720966 JYX720965:JYX720966 KIT720965:KIT720966 KSP720965:KSP720966 LCL720965:LCL720966 LMH720965:LMH720966 LWD720965:LWD720966 MFZ720965:MFZ720966 MPV720965:MPV720966 MZR720965:MZR720966 NJN720965:NJN720966 NTJ720965:NTJ720966 ODF720965:ODF720966 ONB720965:ONB720966 OWX720965:OWX720966 PGT720965:PGT720966 PQP720965:PQP720966 QAL720965:QAL720966 QKH720965:QKH720966 QUD720965:QUD720966 RDZ720965:RDZ720966 RNV720965:RNV720966 RXR720965:RXR720966 SHN720965:SHN720966 SRJ720965:SRJ720966 TBF720965:TBF720966 TLB720965:TLB720966 TUX720965:TUX720966 UET720965:UET720966 UOP720965:UOP720966 UYL720965:UYL720966 VIH720965:VIH720966 VSD720965:VSD720966 WBZ720965:WBZ720966 WLV720965:WLV720966 WVR720965:WVR720966 R786502:R786503 JF786501:JF786502 TB786501:TB786502 ACX786501:ACX786502 AMT786501:AMT786502 AWP786501:AWP786502 BGL786501:BGL786502 BQH786501:BQH786502 CAD786501:CAD786502 CJZ786501:CJZ786502 CTV786501:CTV786502 DDR786501:DDR786502 DNN786501:DNN786502 DXJ786501:DXJ786502 EHF786501:EHF786502 ERB786501:ERB786502 FAX786501:FAX786502 FKT786501:FKT786502 FUP786501:FUP786502 GEL786501:GEL786502 GOH786501:GOH786502 GYD786501:GYD786502 HHZ786501:HHZ786502 HRV786501:HRV786502 IBR786501:IBR786502 ILN786501:ILN786502 IVJ786501:IVJ786502 JFF786501:JFF786502 JPB786501:JPB786502 JYX786501:JYX786502 KIT786501:KIT786502 KSP786501:KSP786502 LCL786501:LCL786502 LMH786501:LMH786502 LWD786501:LWD786502 MFZ786501:MFZ786502 MPV786501:MPV786502 MZR786501:MZR786502 NJN786501:NJN786502 NTJ786501:NTJ786502 ODF786501:ODF786502 ONB786501:ONB786502 OWX786501:OWX786502 PGT786501:PGT786502 PQP786501:PQP786502 QAL786501:QAL786502 QKH786501:QKH786502 QUD786501:QUD786502 RDZ786501:RDZ786502 RNV786501:RNV786502 RXR786501:RXR786502 SHN786501:SHN786502 SRJ786501:SRJ786502 TBF786501:TBF786502 TLB786501:TLB786502 TUX786501:TUX786502 UET786501:UET786502 UOP786501:UOP786502 UYL786501:UYL786502 VIH786501:VIH786502 VSD786501:VSD786502 WBZ786501:WBZ786502 WLV786501:WLV786502 WVR786501:WVR786502 R852038:R852039 JF852037:JF852038 TB852037:TB852038 ACX852037:ACX852038 AMT852037:AMT852038 AWP852037:AWP852038 BGL852037:BGL852038 BQH852037:BQH852038 CAD852037:CAD852038 CJZ852037:CJZ852038 CTV852037:CTV852038 DDR852037:DDR852038 DNN852037:DNN852038 DXJ852037:DXJ852038 EHF852037:EHF852038 ERB852037:ERB852038 FAX852037:FAX852038 FKT852037:FKT852038 FUP852037:FUP852038 GEL852037:GEL852038 GOH852037:GOH852038 GYD852037:GYD852038 HHZ852037:HHZ852038 HRV852037:HRV852038 IBR852037:IBR852038 ILN852037:ILN852038 IVJ852037:IVJ852038 JFF852037:JFF852038 JPB852037:JPB852038 JYX852037:JYX852038 KIT852037:KIT852038 KSP852037:KSP852038 LCL852037:LCL852038 LMH852037:LMH852038 LWD852037:LWD852038 MFZ852037:MFZ852038 MPV852037:MPV852038 MZR852037:MZR852038 NJN852037:NJN852038 NTJ852037:NTJ852038 ODF852037:ODF852038 ONB852037:ONB852038 OWX852037:OWX852038 PGT852037:PGT852038 PQP852037:PQP852038 QAL852037:QAL852038 QKH852037:QKH852038 QUD852037:QUD852038 RDZ852037:RDZ852038 RNV852037:RNV852038 RXR852037:RXR852038 SHN852037:SHN852038 SRJ852037:SRJ852038 TBF852037:TBF852038 TLB852037:TLB852038 TUX852037:TUX852038 UET852037:UET852038 UOP852037:UOP852038 UYL852037:UYL852038 VIH852037:VIH852038 VSD852037:VSD852038 WBZ852037:WBZ852038 WLV852037:WLV852038 WVR852037:WVR852038 R917574:R917575 JF917573:JF917574 TB917573:TB917574 ACX917573:ACX917574 AMT917573:AMT917574 AWP917573:AWP917574 BGL917573:BGL917574 BQH917573:BQH917574 CAD917573:CAD917574 CJZ917573:CJZ917574 CTV917573:CTV917574 DDR917573:DDR917574 DNN917573:DNN917574 DXJ917573:DXJ917574 EHF917573:EHF917574 ERB917573:ERB917574 FAX917573:FAX917574 FKT917573:FKT917574 FUP917573:FUP917574 GEL917573:GEL917574 GOH917573:GOH917574 GYD917573:GYD917574 HHZ917573:HHZ917574 HRV917573:HRV917574 IBR917573:IBR917574 ILN917573:ILN917574 IVJ917573:IVJ917574 JFF917573:JFF917574 JPB917573:JPB917574 JYX917573:JYX917574 KIT917573:KIT917574 KSP917573:KSP917574 LCL917573:LCL917574 LMH917573:LMH917574 LWD917573:LWD917574 MFZ917573:MFZ917574 MPV917573:MPV917574 MZR917573:MZR917574 NJN917573:NJN917574 NTJ917573:NTJ917574 ODF917573:ODF917574 ONB917573:ONB917574 OWX917573:OWX917574 PGT917573:PGT917574 PQP917573:PQP917574 QAL917573:QAL917574 QKH917573:QKH917574 QUD917573:QUD917574 RDZ917573:RDZ917574 RNV917573:RNV917574 RXR917573:RXR917574 SHN917573:SHN917574 SRJ917573:SRJ917574 TBF917573:TBF917574 TLB917573:TLB917574 TUX917573:TUX917574 UET917573:UET917574 UOP917573:UOP917574 UYL917573:UYL917574 VIH917573:VIH917574 VSD917573:VSD917574 WBZ917573:WBZ917574 WLV917573:WLV917574 WVR917573:WVR917574 R983110:R983111 JF983109:JF983110 TB983109:TB983110 ACX983109:ACX983110 AMT983109:AMT983110 AWP983109:AWP983110 BGL983109:BGL983110 BQH983109:BQH983110 CAD983109:CAD983110 CJZ983109:CJZ983110 CTV983109:CTV983110 DDR983109:DDR983110 DNN983109:DNN983110 DXJ983109:DXJ983110 EHF983109:EHF983110 ERB983109:ERB983110 FAX983109:FAX983110 FKT983109:FKT983110 FUP983109:FUP983110 GEL983109:GEL983110 GOH983109:GOH983110 GYD983109:GYD983110 HHZ983109:HHZ983110 HRV983109:HRV983110 IBR983109:IBR983110 ILN983109:ILN983110 IVJ983109:IVJ983110 JFF983109:JFF983110 JPB983109:JPB983110 JYX983109:JYX983110 KIT983109:KIT983110 KSP983109:KSP983110 LCL983109:LCL983110 LMH983109:LMH983110 LWD983109:LWD983110 MFZ983109:MFZ983110 MPV983109:MPV983110 MZR983109:MZR983110 NJN983109:NJN983110 NTJ983109:NTJ983110 ODF983109:ODF983110 ONB983109:ONB983110 OWX983109:OWX983110 PGT983109:PGT983110 PQP983109:PQP983110 QAL983109:QAL983110 QKH983109:QKH983110 QUD983109:QUD983110 RDZ983109:RDZ983110 RNV983109:RNV983110 RXR983109:RXR983110 SHN983109:SHN983110 SRJ983109:SRJ983110 TBF983109:TBF983110 TLB983109:TLB983110 TUX983109:TUX983110 UET983109:UET983110 UOP983109:UOP983110 UYL983109:UYL983110 VIH983109:VIH983110 VSD983109:VSD983110 WBZ983109:WBZ983110 WLV983109:WLV983110 WVR983109:WVR983110 T65606:T65607 JI65605:JI65606 TE65605:TE65606 ADA65605:ADA65606 AMW65605:AMW65606 AWS65605:AWS65606 BGO65605:BGO65606 BQK65605:BQK65606 CAG65605:CAG65606 CKC65605:CKC65606 CTY65605:CTY65606 DDU65605:DDU65606 DNQ65605:DNQ65606 DXM65605:DXM65606 EHI65605:EHI65606 ERE65605:ERE65606 FBA65605:FBA65606 FKW65605:FKW65606 FUS65605:FUS65606 GEO65605:GEO65606 GOK65605:GOK65606 GYG65605:GYG65606 HIC65605:HIC65606 HRY65605:HRY65606 IBU65605:IBU65606 ILQ65605:ILQ65606 IVM65605:IVM65606 JFI65605:JFI65606 JPE65605:JPE65606 JZA65605:JZA65606 KIW65605:KIW65606 KSS65605:KSS65606 LCO65605:LCO65606 LMK65605:LMK65606 LWG65605:LWG65606 MGC65605:MGC65606 MPY65605:MPY65606 MZU65605:MZU65606 NJQ65605:NJQ65606 NTM65605:NTM65606 ODI65605:ODI65606 ONE65605:ONE65606 OXA65605:OXA65606 PGW65605:PGW65606 PQS65605:PQS65606 QAO65605:QAO65606 QKK65605:QKK65606 QUG65605:QUG65606 REC65605:REC65606 RNY65605:RNY65606 RXU65605:RXU65606 SHQ65605:SHQ65606 SRM65605:SRM65606 TBI65605:TBI65606 TLE65605:TLE65606 TVA65605:TVA65606 UEW65605:UEW65606 UOS65605:UOS65606 UYO65605:UYO65606 VIK65605:VIK65606 VSG65605:VSG65606 WCC65605:WCC65606 WLY65605:WLY65606 WVU65605:WVU65606 T131142:T131143 JI131141:JI131142 TE131141:TE131142 ADA131141:ADA131142 AMW131141:AMW131142 AWS131141:AWS131142 BGO131141:BGO131142 BQK131141:BQK131142 CAG131141:CAG131142 CKC131141:CKC131142 CTY131141:CTY131142 DDU131141:DDU131142 DNQ131141:DNQ131142 DXM131141:DXM131142 EHI131141:EHI131142 ERE131141:ERE131142 FBA131141:FBA131142 FKW131141:FKW131142 FUS131141:FUS131142 GEO131141:GEO131142 GOK131141:GOK131142 GYG131141:GYG131142 HIC131141:HIC131142 HRY131141:HRY131142 IBU131141:IBU131142 ILQ131141:ILQ131142 IVM131141:IVM131142 JFI131141:JFI131142 JPE131141:JPE131142 JZA131141:JZA131142 KIW131141:KIW131142 KSS131141:KSS131142 LCO131141:LCO131142 LMK131141:LMK131142 LWG131141:LWG131142 MGC131141:MGC131142 MPY131141:MPY131142 MZU131141:MZU131142 NJQ131141:NJQ131142 NTM131141:NTM131142 ODI131141:ODI131142 ONE131141:ONE131142 OXA131141:OXA131142 PGW131141:PGW131142 PQS131141:PQS131142 QAO131141:QAO131142 QKK131141:QKK131142 QUG131141:QUG131142 REC131141:REC131142 RNY131141:RNY131142 RXU131141:RXU131142 SHQ131141:SHQ131142 SRM131141:SRM131142 TBI131141:TBI131142 TLE131141:TLE131142 TVA131141:TVA131142 UEW131141:UEW131142 UOS131141:UOS131142 UYO131141:UYO131142 VIK131141:VIK131142 VSG131141:VSG131142 WCC131141:WCC131142 WLY131141:WLY131142 WVU131141:WVU131142 T196678:T196679 JI196677:JI196678 TE196677:TE196678 ADA196677:ADA196678 AMW196677:AMW196678 AWS196677:AWS196678 BGO196677:BGO196678 BQK196677:BQK196678 CAG196677:CAG196678 CKC196677:CKC196678 CTY196677:CTY196678 DDU196677:DDU196678 DNQ196677:DNQ196678 DXM196677:DXM196678 EHI196677:EHI196678 ERE196677:ERE196678 FBA196677:FBA196678 FKW196677:FKW196678 FUS196677:FUS196678 GEO196677:GEO196678 GOK196677:GOK196678 GYG196677:GYG196678 HIC196677:HIC196678 HRY196677:HRY196678 IBU196677:IBU196678 ILQ196677:ILQ196678 IVM196677:IVM196678 JFI196677:JFI196678 JPE196677:JPE196678 JZA196677:JZA196678 KIW196677:KIW196678 KSS196677:KSS196678 LCO196677:LCO196678 LMK196677:LMK196678 LWG196677:LWG196678 MGC196677:MGC196678 MPY196677:MPY196678 MZU196677:MZU196678 NJQ196677:NJQ196678 NTM196677:NTM196678 ODI196677:ODI196678 ONE196677:ONE196678 OXA196677:OXA196678 PGW196677:PGW196678 PQS196677:PQS196678 QAO196677:QAO196678 QKK196677:QKK196678 QUG196677:QUG196678 REC196677:REC196678 RNY196677:RNY196678 RXU196677:RXU196678 SHQ196677:SHQ196678 SRM196677:SRM196678 TBI196677:TBI196678 TLE196677:TLE196678 TVA196677:TVA196678 UEW196677:UEW196678 UOS196677:UOS196678 UYO196677:UYO196678 VIK196677:VIK196678 VSG196677:VSG196678 WCC196677:WCC196678 WLY196677:WLY196678 WVU196677:WVU196678 T262214:T262215 JI262213:JI262214 TE262213:TE262214 ADA262213:ADA262214 AMW262213:AMW262214 AWS262213:AWS262214 BGO262213:BGO262214 BQK262213:BQK262214 CAG262213:CAG262214 CKC262213:CKC262214 CTY262213:CTY262214 DDU262213:DDU262214 DNQ262213:DNQ262214 DXM262213:DXM262214 EHI262213:EHI262214 ERE262213:ERE262214 FBA262213:FBA262214 FKW262213:FKW262214 FUS262213:FUS262214 GEO262213:GEO262214 GOK262213:GOK262214 GYG262213:GYG262214 HIC262213:HIC262214 HRY262213:HRY262214 IBU262213:IBU262214 ILQ262213:ILQ262214 IVM262213:IVM262214 JFI262213:JFI262214 JPE262213:JPE262214 JZA262213:JZA262214 KIW262213:KIW262214 KSS262213:KSS262214 LCO262213:LCO262214 LMK262213:LMK262214 LWG262213:LWG262214 MGC262213:MGC262214 MPY262213:MPY262214 MZU262213:MZU262214 NJQ262213:NJQ262214 NTM262213:NTM262214 ODI262213:ODI262214 ONE262213:ONE262214 OXA262213:OXA262214 PGW262213:PGW262214 PQS262213:PQS262214 QAO262213:QAO262214 QKK262213:QKK262214 QUG262213:QUG262214 REC262213:REC262214 RNY262213:RNY262214 RXU262213:RXU262214 SHQ262213:SHQ262214 SRM262213:SRM262214 TBI262213:TBI262214 TLE262213:TLE262214 TVA262213:TVA262214 UEW262213:UEW262214 UOS262213:UOS262214 UYO262213:UYO262214 VIK262213:VIK262214 VSG262213:VSG262214 WCC262213:WCC262214 WLY262213:WLY262214 WVU262213:WVU262214 T327750:T327751 JI327749:JI327750 TE327749:TE327750 ADA327749:ADA327750 AMW327749:AMW327750 AWS327749:AWS327750 BGO327749:BGO327750 BQK327749:BQK327750 CAG327749:CAG327750 CKC327749:CKC327750 CTY327749:CTY327750 DDU327749:DDU327750 DNQ327749:DNQ327750 DXM327749:DXM327750 EHI327749:EHI327750 ERE327749:ERE327750 FBA327749:FBA327750 FKW327749:FKW327750 FUS327749:FUS327750 GEO327749:GEO327750 GOK327749:GOK327750 GYG327749:GYG327750 HIC327749:HIC327750 HRY327749:HRY327750 IBU327749:IBU327750 ILQ327749:ILQ327750 IVM327749:IVM327750 JFI327749:JFI327750 JPE327749:JPE327750 JZA327749:JZA327750 KIW327749:KIW327750 KSS327749:KSS327750 LCO327749:LCO327750 LMK327749:LMK327750 LWG327749:LWG327750 MGC327749:MGC327750 MPY327749:MPY327750 MZU327749:MZU327750 NJQ327749:NJQ327750 NTM327749:NTM327750 ODI327749:ODI327750 ONE327749:ONE327750 OXA327749:OXA327750 PGW327749:PGW327750 PQS327749:PQS327750 QAO327749:QAO327750 QKK327749:QKK327750 QUG327749:QUG327750 REC327749:REC327750 RNY327749:RNY327750 RXU327749:RXU327750 SHQ327749:SHQ327750 SRM327749:SRM327750 TBI327749:TBI327750 TLE327749:TLE327750 TVA327749:TVA327750 UEW327749:UEW327750 UOS327749:UOS327750 UYO327749:UYO327750 VIK327749:VIK327750 VSG327749:VSG327750 WCC327749:WCC327750 WLY327749:WLY327750 WVU327749:WVU327750 T393286:T393287 JI393285:JI393286 TE393285:TE393286 ADA393285:ADA393286 AMW393285:AMW393286 AWS393285:AWS393286 BGO393285:BGO393286 BQK393285:BQK393286 CAG393285:CAG393286 CKC393285:CKC393286 CTY393285:CTY393286 DDU393285:DDU393286 DNQ393285:DNQ393286 DXM393285:DXM393286 EHI393285:EHI393286 ERE393285:ERE393286 FBA393285:FBA393286 FKW393285:FKW393286 FUS393285:FUS393286 GEO393285:GEO393286 GOK393285:GOK393286 GYG393285:GYG393286 HIC393285:HIC393286 HRY393285:HRY393286 IBU393285:IBU393286 ILQ393285:ILQ393286 IVM393285:IVM393286 JFI393285:JFI393286 JPE393285:JPE393286 JZA393285:JZA393286 KIW393285:KIW393286 KSS393285:KSS393286 LCO393285:LCO393286 LMK393285:LMK393286 LWG393285:LWG393286 MGC393285:MGC393286 MPY393285:MPY393286 MZU393285:MZU393286 NJQ393285:NJQ393286 NTM393285:NTM393286 ODI393285:ODI393286 ONE393285:ONE393286 OXA393285:OXA393286 PGW393285:PGW393286 PQS393285:PQS393286 QAO393285:QAO393286 QKK393285:QKK393286 QUG393285:QUG393286 REC393285:REC393286 RNY393285:RNY393286 RXU393285:RXU393286 SHQ393285:SHQ393286 SRM393285:SRM393286 TBI393285:TBI393286 TLE393285:TLE393286 TVA393285:TVA393286 UEW393285:UEW393286 UOS393285:UOS393286 UYO393285:UYO393286 VIK393285:VIK393286 VSG393285:VSG393286 WCC393285:WCC393286 WLY393285:WLY393286 WVU393285:WVU393286 T458822:T458823 JI458821:JI458822 TE458821:TE458822 ADA458821:ADA458822 AMW458821:AMW458822 AWS458821:AWS458822 BGO458821:BGO458822 BQK458821:BQK458822 CAG458821:CAG458822 CKC458821:CKC458822 CTY458821:CTY458822 DDU458821:DDU458822 DNQ458821:DNQ458822 DXM458821:DXM458822 EHI458821:EHI458822 ERE458821:ERE458822 FBA458821:FBA458822 FKW458821:FKW458822 FUS458821:FUS458822 GEO458821:GEO458822 GOK458821:GOK458822 GYG458821:GYG458822 HIC458821:HIC458822 HRY458821:HRY458822 IBU458821:IBU458822 ILQ458821:ILQ458822 IVM458821:IVM458822 JFI458821:JFI458822 JPE458821:JPE458822 JZA458821:JZA458822 KIW458821:KIW458822 KSS458821:KSS458822 LCO458821:LCO458822 LMK458821:LMK458822 LWG458821:LWG458822 MGC458821:MGC458822 MPY458821:MPY458822 MZU458821:MZU458822 NJQ458821:NJQ458822 NTM458821:NTM458822 ODI458821:ODI458822 ONE458821:ONE458822 OXA458821:OXA458822 PGW458821:PGW458822 PQS458821:PQS458822 QAO458821:QAO458822 QKK458821:QKK458822 QUG458821:QUG458822 REC458821:REC458822 RNY458821:RNY458822 RXU458821:RXU458822 SHQ458821:SHQ458822 SRM458821:SRM458822 TBI458821:TBI458822 TLE458821:TLE458822 TVA458821:TVA458822 UEW458821:UEW458822 UOS458821:UOS458822 UYO458821:UYO458822 VIK458821:VIK458822 VSG458821:VSG458822 WCC458821:WCC458822 WLY458821:WLY458822 WVU458821:WVU458822 T524358:T524359 JI524357:JI524358 TE524357:TE524358 ADA524357:ADA524358 AMW524357:AMW524358 AWS524357:AWS524358 BGO524357:BGO524358 BQK524357:BQK524358 CAG524357:CAG524358 CKC524357:CKC524358 CTY524357:CTY524358 DDU524357:DDU524358 DNQ524357:DNQ524358 DXM524357:DXM524358 EHI524357:EHI524358 ERE524357:ERE524358 FBA524357:FBA524358 FKW524357:FKW524358 FUS524357:FUS524358 GEO524357:GEO524358 GOK524357:GOK524358 GYG524357:GYG524358 HIC524357:HIC524358 HRY524357:HRY524358 IBU524357:IBU524358 ILQ524357:ILQ524358 IVM524357:IVM524358 JFI524357:JFI524358 JPE524357:JPE524358 JZA524357:JZA524358 KIW524357:KIW524358 KSS524357:KSS524358 LCO524357:LCO524358 LMK524357:LMK524358 LWG524357:LWG524358 MGC524357:MGC524358 MPY524357:MPY524358 MZU524357:MZU524358 NJQ524357:NJQ524358 NTM524357:NTM524358 ODI524357:ODI524358 ONE524357:ONE524358 OXA524357:OXA524358 PGW524357:PGW524358 PQS524357:PQS524358 QAO524357:QAO524358 QKK524357:QKK524358 QUG524357:QUG524358 REC524357:REC524358 RNY524357:RNY524358 RXU524357:RXU524358 SHQ524357:SHQ524358 SRM524357:SRM524358 TBI524357:TBI524358 TLE524357:TLE524358 TVA524357:TVA524358 UEW524357:UEW524358 UOS524357:UOS524358 UYO524357:UYO524358 VIK524357:VIK524358 VSG524357:VSG524358 WCC524357:WCC524358 WLY524357:WLY524358 WVU524357:WVU524358 T589894:T589895 JI589893:JI589894 TE589893:TE589894 ADA589893:ADA589894 AMW589893:AMW589894 AWS589893:AWS589894 BGO589893:BGO589894 BQK589893:BQK589894 CAG589893:CAG589894 CKC589893:CKC589894 CTY589893:CTY589894 DDU589893:DDU589894 DNQ589893:DNQ589894 DXM589893:DXM589894 EHI589893:EHI589894 ERE589893:ERE589894 FBA589893:FBA589894 FKW589893:FKW589894 FUS589893:FUS589894 GEO589893:GEO589894 GOK589893:GOK589894 GYG589893:GYG589894 HIC589893:HIC589894 HRY589893:HRY589894 IBU589893:IBU589894 ILQ589893:ILQ589894 IVM589893:IVM589894 JFI589893:JFI589894 JPE589893:JPE589894 JZA589893:JZA589894 KIW589893:KIW589894 KSS589893:KSS589894 LCO589893:LCO589894 LMK589893:LMK589894 LWG589893:LWG589894 MGC589893:MGC589894 MPY589893:MPY589894 MZU589893:MZU589894 NJQ589893:NJQ589894 NTM589893:NTM589894 ODI589893:ODI589894 ONE589893:ONE589894 OXA589893:OXA589894 PGW589893:PGW589894 PQS589893:PQS589894 QAO589893:QAO589894 QKK589893:QKK589894 QUG589893:QUG589894 REC589893:REC589894 RNY589893:RNY589894 RXU589893:RXU589894 SHQ589893:SHQ589894 SRM589893:SRM589894 TBI589893:TBI589894 TLE589893:TLE589894 TVA589893:TVA589894 UEW589893:UEW589894 UOS589893:UOS589894 UYO589893:UYO589894 VIK589893:VIK589894 VSG589893:VSG589894 WCC589893:WCC589894 WLY589893:WLY589894 WVU589893:WVU589894 T655430:T655431 JI655429:JI655430 TE655429:TE655430 ADA655429:ADA655430 AMW655429:AMW655430 AWS655429:AWS655430 BGO655429:BGO655430 BQK655429:BQK655430 CAG655429:CAG655430 CKC655429:CKC655430 CTY655429:CTY655430 DDU655429:DDU655430 DNQ655429:DNQ655430 DXM655429:DXM655430 EHI655429:EHI655430 ERE655429:ERE655430 FBA655429:FBA655430 FKW655429:FKW655430 FUS655429:FUS655430 GEO655429:GEO655430 GOK655429:GOK655430 GYG655429:GYG655430 HIC655429:HIC655430 HRY655429:HRY655430 IBU655429:IBU655430 ILQ655429:ILQ655430 IVM655429:IVM655430 JFI655429:JFI655430 JPE655429:JPE655430 JZA655429:JZA655430 KIW655429:KIW655430 KSS655429:KSS655430 LCO655429:LCO655430 LMK655429:LMK655430 LWG655429:LWG655430 MGC655429:MGC655430 MPY655429:MPY655430 MZU655429:MZU655430 NJQ655429:NJQ655430 NTM655429:NTM655430 ODI655429:ODI655430 ONE655429:ONE655430 OXA655429:OXA655430 PGW655429:PGW655430 PQS655429:PQS655430 QAO655429:QAO655430 QKK655429:QKK655430 QUG655429:QUG655430 REC655429:REC655430 RNY655429:RNY655430 RXU655429:RXU655430 SHQ655429:SHQ655430 SRM655429:SRM655430 TBI655429:TBI655430 TLE655429:TLE655430 TVA655429:TVA655430 UEW655429:UEW655430 UOS655429:UOS655430 UYO655429:UYO655430 VIK655429:VIK655430 VSG655429:VSG655430 WCC655429:WCC655430 WLY655429:WLY655430 WVU655429:WVU655430 T720966:T720967 JI720965:JI720966 TE720965:TE720966 ADA720965:ADA720966 AMW720965:AMW720966 AWS720965:AWS720966 BGO720965:BGO720966 BQK720965:BQK720966 CAG720965:CAG720966 CKC720965:CKC720966 CTY720965:CTY720966 DDU720965:DDU720966 DNQ720965:DNQ720966 DXM720965:DXM720966 EHI720965:EHI720966 ERE720965:ERE720966 FBA720965:FBA720966 FKW720965:FKW720966 FUS720965:FUS720966 GEO720965:GEO720966 GOK720965:GOK720966 GYG720965:GYG720966 HIC720965:HIC720966 HRY720965:HRY720966 IBU720965:IBU720966 ILQ720965:ILQ720966 IVM720965:IVM720966 JFI720965:JFI720966 JPE720965:JPE720966 JZA720965:JZA720966 KIW720965:KIW720966 KSS720965:KSS720966 LCO720965:LCO720966 LMK720965:LMK720966 LWG720965:LWG720966 MGC720965:MGC720966 MPY720965:MPY720966 MZU720965:MZU720966 NJQ720965:NJQ720966 NTM720965:NTM720966 ODI720965:ODI720966 ONE720965:ONE720966 OXA720965:OXA720966 PGW720965:PGW720966 PQS720965:PQS720966 QAO720965:QAO720966 QKK720965:QKK720966 QUG720965:QUG720966 REC720965:REC720966 RNY720965:RNY720966 RXU720965:RXU720966 SHQ720965:SHQ720966 SRM720965:SRM720966 TBI720965:TBI720966 TLE720965:TLE720966 TVA720965:TVA720966 UEW720965:UEW720966 UOS720965:UOS720966 UYO720965:UYO720966 VIK720965:VIK720966 VSG720965:VSG720966 WCC720965:WCC720966 WLY720965:WLY720966 WVU720965:WVU720966 T786502:T786503 JI786501:JI786502 TE786501:TE786502 ADA786501:ADA786502 AMW786501:AMW786502 AWS786501:AWS786502 BGO786501:BGO786502 BQK786501:BQK786502 CAG786501:CAG786502 CKC786501:CKC786502 CTY786501:CTY786502 DDU786501:DDU786502 DNQ786501:DNQ786502 DXM786501:DXM786502 EHI786501:EHI786502 ERE786501:ERE786502 FBA786501:FBA786502 FKW786501:FKW786502 FUS786501:FUS786502 GEO786501:GEO786502 GOK786501:GOK786502 GYG786501:GYG786502 HIC786501:HIC786502 HRY786501:HRY786502 IBU786501:IBU786502 ILQ786501:ILQ786502 IVM786501:IVM786502 JFI786501:JFI786502 JPE786501:JPE786502 JZA786501:JZA786502 KIW786501:KIW786502 KSS786501:KSS786502 LCO786501:LCO786502 LMK786501:LMK786502 LWG786501:LWG786502 MGC786501:MGC786502 MPY786501:MPY786502 MZU786501:MZU786502 NJQ786501:NJQ786502 NTM786501:NTM786502 ODI786501:ODI786502 ONE786501:ONE786502 OXA786501:OXA786502 PGW786501:PGW786502 PQS786501:PQS786502 QAO786501:QAO786502 QKK786501:QKK786502 QUG786501:QUG786502 REC786501:REC786502 RNY786501:RNY786502 RXU786501:RXU786502 SHQ786501:SHQ786502 SRM786501:SRM786502 TBI786501:TBI786502 TLE786501:TLE786502 TVA786501:TVA786502 UEW786501:UEW786502 UOS786501:UOS786502 UYO786501:UYO786502 VIK786501:VIK786502 VSG786501:VSG786502 WCC786501:WCC786502 WLY786501:WLY786502 WVU786501:WVU786502 T852038:T852039 JI852037:JI852038 TE852037:TE852038 ADA852037:ADA852038 AMW852037:AMW852038 AWS852037:AWS852038 BGO852037:BGO852038 BQK852037:BQK852038 CAG852037:CAG852038 CKC852037:CKC852038 CTY852037:CTY852038 DDU852037:DDU852038 DNQ852037:DNQ852038 DXM852037:DXM852038 EHI852037:EHI852038 ERE852037:ERE852038 FBA852037:FBA852038 FKW852037:FKW852038 FUS852037:FUS852038 GEO852037:GEO852038 GOK852037:GOK852038 GYG852037:GYG852038 HIC852037:HIC852038 HRY852037:HRY852038 IBU852037:IBU852038 ILQ852037:ILQ852038 IVM852037:IVM852038 JFI852037:JFI852038 JPE852037:JPE852038 JZA852037:JZA852038 KIW852037:KIW852038 KSS852037:KSS852038 LCO852037:LCO852038 LMK852037:LMK852038 LWG852037:LWG852038 MGC852037:MGC852038 MPY852037:MPY852038 MZU852037:MZU852038 NJQ852037:NJQ852038 NTM852037:NTM852038 ODI852037:ODI852038 ONE852037:ONE852038 OXA852037:OXA852038 PGW852037:PGW852038 PQS852037:PQS852038 QAO852037:QAO852038 QKK852037:QKK852038 QUG852037:QUG852038 REC852037:REC852038 RNY852037:RNY852038 RXU852037:RXU852038 SHQ852037:SHQ852038 SRM852037:SRM852038 TBI852037:TBI852038 TLE852037:TLE852038 TVA852037:TVA852038 UEW852037:UEW852038 UOS852037:UOS852038 UYO852037:UYO852038 VIK852037:VIK852038 VSG852037:VSG852038 WCC852037:WCC852038 WLY852037:WLY852038 WVU852037:WVU852038 T917574:T917575 JI917573:JI917574 TE917573:TE917574 ADA917573:ADA917574 AMW917573:AMW917574 AWS917573:AWS917574 BGO917573:BGO917574 BQK917573:BQK917574 CAG917573:CAG917574 CKC917573:CKC917574 CTY917573:CTY917574 DDU917573:DDU917574 DNQ917573:DNQ917574 DXM917573:DXM917574 EHI917573:EHI917574 ERE917573:ERE917574 FBA917573:FBA917574 FKW917573:FKW917574 FUS917573:FUS917574 GEO917573:GEO917574 GOK917573:GOK917574 GYG917573:GYG917574 HIC917573:HIC917574 HRY917573:HRY917574 IBU917573:IBU917574 ILQ917573:ILQ917574 IVM917573:IVM917574 JFI917573:JFI917574 JPE917573:JPE917574 JZA917573:JZA917574 KIW917573:KIW917574 KSS917573:KSS917574 LCO917573:LCO917574 LMK917573:LMK917574 LWG917573:LWG917574 MGC917573:MGC917574 MPY917573:MPY917574 MZU917573:MZU917574 NJQ917573:NJQ917574 NTM917573:NTM917574 ODI917573:ODI917574 ONE917573:ONE917574 OXA917573:OXA917574 PGW917573:PGW917574 PQS917573:PQS917574 QAO917573:QAO917574 QKK917573:QKK917574 QUG917573:QUG917574 REC917573:REC917574 RNY917573:RNY917574 RXU917573:RXU917574 SHQ917573:SHQ917574 SRM917573:SRM917574 TBI917573:TBI917574 TLE917573:TLE917574 TVA917573:TVA917574 UEW917573:UEW917574 UOS917573:UOS917574 UYO917573:UYO917574 VIK917573:VIK917574 VSG917573:VSG917574 WCC917573:WCC917574 WLY917573:WLY917574 WVU917573:WVU917574 T983110:T983111 JI983109:JI983110 TE983109:TE983110 ADA983109:ADA983110 AMW983109:AMW983110 AWS983109:AWS983110 BGO983109:BGO983110 BQK983109:BQK983110 CAG983109:CAG983110 CKC983109:CKC983110 CTY983109:CTY983110 DDU983109:DDU983110 DNQ983109:DNQ983110 DXM983109:DXM983110 EHI983109:EHI983110 ERE983109:ERE983110 FBA983109:FBA983110 FKW983109:FKW983110 FUS983109:FUS983110 GEO983109:GEO983110 GOK983109:GOK983110 GYG983109:GYG983110 HIC983109:HIC983110 HRY983109:HRY983110 IBU983109:IBU983110 ILQ983109:ILQ983110 IVM983109:IVM983110 JFI983109:JFI983110 JPE983109:JPE983110 JZA983109:JZA983110 KIW983109:KIW983110 KSS983109:KSS983110 LCO983109:LCO983110 LMK983109:LMK983110 LWG983109:LWG983110 MGC983109:MGC983110 MPY983109:MPY983110 MZU983109:MZU983110 NJQ983109:NJQ983110 NTM983109:NTM983110 ODI983109:ODI983110 ONE983109:ONE983110 OXA983109:OXA983110 PGW983109:PGW983110 PQS983109:PQS983110 QAO983109:QAO983110 QKK983109:QKK983110 QUG983109:QUG983110 REC983109:REC983110 RNY983109:RNY983110 RXU983109:RXU983110 SHQ983109:SHQ983110 SRM983109:SRM983110 TBI983109:TBI983110 TLE983109:TLE983110 TVA983109:TVA983110 UEW983109:UEW983110 UOS983109:UOS983110 UYO983109:UYO983110 VIK983109:VIK983110 VSG983109:VSG983110 WCC983109:WCC983110 WLY983109:WLY983110 WVU983109:WVU983110 V65606:V65607 JL65605:JL65606 TH65605:TH65606 ADD65605:ADD65606 AMZ65605:AMZ65606 AWV65605:AWV65606 BGR65605:BGR65606 BQN65605:BQN65606 CAJ65605:CAJ65606 CKF65605:CKF65606 CUB65605:CUB65606 DDX65605:DDX65606 DNT65605:DNT65606 DXP65605:DXP65606 EHL65605:EHL65606 ERH65605:ERH65606 FBD65605:FBD65606 FKZ65605:FKZ65606 FUV65605:FUV65606 GER65605:GER65606 GON65605:GON65606 GYJ65605:GYJ65606 HIF65605:HIF65606 HSB65605:HSB65606 IBX65605:IBX65606 ILT65605:ILT65606 IVP65605:IVP65606 JFL65605:JFL65606 JPH65605:JPH65606 JZD65605:JZD65606 KIZ65605:KIZ65606 KSV65605:KSV65606 LCR65605:LCR65606 LMN65605:LMN65606 LWJ65605:LWJ65606 MGF65605:MGF65606 MQB65605:MQB65606 MZX65605:MZX65606 NJT65605:NJT65606 NTP65605:NTP65606 ODL65605:ODL65606 ONH65605:ONH65606 OXD65605:OXD65606 PGZ65605:PGZ65606 PQV65605:PQV65606 QAR65605:QAR65606 QKN65605:QKN65606 QUJ65605:QUJ65606 REF65605:REF65606 ROB65605:ROB65606 RXX65605:RXX65606 SHT65605:SHT65606 SRP65605:SRP65606 TBL65605:TBL65606 TLH65605:TLH65606 TVD65605:TVD65606 UEZ65605:UEZ65606 UOV65605:UOV65606 UYR65605:UYR65606 VIN65605:VIN65606 VSJ65605:VSJ65606 WCF65605:WCF65606 WMB65605:WMB65606 WVX65605:WVX65606 V131142:V131143 JL131141:JL131142 TH131141:TH131142 ADD131141:ADD131142 AMZ131141:AMZ131142 AWV131141:AWV131142 BGR131141:BGR131142 BQN131141:BQN131142 CAJ131141:CAJ131142 CKF131141:CKF131142 CUB131141:CUB131142 DDX131141:DDX131142 DNT131141:DNT131142 DXP131141:DXP131142 EHL131141:EHL131142 ERH131141:ERH131142 FBD131141:FBD131142 FKZ131141:FKZ131142 FUV131141:FUV131142 GER131141:GER131142 GON131141:GON131142 GYJ131141:GYJ131142 HIF131141:HIF131142 HSB131141:HSB131142 IBX131141:IBX131142 ILT131141:ILT131142 IVP131141:IVP131142 JFL131141:JFL131142 JPH131141:JPH131142 JZD131141:JZD131142 KIZ131141:KIZ131142 KSV131141:KSV131142 LCR131141:LCR131142 LMN131141:LMN131142 LWJ131141:LWJ131142 MGF131141:MGF131142 MQB131141:MQB131142 MZX131141:MZX131142 NJT131141:NJT131142 NTP131141:NTP131142 ODL131141:ODL131142 ONH131141:ONH131142 OXD131141:OXD131142 PGZ131141:PGZ131142 PQV131141:PQV131142 QAR131141:QAR131142 QKN131141:QKN131142 QUJ131141:QUJ131142 REF131141:REF131142 ROB131141:ROB131142 RXX131141:RXX131142 SHT131141:SHT131142 SRP131141:SRP131142 TBL131141:TBL131142 TLH131141:TLH131142 TVD131141:TVD131142 UEZ131141:UEZ131142 UOV131141:UOV131142 UYR131141:UYR131142 VIN131141:VIN131142 VSJ131141:VSJ131142 WCF131141:WCF131142 WMB131141:WMB131142 WVX131141:WVX131142 V196678:V196679 JL196677:JL196678 TH196677:TH196678 ADD196677:ADD196678 AMZ196677:AMZ196678 AWV196677:AWV196678 BGR196677:BGR196678 BQN196677:BQN196678 CAJ196677:CAJ196678 CKF196677:CKF196678 CUB196677:CUB196678 DDX196677:DDX196678 DNT196677:DNT196678 DXP196677:DXP196678 EHL196677:EHL196678 ERH196677:ERH196678 FBD196677:FBD196678 FKZ196677:FKZ196678 FUV196677:FUV196678 GER196677:GER196678 GON196677:GON196678 GYJ196677:GYJ196678 HIF196677:HIF196678 HSB196677:HSB196678 IBX196677:IBX196678 ILT196677:ILT196678 IVP196677:IVP196678 JFL196677:JFL196678 JPH196677:JPH196678 JZD196677:JZD196678 KIZ196677:KIZ196678 KSV196677:KSV196678 LCR196677:LCR196678 LMN196677:LMN196678 LWJ196677:LWJ196678 MGF196677:MGF196678 MQB196677:MQB196678 MZX196677:MZX196678 NJT196677:NJT196678 NTP196677:NTP196678 ODL196677:ODL196678 ONH196677:ONH196678 OXD196677:OXD196678 PGZ196677:PGZ196678 PQV196677:PQV196678 QAR196677:QAR196678 QKN196677:QKN196678 QUJ196677:QUJ196678 REF196677:REF196678 ROB196677:ROB196678 RXX196677:RXX196678 SHT196677:SHT196678 SRP196677:SRP196678 TBL196677:TBL196678 TLH196677:TLH196678 TVD196677:TVD196678 UEZ196677:UEZ196678 UOV196677:UOV196678 UYR196677:UYR196678 VIN196677:VIN196678 VSJ196677:VSJ196678 WCF196677:WCF196678 WMB196677:WMB196678 WVX196677:WVX196678 V262214:V262215 JL262213:JL262214 TH262213:TH262214 ADD262213:ADD262214 AMZ262213:AMZ262214 AWV262213:AWV262214 BGR262213:BGR262214 BQN262213:BQN262214 CAJ262213:CAJ262214 CKF262213:CKF262214 CUB262213:CUB262214 DDX262213:DDX262214 DNT262213:DNT262214 DXP262213:DXP262214 EHL262213:EHL262214 ERH262213:ERH262214 FBD262213:FBD262214 FKZ262213:FKZ262214 FUV262213:FUV262214 GER262213:GER262214 GON262213:GON262214 GYJ262213:GYJ262214 HIF262213:HIF262214 HSB262213:HSB262214 IBX262213:IBX262214 ILT262213:ILT262214 IVP262213:IVP262214 JFL262213:JFL262214 JPH262213:JPH262214 JZD262213:JZD262214 KIZ262213:KIZ262214 KSV262213:KSV262214 LCR262213:LCR262214 LMN262213:LMN262214 LWJ262213:LWJ262214 MGF262213:MGF262214 MQB262213:MQB262214 MZX262213:MZX262214 NJT262213:NJT262214 NTP262213:NTP262214 ODL262213:ODL262214 ONH262213:ONH262214 OXD262213:OXD262214 PGZ262213:PGZ262214 PQV262213:PQV262214 QAR262213:QAR262214 QKN262213:QKN262214 QUJ262213:QUJ262214 REF262213:REF262214 ROB262213:ROB262214 RXX262213:RXX262214 SHT262213:SHT262214 SRP262213:SRP262214 TBL262213:TBL262214 TLH262213:TLH262214 TVD262213:TVD262214 UEZ262213:UEZ262214 UOV262213:UOV262214 UYR262213:UYR262214 VIN262213:VIN262214 VSJ262213:VSJ262214 WCF262213:WCF262214 WMB262213:WMB262214 WVX262213:WVX262214 V327750:V327751 JL327749:JL327750 TH327749:TH327750 ADD327749:ADD327750 AMZ327749:AMZ327750 AWV327749:AWV327750 BGR327749:BGR327750 BQN327749:BQN327750 CAJ327749:CAJ327750 CKF327749:CKF327750 CUB327749:CUB327750 DDX327749:DDX327750 DNT327749:DNT327750 DXP327749:DXP327750 EHL327749:EHL327750 ERH327749:ERH327750 FBD327749:FBD327750 FKZ327749:FKZ327750 FUV327749:FUV327750 GER327749:GER327750 GON327749:GON327750 GYJ327749:GYJ327750 HIF327749:HIF327750 HSB327749:HSB327750 IBX327749:IBX327750 ILT327749:ILT327750 IVP327749:IVP327750 JFL327749:JFL327750 JPH327749:JPH327750 JZD327749:JZD327750 KIZ327749:KIZ327750 KSV327749:KSV327750 LCR327749:LCR327750 LMN327749:LMN327750 LWJ327749:LWJ327750 MGF327749:MGF327750 MQB327749:MQB327750 MZX327749:MZX327750 NJT327749:NJT327750 NTP327749:NTP327750 ODL327749:ODL327750 ONH327749:ONH327750 OXD327749:OXD327750 PGZ327749:PGZ327750 PQV327749:PQV327750 QAR327749:QAR327750 QKN327749:QKN327750 QUJ327749:QUJ327750 REF327749:REF327750 ROB327749:ROB327750 RXX327749:RXX327750 SHT327749:SHT327750 SRP327749:SRP327750 TBL327749:TBL327750 TLH327749:TLH327750 TVD327749:TVD327750 UEZ327749:UEZ327750 UOV327749:UOV327750 UYR327749:UYR327750 VIN327749:VIN327750 VSJ327749:VSJ327750 WCF327749:WCF327750 WMB327749:WMB327750 WVX327749:WVX327750 V393286:V393287 JL393285:JL393286 TH393285:TH393286 ADD393285:ADD393286 AMZ393285:AMZ393286 AWV393285:AWV393286 BGR393285:BGR393286 BQN393285:BQN393286 CAJ393285:CAJ393286 CKF393285:CKF393286 CUB393285:CUB393286 DDX393285:DDX393286 DNT393285:DNT393286 DXP393285:DXP393286 EHL393285:EHL393286 ERH393285:ERH393286 FBD393285:FBD393286 FKZ393285:FKZ393286 FUV393285:FUV393286 GER393285:GER393286 GON393285:GON393286 GYJ393285:GYJ393286 HIF393285:HIF393286 HSB393285:HSB393286 IBX393285:IBX393286 ILT393285:ILT393286 IVP393285:IVP393286 JFL393285:JFL393286 JPH393285:JPH393286 JZD393285:JZD393286 KIZ393285:KIZ393286 KSV393285:KSV393286 LCR393285:LCR393286 LMN393285:LMN393286 LWJ393285:LWJ393286 MGF393285:MGF393286 MQB393285:MQB393286 MZX393285:MZX393286 NJT393285:NJT393286 NTP393285:NTP393286 ODL393285:ODL393286 ONH393285:ONH393286 OXD393285:OXD393286 PGZ393285:PGZ393286 PQV393285:PQV393286 QAR393285:QAR393286 QKN393285:QKN393286 QUJ393285:QUJ393286 REF393285:REF393286 ROB393285:ROB393286 RXX393285:RXX393286 SHT393285:SHT393286 SRP393285:SRP393286 TBL393285:TBL393286 TLH393285:TLH393286 TVD393285:TVD393286 UEZ393285:UEZ393286 UOV393285:UOV393286 UYR393285:UYR393286 VIN393285:VIN393286 VSJ393285:VSJ393286 WCF393285:WCF393286 WMB393285:WMB393286 WVX393285:WVX393286 V458822:V458823 JL458821:JL458822 TH458821:TH458822 ADD458821:ADD458822 AMZ458821:AMZ458822 AWV458821:AWV458822 BGR458821:BGR458822 BQN458821:BQN458822 CAJ458821:CAJ458822 CKF458821:CKF458822 CUB458821:CUB458822 DDX458821:DDX458822 DNT458821:DNT458822 DXP458821:DXP458822 EHL458821:EHL458822 ERH458821:ERH458822 FBD458821:FBD458822 FKZ458821:FKZ458822 FUV458821:FUV458822 GER458821:GER458822 GON458821:GON458822 GYJ458821:GYJ458822 HIF458821:HIF458822 HSB458821:HSB458822 IBX458821:IBX458822 ILT458821:ILT458822 IVP458821:IVP458822 JFL458821:JFL458822 JPH458821:JPH458822 JZD458821:JZD458822 KIZ458821:KIZ458822 KSV458821:KSV458822 LCR458821:LCR458822 LMN458821:LMN458822 LWJ458821:LWJ458822 MGF458821:MGF458822 MQB458821:MQB458822 MZX458821:MZX458822 NJT458821:NJT458822 NTP458821:NTP458822 ODL458821:ODL458822 ONH458821:ONH458822 OXD458821:OXD458822 PGZ458821:PGZ458822 PQV458821:PQV458822 QAR458821:QAR458822 QKN458821:QKN458822 QUJ458821:QUJ458822 REF458821:REF458822 ROB458821:ROB458822 RXX458821:RXX458822 SHT458821:SHT458822 SRP458821:SRP458822 TBL458821:TBL458822 TLH458821:TLH458822 TVD458821:TVD458822 UEZ458821:UEZ458822 UOV458821:UOV458822 UYR458821:UYR458822 VIN458821:VIN458822 VSJ458821:VSJ458822 WCF458821:WCF458822 WMB458821:WMB458822 WVX458821:WVX458822 V524358:V524359 JL524357:JL524358 TH524357:TH524358 ADD524357:ADD524358 AMZ524357:AMZ524358 AWV524357:AWV524358 BGR524357:BGR524358 BQN524357:BQN524358 CAJ524357:CAJ524358 CKF524357:CKF524358 CUB524357:CUB524358 DDX524357:DDX524358 DNT524357:DNT524358 DXP524357:DXP524358 EHL524357:EHL524358 ERH524357:ERH524358 FBD524357:FBD524358 FKZ524357:FKZ524358 FUV524357:FUV524358 GER524357:GER524358 GON524357:GON524358 GYJ524357:GYJ524358 HIF524357:HIF524358 HSB524357:HSB524358 IBX524357:IBX524358 ILT524357:ILT524358 IVP524357:IVP524358 JFL524357:JFL524358 JPH524357:JPH524358 JZD524357:JZD524358 KIZ524357:KIZ524358 KSV524357:KSV524358 LCR524357:LCR524358 LMN524357:LMN524358 LWJ524357:LWJ524358 MGF524357:MGF524358 MQB524357:MQB524358 MZX524357:MZX524358 NJT524357:NJT524358 NTP524357:NTP524358 ODL524357:ODL524358 ONH524357:ONH524358 OXD524357:OXD524358 PGZ524357:PGZ524358 PQV524357:PQV524358 QAR524357:QAR524358 QKN524357:QKN524358 QUJ524357:QUJ524358 REF524357:REF524358 ROB524357:ROB524358 RXX524357:RXX524358 SHT524357:SHT524358 SRP524357:SRP524358 TBL524357:TBL524358 TLH524357:TLH524358 TVD524357:TVD524358 UEZ524357:UEZ524358 UOV524357:UOV524358 UYR524357:UYR524358 VIN524357:VIN524358 VSJ524357:VSJ524358 WCF524357:WCF524358 WMB524357:WMB524358 WVX524357:WVX524358 V589894:V589895 JL589893:JL589894 TH589893:TH589894 ADD589893:ADD589894 AMZ589893:AMZ589894 AWV589893:AWV589894 BGR589893:BGR589894 BQN589893:BQN589894 CAJ589893:CAJ589894 CKF589893:CKF589894 CUB589893:CUB589894 DDX589893:DDX589894 DNT589893:DNT589894 DXP589893:DXP589894 EHL589893:EHL589894 ERH589893:ERH589894 FBD589893:FBD589894 FKZ589893:FKZ589894 FUV589893:FUV589894 GER589893:GER589894 GON589893:GON589894 GYJ589893:GYJ589894 HIF589893:HIF589894 HSB589893:HSB589894 IBX589893:IBX589894 ILT589893:ILT589894 IVP589893:IVP589894 JFL589893:JFL589894 JPH589893:JPH589894 JZD589893:JZD589894 KIZ589893:KIZ589894 KSV589893:KSV589894 LCR589893:LCR589894 LMN589893:LMN589894 LWJ589893:LWJ589894 MGF589893:MGF589894 MQB589893:MQB589894 MZX589893:MZX589894 NJT589893:NJT589894 NTP589893:NTP589894 ODL589893:ODL589894 ONH589893:ONH589894 OXD589893:OXD589894 PGZ589893:PGZ589894 PQV589893:PQV589894 QAR589893:QAR589894 QKN589893:QKN589894 QUJ589893:QUJ589894 REF589893:REF589894 ROB589893:ROB589894 RXX589893:RXX589894 SHT589893:SHT589894 SRP589893:SRP589894 TBL589893:TBL589894 TLH589893:TLH589894 TVD589893:TVD589894 UEZ589893:UEZ589894 UOV589893:UOV589894 UYR589893:UYR589894 VIN589893:VIN589894 VSJ589893:VSJ589894 WCF589893:WCF589894 WMB589893:WMB589894 WVX589893:WVX589894 V655430:V655431 JL655429:JL655430 TH655429:TH655430 ADD655429:ADD655430 AMZ655429:AMZ655430 AWV655429:AWV655430 BGR655429:BGR655430 BQN655429:BQN655430 CAJ655429:CAJ655430 CKF655429:CKF655430 CUB655429:CUB655430 DDX655429:DDX655430 DNT655429:DNT655430 DXP655429:DXP655430 EHL655429:EHL655430 ERH655429:ERH655430 FBD655429:FBD655430 FKZ655429:FKZ655430 FUV655429:FUV655430 GER655429:GER655430 GON655429:GON655430 GYJ655429:GYJ655430 HIF655429:HIF655430 HSB655429:HSB655430 IBX655429:IBX655430 ILT655429:ILT655430 IVP655429:IVP655430 JFL655429:JFL655430 JPH655429:JPH655430 JZD655429:JZD655430 KIZ655429:KIZ655430 KSV655429:KSV655430 LCR655429:LCR655430 LMN655429:LMN655430 LWJ655429:LWJ655430 MGF655429:MGF655430 MQB655429:MQB655430 MZX655429:MZX655430 NJT655429:NJT655430 NTP655429:NTP655430 ODL655429:ODL655430 ONH655429:ONH655430 OXD655429:OXD655430 PGZ655429:PGZ655430 PQV655429:PQV655430 QAR655429:QAR655430 QKN655429:QKN655430 QUJ655429:QUJ655430 REF655429:REF655430 ROB655429:ROB655430 RXX655429:RXX655430 SHT655429:SHT655430 SRP655429:SRP655430 TBL655429:TBL655430 TLH655429:TLH655430 TVD655429:TVD655430 UEZ655429:UEZ655430 UOV655429:UOV655430 UYR655429:UYR655430 VIN655429:VIN655430 VSJ655429:VSJ655430 WCF655429:WCF655430 WMB655429:WMB655430 WVX655429:WVX655430 V720966:V720967 JL720965:JL720966 TH720965:TH720966 ADD720965:ADD720966 AMZ720965:AMZ720966 AWV720965:AWV720966 BGR720965:BGR720966 BQN720965:BQN720966 CAJ720965:CAJ720966 CKF720965:CKF720966 CUB720965:CUB720966 DDX720965:DDX720966 DNT720965:DNT720966 DXP720965:DXP720966 EHL720965:EHL720966 ERH720965:ERH720966 FBD720965:FBD720966 FKZ720965:FKZ720966 FUV720965:FUV720966 GER720965:GER720966 GON720965:GON720966 GYJ720965:GYJ720966 HIF720965:HIF720966 HSB720965:HSB720966 IBX720965:IBX720966 ILT720965:ILT720966 IVP720965:IVP720966 JFL720965:JFL720966 JPH720965:JPH720966 JZD720965:JZD720966 KIZ720965:KIZ720966 KSV720965:KSV720966 LCR720965:LCR720966 LMN720965:LMN720966 LWJ720965:LWJ720966 MGF720965:MGF720966 MQB720965:MQB720966 MZX720965:MZX720966 NJT720965:NJT720966 NTP720965:NTP720966 ODL720965:ODL720966 ONH720965:ONH720966 OXD720965:OXD720966 PGZ720965:PGZ720966 PQV720965:PQV720966 QAR720965:QAR720966 QKN720965:QKN720966 QUJ720965:QUJ720966 REF720965:REF720966 ROB720965:ROB720966 RXX720965:RXX720966 SHT720965:SHT720966 SRP720965:SRP720966 TBL720965:TBL720966 TLH720965:TLH720966 TVD720965:TVD720966 UEZ720965:UEZ720966 UOV720965:UOV720966 UYR720965:UYR720966 VIN720965:VIN720966 VSJ720965:VSJ720966 WCF720965:WCF720966 WMB720965:WMB720966 WVX720965:WVX720966 V786502:V786503 JL786501:JL786502 TH786501:TH786502 ADD786501:ADD786502 AMZ786501:AMZ786502 AWV786501:AWV786502 BGR786501:BGR786502 BQN786501:BQN786502 CAJ786501:CAJ786502 CKF786501:CKF786502 CUB786501:CUB786502 DDX786501:DDX786502 DNT786501:DNT786502 DXP786501:DXP786502 EHL786501:EHL786502 ERH786501:ERH786502 FBD786501:FBD786502 FKZ786501:FKZ786502 FUV786501:FUV786502 GER786501:GER786502 GON786501:GON786502 GYJ786501:GYJ786502 HIF786501:HIF786502 HSB786501:HSB786502 IBX786501:IBX786502 ILT786501:ILT786502 IVP786501:IVP786502 JFL786501:JFL786502 JPH786501:JPH786502 JZD786501:JZD786502 KIZ786501:KIZ786502 KSV786501:KSV786502 LCR786501:LCR786502 LMN786501:LMN786502 LWJ786501:LWJ786502 MGF786501:MGF786502 MQB786501:MQB786502 MZX786501:MZX786502 NJT786501:NJT786502 NTP786501:NTP786502 ODL786501:ODL786502 ONH786501:ONH786502 OXD786501:OXD786502 PGZ786501:PGZ786502 PQV786501:PQV786502 QAR786501:QAR786502 QKN786501:QKN786502 QUJ786501:QUJ786502 REF786501:REF786502 ROB786501:ROB786502 RXX786501:RXX786502 SHT786501:SHT786502 SRP786501:SRP786502 TBL786501:TBL786502 TLH786501:TLH786502 TVD786501:TVD786502 UEZ786501:UEZ786502 UOV786501:UOV786502 UYR786501:UYR786502 VIN786501:VIN786502 VSJ786501:VSJ786502 WCF786501:WCF786502 WMB786501:WMB786502 WVX786501:WVX786502 V852038:V852039 JL852037:JL852038 TH852037:TH852038 ADD852037:ADD852038 AMZ852037:AMZ852038 AWV852037:AWV852038 BGR852037:BGR852038 BQN852037:BQN852038 CAJ852037:CAJ852038 CKF852037:CKF852038 CUB852037:CUB852038 DDX852037:DDX852038 DNT852037:DNT852038 DXP852037:DXP852038 EHL852037:EHL852038 ERH852037:ERH852038 FBD852037:FBD852038 FKZ852037:FKZ852038 FUV852037:FUV852038 GER852037:GER852038 GON852037:GON852038 GYJ852037:GYJ852038 HIF852037:HIF852038 HSB852037:HSB852038 IBX852037:IBX852038 ILT852037:ILT852038 IVP852037:IVP852038 JFL852037:JFL852038 JPH852037:JPH852038 JZD852037:JZD852038 KIZ852037:KIZ852038 KSV852037:KSV852038 LCR852037:LCR852038 LMN852037:LMN852038 LWJ852037:LWJ852038 MGF852037:MGF852038 MQB852037:MQB852038 MZX852037:MZX852038 NJT852037:NJT852038 NTP852037:NTP852038 ODL852037:ODL852038 ONH852037:ONH852038 OXD852037:OXD852038 PGZ852037:PGZ852038 PQV852037:PQV852038 QAR852037:QAR852038 QKN852037:QKN852038 QUJ852037:QUJ852038 REF852037:REF852038 ROB852037:ROB852038 RXX852037:RXX852038 SHT852037:SHT852038 SRP852037:SRP852038 TBL852037:TBL852038 TLH852037:TLH852038 TVD852037:TVD852038 UEZ852037:UEZ852038 UOV852037:UOV852038 UYR852037:UYR852038 VIN852037:VIN852038 VSJ852037:VSJ852038 WCF852037:WCF852038 WMB852037:WMB852038 WVX852037:WVX852038 V917574:V917575 JL917573:JL917574 TH917573:TH917574 ADD917573:ADD917574 AMZ917573:AMZ917574 AWV917573:AWV917574 BGR917573:BGR917574 BQN917573:BQN917574 CAJ917573:CAJ917574 CKF917573:CKF917574 CUB917573:CUB917574 DDX917573:DDX917574 DNT917573:DNT917574 DXP917573:DXP917574 EHL917573:EHL917574 ERH917573:ERH917574 FBD917573:FBD917574 FKZ917573:FKZ917574 FUV917573:FUV917574 GER917573:GER917574 GON917573:GON917574 GYJ917573:GYJ917574 HIF917573:HIF917574 HSB917573:HSB917574 IBX917573:IBX917574 ILT917573:ILT917574 IVP917573:IVP917574 JFL917573:JFL917574 JPH917573:JPH917574 JZD917573:JZD917574 KIZ917573:KIZ917574 KSV917573:KSV917574 LCR917573:LCR917574 LMN917573:LMN917574 LWJ917573:LWJ917574 MGF917573:MGF917574 MQB917573:MQB917574 MZX917573:MZX917574 NJT917573:NJT917574 NTP917573:NTP917574 ODL917573:ODL917574 ONH917573:ONH917574 OXD917573:OXD917574 PGZ917573:PGZ917574 PQV917573:PQV917574 QAR917573:QAR917574 QKN917573:QKN917574 QUJ917573:QUJ917574 REF917573:REF917574 ROB917573:ROB917574 RXX917573:RXX917574 SHT917573:SHT917574 SRP917573:SRP917574 TBL917573:TBL917574 TLH917573:TLH917574 TVD917573:TVD917574 UEZ917573:UEZ917574 UOV917573:UOV917574 UYR917573:UYR917574 VIN917573:VIN917574 VSJ917573:VSJ917574 WCF917573:WCF917574 WMB917573:WMB917574 WVX917573:WVX917574 V983110:V983111 JL983109:JL983110 TH983109:TH983110 ADD983109:ADD983110 AMZ983109:AMZ983110 AWV983109:AWV983110 BGR983109:BGR983110 BQN983109:BQN983110 CAJ983109:CAJ983110 CKF983109:CKF983110 CUB983109:CUB983110 DDX983109:DDX983110 DNT983109:DNT983110 DXP983109:DXP983110 EHL983109:EHL983110 ERH983109:ERH983110 FBD983109:FBD983110 FKZ983109:FKZ983110 FUV983109:FUV983110 GER983109:GER983110 GON983109:GON983110 GYJ983109:GYJ983110 HIF983109:HIF983110 HSB983109:HSB983110 IBX983109:IBX983110 ILT983109:ILT983110 IVP983109:IVP983110 JFL983109:JFL983110 JPH983109:JPH983110 JZD983109:JZD983110 KIZ983109:KIZ983110 KSV983109:KSV983110 LCR983109:LCR983110 LMN983109:LMN983110 LWJ983109:LWJ983110 MGF983109:MGF983110 MQB983109:MQB983110 MZX983109:MZX983110 NJT983109:NJT983110 NTP983109:NTP983110 ODL983109:ODL983110 ONH983109:ONH983110 OXD983109:OXD983110 PGZ983109:PGZ983110 PQV983109:PQV983110 QAR983109:QAR983110 QKN983109:QKN983110 QUJ983109:QUJ983110 REF983109:REF983110 ROB983109:ROB983110 RXX983109:RXX983110 SHT983109:SHT983110 SRP983109:SRP983110 TBL983109:TBL983110 TLH983109:TLH983110 TVD983109:TVD983110 UEZ983109:UEZ983110 UOV983109:UOV983110 UYR983109:UYR983110 VIN983109:VIN983110 VSJ983109:VSJ983110 WCF983109:WCF983110 WMB983109:WMB983110 WVX983109:WVX983110 X65605:X65606 JO65605:JO65606 TK65605:TK65606 ADG65605:ADG65606 ANC65605:ANC65606 AWY65605:AWY65606 BGU65605:BGU65606 BQQ65605:BQQ65606 CAM65605:CAM65606 CKI65605:CKI65606 CUE65605:CUE65606 DEA65605:DEA65606 DNW65605:DNW65606 DXS65605:DXS65606 EHO65605:EHO65606 ERK65605:ERK65606 FBG65605:FBG65606 FLC65605:FLC65606 FUY65605:FUY65606 GEU65605:GEU65606 GOQ65605:GOQ65606 GYM65605:GYM65606 HII65605:HII65606 HSE65605:HSE65606 ICA65605:ICA65606 ILW65605:ILW65606 IVS65605:IVS65606 JFO65605:JFO65606 JPK65605:JPK65606 JZG65605:JZG65606 KJC65605:KJC65606 KSY65605:KSY65606 LCU65605:LCU65606 LMQ65605:LMQ65606 LWM65605:LWM65606 MGI65605:MGI65606 MQE65605:MQE65606 NAA65605:NAA65606 NJW65605:NJW65606 NTS65605:NTS65606 ODO65605:ODO65606 ONK65605:ONK65606 OXG65605:OXG65606 PHC65605:PHC65606 PQY65605:PQY65606 QAU65605:QAU65606 QKQ65605:QKQ65606 QUM65605:QUM65606 REI65605:REI65606 ROE65605:ROE65606 RYA65605:RYA65606 SHW65605:SHW65606 SRS65605:SRS65606 TBO65605:TBO65606 TLK65605:TLK65606 TVG65605:TVG65606 UFC65605:UFC65606 UOY65605:UOY65606 UYU65605:UYU65606 VIQ65605:VIQ65606 VSM65605:VSM65606 WCI65605:WCI65606 WME65605:WME65606 WWA65605:WWA65606 X131141:X131142 JO131141:JO131142 TK131141:TK131142 ADG131141:ADG131142 ANC131141:ANC131142 AWY131141:AWY131142 BGU131141:BGU131142 BQQ131141:BQQ131142 CAM131141:CAM131142 CKI131141:CKI131142 CUE131141:CUE131142 DEA131141:DEA131142 DNW131141:DNW131142 DXS131141:DXS131142 EHO131141:EHO131142 ERK131141:ERK131142 FBG131141:FBG131142 FLC131141:FLC131142 FUY131141:FUY131142 GEU131141:GEU131142 GOQ131141:GOQ131142 GYM131141:GYM131142 HII131141:HII131142 HSE131141:HSE131142 ICA131141:ICA131142 ILW131141:ILW131142 IVS131141:IVS131142 JFO131141:JFO131142 JPK131141:JPK131142 JZG131141:JZG131142 KJC131141:KJC131142 KSY131141:KSY131142 LCU131141:LCU131142 LMQ131141:LMQ131142 LWM131141:LWM131142 MGI131141:MGI131142 MQE131141:MQE131142 NAA131141:NAA131142 NJW131141:NJW131142 NTS131141:NTS131142 ODO131141:ODO131142 ONK131141:ONK131142 OXG131141:OXG131142 PHC131141:PHC131142 PQY131141:PQY131142 QAU131141:QAU131142 QKQ131141:QKQ131142 QUM131141:QUM131142 REI131141:REI131142 ROE131141:ROE131142 RYA131141:RYA131142 SHW131141:SHW131142 SRS131141:SRS131142 TBO131141:TBO131142 TLK131141:TLK131142 TVG131141:TVG131142 UFC131141:UFC131142 UOY131141:UOY131142 UYU131141:UYU131142 VIQ131141:VIQ131142 VSM131141:VSM131142 WCI131141:WCI131142 WME131141:WME131142 WWA131141:WWA131142 X196677:X196678 JO196677:JO196678 TK196677:TK196678 ADG196677:ADG196678 ANC196677:ANC196678 AWY196677:AWY196678 BGU196677:BGU196678 BQQ196677:BQQ196678 CAM196677:CAM196678 CKI196677:CKI196678 CUE196677:CUE196678 DEA196677:DEA196678 DNW196677:DNW196678 DXS196677:DXS196678 EHO196677:EHO196678 ERK196677:ERK196678 FBG196677:FBG196678 FLC196677:FLC196678 FUY196677:FUY196678 GEU196677:GEU196678 GOQ196677:GOQ196678 GYM196677:GYM196678 HII196677:HII196678 HSE196677:HSE196678 ICA196677:ICA196678 ILW196677:ILW196678 IVS196677:IVS196678 JFO196677:JFO196678 JPK196677:JPK196678 JZG196677:JZG196678 KJC196677:KJC196678 KSY196677:KSY196678 LCU196677:LCU196678 LMQ196677:LMQ196678 LWM196677:LWM196678 MGI196677:MGI196678 MQE196677:MQE196678 NAA196677:NAA196678 NJW196677:NJW196678 NTS196677:NTS196678 ODO196677:ODO196678 ONK196677:ONK196678 OXG196677:OXG196678 PHC196677:PHC196678 PQY196677:PQY196678 QAU196677:QAU196678 QKQ196677:QKQ196678 QUM196677:QUM196678 REI196677:REI196678 ROE196677:ROE196678 RYA196677:RYA196678 SHW196677:SHW196678 SRS196677:SRS196678 TBO196677:TBO196678 TLK196677:TLK196678 TVG196677:TVG196678 UFC196677:UFC196678 UOY196677:UOY196678 UYU196677:UYU196678 VIQ196677:VIQ196678 VSM196677:VSM196678 WCI196677:WCI196678 WME196677:WME196678 WWA196677:WWA196678 X262213:X262214 JO262213:JO262214 TK262213:TK262214 ADG262213:ADG262214 ANC262213:ANC262214 AWY262213:AWY262214 BGU262213:BGU262214 BQQ262213:BQQ262214 CAM262213:CAM262214 CKI262213:CKI262214 CUE262213:CUE262214 DEA262213:DEA262214 DNW262213:DNW262214 DXS262213:DXS262214 EHO262213:EHO262214 ERK262213:ERK262214 FBG262213:FBG262214 FLC262213:FLC262214 FUY262213:FUY262214 GEU262213:GEU262214 GOQ262213:GOQ262214 GYM262213:GYM262214 HII262213:HII262214 HSE262213:HSE262214 ICA262213:ICA262214 ILW262213:ILW262214 IVS262213:IVS262214 JFO262213:JFO262214 JPK262213:JPK262214 JZG262213:JZG262214 KJC262213:KJC262214 KSY262213:KSY262214 LCU262213:LCU262214 LMQ262213:LMQ262214 LWM262213:LWM262214 MGI262213:MGI262214 MQE262213:MQE262214 NAA262213:NAA262214 NJW262213:NJW262214 NTS262213:NTS262214 ODO262213:ODO262214 ONK262213:ONK262214 OXG262213:OXG262214 PHC262213:PHC262214 PQY262213:PQY262214 QAU262213:QAU262214 QKQ262213:QKQ262214 QUM262213:QUM262214 REI262213:REI262214 ROE262213:ROE262214 RYA262213:RYA262214 SHW262213:SHW262214 SRS262213:SRS262214 TBO262213:TBO262214 TLK262213:TLK262214 TVG262213:TVG262214 UFC262213:UFC262214 UOY262213:UOY262214 UYU262213:UYU262214 VIQ262213:VIQ262214 VSM262213:VSM262214 WCI262213:WCI262214 WME262213:WME262214 WWA262213:WWA262214 X327749:X327750 JO327749:JO327750 TK327749:TK327750 ADG327749:ADG327750 ANC327749:ANC327750 AWY327749:AWY327750 BGU327749:BGU327750 BQQ327749:BQQ327750 CAM327749:CAM327750 CKI327749:CKI327750 CUE327749:CUE327750 DEA327749:DEA327750 DNW327749:DNW327750 DXS327749:DXS327750 EHO327749:EHO327750 ERK327749:ERK327750 FBG327749:FBG327750 FLC327749:FLC327750 FUY327749:FUY327750 GEU327749:GEU327750 GOQ327749:GOQ327750 GYM327749:GYM327750 HII327749:HII327750 HSE327749:HSE327750 ICA327749:ICA327750 ILW327749:ILW327750 IVS327749:IVS327750 JFO327749:JFO327750 JPK327749:JPK327750 JZG327749:JZG327750 KJC327749:KJC327750 KSY327749:KSY327750 LCU327749:LCU327750 LMQ327749:LMQ327750 LWM327749:LWM327750 MGI327749:MGI327750 MQE327749:MQE327750 NAA327749:NAA327750 NJW327749:NJW327750 NTS327749:NTS327750 ODO327749:ODO327750 ONK327749:ONK327750 OXG327749:OXG327750 PHC327749:PHC327750 PQY327749:PQY327750 QAU327749:QAU327750 QKQ327749:QKQ327750 QUM327749:QUM327750 REI327749:REI327750 ROE327749:ROE327750 RYA327749:RYA327750 SHW327749:SHW327750 SRS327749:SRS327750 TBO327749:TBO327750 TLK327749:TLK327750 TVG327749:TVG327750 UFC327749:UFC327750 UOY327749:UOY327750 UYU327749:UYU327750 VIQ327749:VIQ327750 VSM327749:VSM327750 WCI327749:WCI327750 WME327749:WME327750 WWA327749:WWA327750 X393285:X393286 JO393285:JO393286 TK393285:TK393286 ADG393285:ADG393286 ANC393285:ANC393286 AWY393285:AWY393286 BGU393285:BGU393286 BQQ393285:BQQ393286 CAM393285:CAM393286 CKI393285:CKI393286 CUE393285:CUE393286 DEA393285:DEA393286 DNW393285:DNW393286 DXS393285:DXS393286 EHO393285:EHO393286 ERK393285:ERK393286 FBG393285:FBG393286 FLC393285:FLC393286 FUY393285:FUY393286 GEU393285:GEU393286 GOQ393285:GOQ393286 GYM393285:GYM393286 HII393285:HII393286 HSE393285:HSE393286 ICA393285:ICA393286 ILW393285:ILW393286 IVS393285:IVS393286 JFO393285:JFO393286 JPK393285:JPK393286 JZG393285:JZG393286 KJC393285:KJC393286 KSY393285:KSY393286 LCU393285:LCU393286 LMQ393285:LMQ393286 LWM393285:LWM393286 MGI393285:MGI393286 MQE393285:MQE393286 NAA393285:NAA393286 NJW393285:NJW393286 NTS393285:NTS393286 ODO393285:ODO393286 ONK393285:ONK393286 OXG393285:OXG393286 PHC393285:PHC393286 PQY393285:PQY393286 QAU393285:QAU393286 QKQ393285:QKQ393286 QUM393285:QUM393286 REI393285:REI393286 ROE393285:ROE393286 RYA393285:RYA393286 SHW393285:SHW393286 SRS393285:SRS393286 TBO393285:TBO393286 TLK393285:TLK393286 TVG393285:TVG393286 UFC393285:UFC393286 UOY393285:UOY393286 UYU393285:UYU393286 VIQ393285:VIQ393286 VSM393285:VSM393286 WCI393285:WCI393286 WME393285:WME393286 WWA393285:WWA393286 X458821:X458822 JO458821:JO458822 TK458821:TK458822 ADG458821:ADG458822 ANC458821:ANC458822 AWY458821:AWY458822 BGU458821:BGU458822 BQQ458821:BQQ458822 CAM458821:CAM458822 CKI458821:CKI458822 CUE458821:CUE458822 DEA458821:DEA458822 DNW458821:DNW458822 DXS458821:DXS458822 EHO458821:EHO458822 ERK458821:ERK458822 FBG458821:FBG458822 FLC458821:FLC458822 FUY458821:FUY458822 GEU458821:GEU458822 GOQ458821:GOQ458822 GYM458821:GYM458822 HII458821:HII458822 HSE458821:HSE458822 ICA458821:ICA458822 ILW458821:ILW458822 IVS458821:IVS458822 JFO458821:JFO458822 JPK458821:JPK458822 JZG458821:JZG458822 KJC458821:KJC458822 KSY458821:KSY458822 LCU458821:LCU458822 LMQ458821:LMQ458822 LWM458821:LWM458822 MGI458821:MGI458822 MQE458821:MQE458822 NAA458821:NAA458822 NJW458821:NJW458822 NTS458821:NTS458822 ODO458821:ODO458822 ONK458821:ONK458822 OXG458821:OXG458822 PHC458821:PHC458822 PQY458821:PQY458822 QAU458821:QAU458822 QKQ458821:QKQ458822 QUM458821:QUM458822 REI458821:REI458822 ROE458821:ROE458822 RYA458821:RYA458822 SHW458821:SHW458822 SRS458821:SRS458822 TBO458821:TBO458822 TLK458821:TLK458822 TVG458821:TVG458822 UFC458821:UFC458822 UOY458821:UOY458822 UYU458821:UYU458822 VIQ458821:VIQ458822 VSM458821:VSM458822 WCI458821:WCI458822 WME458821:WME458822 WWA458821:WWA458822 X524357:X524358 JO524357:JO524358 TK524357:TK524358 ADG524357:ADG524358 ANC524357:ANC524358 AWY524357:AWY524358 BGU524357:BGU524358 BQQ524357:BQQ524358 CAM524357:CAM524358 CKI524357:CKI524358 CUE524357:CUE524358 DEA524357:DEA524358 DNW524357:DNW524358 DXS524357:DXS524358 EHO524357:EHO524358 ERK524357:ERK524358 FBG524357:FBG524358 FLC524357:FLC524358 FUY524357:FUY524358 GEU524357:GEU524358 GOQ524357:GOQ524358 GYM524357:GYM524358 HII524357:HII524358 HSE524357:HSE524358 ICA524357:ICA524358 ILW524357:ILW524358 IVS524357:IVS524358 JFO524357:JFO524358 JPK524357:JPK524358 JZG524357:JZG524358 KJC524357:KJC524358 KSY524357:KSY524358 LCU524357:LCU524358 LMQ524357:LMQ524358 LWM524357:LWM524358 MGI524357:MGI524358 MQE524357:MQE524358 NAA524357:NAA524358 NJW524357:NJW524358 NTS524357:NTS524358 ODO524357:ODO524358 ONK524357:ONK524358 OXG524357:OXG524358 PHC524357:PHC524358 PQY524357:PQY524358 QAU524357:QAU524358 QKQ524357:QKQ524358 QUM524357:QUM524358 REI524357:REI524358 ROE524357:ROE524358 RYA524357:RYA524358 SHW524357:SHW524358 SRS524357:SRS524358 TBO524357:TBO524358 TLK524357:TLK524358 TVG524357:TVG524358 UFC524357:UFC524358 UOY524357:UOY524358 UYU524357:UYU524358 VIQ524357:VIQ524358 VSM524357:VSM524358 WCI524357:WCI524358 WME524357:WME524358 WWA524357:WWA524358 X589893:X589894 JO589893:JO589894 TK589893:TK589894 ADG589893:ADG589894 ANC589893:ANC589894 AWY589893:AWY589894 BGU589893:BGU589894 BQQ589893:BQQ589894 CAM589893:CAM589894 CKI589893:CKI589894 CUE589893:CUE589894 DEA589893:DEA589894 DNW589893:DNW589894 DXS589893:DXS589894 EHO589893:EHO589894 ERK589893:ERK589894 FBG589893:FBG589894 FLC589893:FLC589894 FUY589893:FUY589894 GEU589893:GEU589894 GOQ589893:GOQ589894 GYM589893:GYM589894 HII589893:HII589894 HSE589893:HSE589894 ICA589893:ICA589894 ILW589893:ILW589894 IVS589893:IVS589894 JFO589893:JFO589894 JPK589893:JPK589894 JZG589893:JZG589894 KJC589893:KJC589894 KSY589893:KSY589894 LCU589893:LCU589894 LMQ589893:LMQ589894 LWM589893:LWM589894 MGI589893:MGI589894 MQE589893:MQE589894 NAA589893:NAA589894 NJW589893:NJW589894 NTS589893:NTS589894 ODO589893:ODO589894 ONK589893:ONK589894 OXG589893:OXG589894 PHC589893:PHC589894 PQY589893:PQY589894 QAU589893:QAU589894 QKQ589893:QKQ589894 QUM589893:QUM589894 REI589893:REI589894 ROE589893:ROE589894 RYA589893:RYA589894 SHW589893:SHW589894 SRS589893:SRS589894 TBO589893:TBO589894 TLK589893:TLK589894 TVG589893:TVG589894 UFC589893:UFC589894 UOY589893:UOY589894 UYU589893:UYU589894 VIQ589893:VIQ589894 VSM589893:VSM589894 WCI589893:WCI589894 WME589893:WME589894 WWA589893:WWA589894 X655429:X655430 JO655429:JO655430 TK655429:TK655430 ADG655429:ADG655430 ANC655429:ANC655430 AWY655429:AWY655430 BGU655429:BGU655430 BQQ655429:BQQ655430 CAM655429:CAM655430 CKI655429:CKI655430 CUE655429:CUE655430 DEA655429:DEA655430 DNW655429:DNW655430 DXS655429:DXS655430 EHO655429:EHO655430 ERK655429:ERK655430 FBG655429:FBG655430 FLC655429:FLC655430 FUY655429:FUY655430 GEU655429:GEU655430 GOQ655429:GOQ655430 GYM655429:GYM655430 HII655429:HII655430 HSE655429:HSE655430 ICA655429:ICA655430 ILW655429:ILW655430 IVS655429:IVS655430 JFO655429:JFO655430 JPK655429:JPK655430 JZG655429:JZG655430 KJC655429:KJC655430 KSY655429:KSY655430 LCU655429:LCU655430 LMQ655429:LMQ655430 LWM655429:LWM655430 MGI655429:MGI655430 MQE655429:MQE655430 NAA655429:NAA655430 NJW655429:NJW655430 NTS655429:NTS655430 ODO655429:ODO655430 ONK655429:ONK655430 OXG655429:OXG655430 PHC655429:PHC655430 PQY655429:PQY655430 QAU655429:QAU655430 QKQ655429:QKQ655430 QUM655429:QUM655430 REI655429:REI655430 ROE655429:ROE655430 RYA655429:RYA655430 SHW655429:SHW655430 SRS655429:SRS655430 TBO655429:TBO655430 TLK655429:TLK655430 TVG655429:TVG655430 UFC655429:UFC655430 UOY655429:UOY655430 UYU655429:UYU655430 VIQ655429:VIQ655430 VSM655429:VSM655430 WCI655429:WCI655430 WME655429:WME655430 WWA655429:WWA655430 X720965:X720966 JO720965:JO720966 TK720965:TK720966 ADG720965:ADG720966 ANC720965:ANC720966 AWY720965:AWY720966 BGU720965:BGU720966 BQQ720965:BQQ720966 CAM720965:CAM720966 CKI720965:CKI720966 CUE720965:CUE720966 DEA720965:DEA720966 DNW720965:DNW720966 DXS720965:DXS720966 EHO720965:EHO720966 ERK720965:ERK720966 FBG720965:FBG720966 FLC720965:FLC720966 FUY720965:FUY720966 GEU720965:GEU720966 GOQ720965:GOQ720966 GYM720965:GYM720966 HII720965:HII720966 HSE720965:HSE720966 ICA720965:ICA720966 ILW720965:ILW720966 IVS720965:IVS720966 JFO720965:JFO720966 JPK720965:JPK720966 JZG720965:JZG720966 KJC720965:KJC720966 KSY720965:KSY720966 LCU720965:LCU720966 LMQ720965:LMQ720966 LWM720965:LWM720966 MGI720965:MGI720966 MQE720965:MQE720966 NAA720965:NAA720966 NJW720965:NJW720966 NTS720965:NTS720966 ODO720965:ODO720966 ONK720965:ONK720966 OXG720965:OXG720966 PHC720965:PHC720966 PQY720965:PQY720966 QAU720965:QAU720966 QKQ720965:QKQ720966 QUM720965:QUM720966 REI720965:REI720966 ROE720965:ROE720966 RYA720965:RYA720966 SHW720965:SHW720966 SRS720965:SRS720966 TBO720965:TBO720966 TLK720965:TLK720966 TVG720965:TVG720966 UFC720965:UFC720966 UOY720965:UOY720966 UYU720965:UYU720966 VIQ720965:VIQ720966 VSM720965:VSM720966 WCI720965:WCI720966 WME720965:WME720966 WWA720965:WWA720966 X786501:X786502 JO786501:JO786502 TK786501:TK786502 ADG786501:ADG786502 ANC786501:ANC786502 AWY786501:AWY786502 BGU786501:BGU786502 BQQ786501:BQQ786502 CAM786501:CAM786502 CKI786501:CKI786502 CUE786501:CUE786502 DEA786501:DEA786502 DNW786501:DNW786502 DXS786501:DXS786502 EHO786501:EHO786502 ERK786501:ERK786502 FBG786501:FBG786502 FLC786501:FLC786502 FUY786501:FUY786502 GEU786501:GEU786502 GOQ786501:GOQ786502 GYM786501:GYM786502 HII786501:HII786502 HSE786501:HSE786502 ICA786501:ICA786502 ILW786501:ILW786502 IVS786501:IVS786502 JFO786501:JFO786502 JPK786501:JPK786502 JZG786501:JZG786502 KJC786501:KJC786502 KSY786501:KSY786502 LCU786501:LCU786502 LMQ786501:LMQ786502 LWM786501:LWM786502 MGI786501:MGI786502 MQE786501:MQE786502 NAA786501:NAA786502 NJW786501:NJW786502 NTS786501:NTS786502 ODO786501:ODO786502 ONK786501:ONK786502 OXG786501:OXG786502 PHC786501:PHC786502 PQY786501:PQY786502 QAU786501:QAU786502 QKQ786501:QKQ786502 QUM786501:QUM786502 REI786501:REI786502 ROE786501:ROE786502 RYA786501:RYA786502 SHW786501:SHW786502 SRS786501:SRS786502 TBO786501:TBO786502 TLK786501:TLK786502 TVG786501:TVG786502 UFC786501:UFC786502 UOY786501:UOY786502 UYU786501:UYU786502 VIQ786501:VIQ786502 VSM786501:VSM786502 WCI786501:WCI786502 WME786501:WME786502 WWA786501:WWA786502 X852037:X852038 JO852037:JO852038 TK852037:TK852038 ADG852037:ADG852038 ANC852037:ANC852038 AWY852037:AWY852038 BGU852037:BGU852038 BQQ852037:BQQ852038 CAM852037:CAM852038 CKI852037:CKI852038 CUE852037:CUE852038 DEA852037:DEA852038 DNW852037:DNW852038 DXS852037:DXS852038 EHO852037:EHO852038 ERK852037:ERK852038 FBG852037:FBG852038 FLC852037:FLC852038 FUY852037:FUY852038 GEU852037:GEU852038 GOQ852037:GOQ852038 GYM852037:GYM852038 HII852037:HII852038 HSE852037:HSE852038 ICA852037:ICA852038 ILW852037:ILW852038 IVS852037:IVS852038 JFO852037:JFO852038 JPK852037:JPK852038 JZG852037:JZG852038 KJC852037:KJC852038 KSY852037:KSY852038 LCU852037:LCU852038 LMQ852037:LMQ852038 LWM852037:LWM852038 MGI852037:MGI852038 MQE852037:MQE852038 NAA852037:NAA852038 NJW852037:NJW852038 NTS852037:NTS852038 ODO852037:ODO852038 ONK852037:ONK852038 OXG852037:OXG852038 PHC852037:PHC852038 PQY852037:PQY852038 QAU852037:QAU852038 QKQ852037:QKQ852038 QUM852037:QUM852038 REI852037:REI852038 ROE852037:ROE852038 RYA852037:RYA852038 SHW852037:SHW852038 SRS852037:SRS852038 TBO852037:TBO852038 TLK852037:TLK852038 TVG852037:TVG852038 UFC852037:UFC852038 UOY852037:UOY852038 UYU852037:UYU852038 VIQ852037:VIQ852038 VSM852037:VSM852038 WCI852037:WCI852038 WME852037:WME852038 WWA852037:WWA852038 X917573:X917574 JO917573:JO917574 TK917573:TK917574 ADG917573:ADG917574 ANC917573:ANC917574 AWY917573:AWY917574 BGU917573:BGU917574 BQQ917573:BQQ917574 CAM917573:CAM917574 CKI917573:CKI917574 CUE917573:CUE917574 DEA917573:DEA917574 DNW917573:DNW917574 DXS917573:DXS917574 EHO917573:EHO917574 ERK917573:ERK917574 FBG917573:FBG917574 FLC917573:FLC917574 FUY917573:FUY917574 GEU917573:GEU917574 GOQ917573:GOQ917574 GYM917573:GYM917574 HII917573:HII917574 HSE917573:HSE917574 ICA917573:ICA917574 ILW917573:ILW917574 IVS917573:IVS917574 JFO917573:JFO917574 JPK917573:JPK917574 JZG917573:JZG917574 KJC917573:KJC917574 KSY917573:KSY917574 LCU917573:LCU917574 LMQ917573:LMQ917574 LWM917573:LWM917574 MGI917573:MGI917574 MQE917573:MQE917574 NAA917573:NAA917574 NJW917573:NJW917574 NTS917573:NTS917574 ODO917573:ODO917574 ONK917573:ONK917574 OXG917573:OXG917574 PHC917573:PHC917574 PQY917573:PQY917574 QAU917573:QAU917574 QKQ917573:QKQ917574 QUM917573:QUM917574 REI917573:REI917574 ROE917573:ROE917574 RYA917573:RYA917574 SHW917573:SHW917574 SRS917573:SRS917574 TBO917573:TBO917574 TLK917573:TLK917574 TVG917573:TVG917574 UFC917573:UFC917574 UOY917573:UOY917574 UYU917573:UYU917574 VIQ917573:VIQ917574 VSM917573:VSM917574 WCI917573:WCI917574 WME917573:WME917574 WWA917573:WWA917574 X983109:X983110 JO983109:JO983110 TK983109:TK983110 ADG983109:ADG983110 ANC983109:ANC983110 AWY983109:AWY983110 BGU983109:BGU983110 BQQ983109:BQQ983110 CAM983109:CAM983110 CKI983109:CKI983110 CUE983109:CUE983110 DEA983109:DEA983110 DNW983109:DNW983110 DXS983109:DXS983110 EHO983109:EHO983110 ERK983109:ERK983110 FBG983109:FBG983110 FLC983109:FLC983110 FUY983109:FUY983110 GEU983109:GEU983110 GOQ983109:GOQ983110 GYM983109:GYM983110 HII983109:HII983110 HSE983109:HSE983110 ICA983109:ICA983110 ILW983109:ILW983110 IVS983109:IVS983110 JFO983109:JFO983110 JPK983109:JPK983110 JZG983109:JZG983110 KJC983109:KJC983110 KSY983109:KSY983110 LCU983109:LCU983110 LMQ983109:LMQ983110 LWM983109:LWM983110 MGI983109:MGI983110 MQE983109:MQE983110 NAA983109:NAA983110 NJW983109:NJW983110 NTS983109:NTS983110 ODO983109:ODO983110 ONK983109:ONK983110 OXG983109:OXG983110 PHC983109:PHC983110 PQY983109:PQY983110 QAU983109:QAU983110 QKQ983109:QKQ983110 QUM983109:QUM983110 REI983109:REI983110 ROE983109:ROE983110 RYA983109:RYA983110 SHW983109:SHW983110 SRS983109:SRS983110 TBO983109:TBO983110 TLK983109:TLK983110 TVG983109:TVG983110 UFC983109:UFC983110 UOY983109:UOY983110 UYU983109:UYU983110 VIQ983109:VIQ983110 VSM983109:VSM983110 WCI983109:WCI983110 WME983109:WME983110 WWA983109:WWA983110 Z65605:Z65606 JR65605:JR65606 TN65605:TN65606 ADJ65605:ADJ65606 ANF65605:ANF65606 AXB65605:AXB65606 BGX65605:BGX65606 BQT65605:BQT65606 CAP65605:CAP65606 CKL65605:CKL65606 CUH65605:CUH65606 DED65605:DED65606 DNZ65605:DNZ65606 DXV65605:DXV65606 EHR65605:EHR65606 ERN65605:ERN65606 FBJ65605:FBJ65606 FLF65605:FLF65606 FVB65605:FVB65606 GEX65605:GEX65606 GOT65605:GOT65606 GYP65605:GYP65606 HIL65605:HIL65606 HSH65605:HSH65606 ICD65605:ICD65606 ILZ65605:ILZ65606 IVV65605:IVV65606 JFR65605:JFR65606 JPN65605:JPN65606 JZJ65605:JZJ65606 KJF65605:KJF65606 KTB65605:KTB65606 LCX65605:LCX65606 LMT65605:LMT65606 LWP65605:LWP65606 MGL65605:MGL65606 MQH65605:MQH65606 NAD65605:NAD65606 NJZ65605:NJZ65606 NTV65605:NTV65606 ODR65605:ODR65606 ONN65605:ONN65606 OXJ65605:OXJ65606 PHF65605:PHF65606 PRB65605:PRB65606 QAX65605:QAX65606 QKT65605:QKT65606 QUP65605:QUP65606 REL65605:REL65606 ROH65605:ROH65606 RYD65605:RYD65606 SHZ65605:SHZ65606 SRV65605:SRV65606 TBR65605:TBR65606 TLN65605:TLN65606 TVJ65605:TVJ65606 UFF65605:UFF65606 UPB65605:UPB65606 UYX65605:UYX65606 VIT65605:VIT65606 VSP65605:VSP65606 WCL65605:WCL65606 WMH65605:WMH65606 WWD65605:WWD65606 Z131141:Z131142 JR131141:JR131142 TN131141:TN131142 ADJ131141:ADJ131142 ANF131141:ANF131142 AXB131141:AXB131142 BGX131141:BGX131142 BQT131141:BQT131142 CAP131141:CAP131142 CKL131141:CKL131142 CUH131141:CUH131142 DED131141:DED131142 DNZ131141:DNZ131142 DXV131141:DXV131142 EHR131141:EHR131142 ERN131141:ERN131142 FBJ131141:FBJ131142 FLF131141:FLF131142 FVB131141:FVB131142 GEX131141:GEX131142 GOT131141:GOT131142 GYP131141:GYP131142 HIL131141:HIL131142 HSH131141:HSH131142 ICD131141:ICD131142 ILZ131141:ILZ131142 IVV131141:IVV131142 JFR131141:JFR131142 JPN131141:JPN131142 JZJ131141:JZJ131142 KJF131141:KJF131142 KTB131141:KTB131142 LCX131141:LCX131142 LMT131141:LMT131142 LWP131141:LWP131142 MGL131141:MGL131142 MQH131141:MQH131142 NAD131141:NAD131142 NJZ131141:NJZ131142 NTV131141:NTV131142 ODR131141:ODR131142 ONN131141:ONN131142 OXJ131141:OXJ131142 PHF131141:PHF131142 PRB131141:PRB131142 QAX131141:QAX131142 QKT131141:QKT131142 QUP131141:QUP131142 REL131141:REL131142 ROH131141:ROH131142 RYD131141:RYD131142 SHZ131141:SHZ131142 SRV131141:SRV131142 TBR131141:TBR131142 TLN131141:TLN131142 TVJ131141:TVJ131142 UFF131141:UFF131142 UPB131141:UPB131142 UYX131141:UYX131142 VIT131141:VIT131142 VSP131141:VSP131142 WCL131141:WCL131142 WMH131141:WMH131142 WWD131141:WWD131142 Z196677:Z196678 JR196677:JR196678 TN196677:TN196678 ADJ196677:ADJ196678 ANF196677:ANF196678 AXB196677:AXB196678 BGX196677:BGX196678 BQT196677:BQT196678 CAP196677:CAP196678 CKL196677:CKL196678 CUH196677:CUH196678 DED196677:DED196678 DNZ196677:DNZ196678 DXV196677:DXV196678 EHR196677:EHR196678 ERN196677:ERN196678 FBJ196677:FBJ196678 FLF196677:FLF196678 FVB196677:FVB196678 GEX196677:GEX196678 GOT196677:GOT196678 GYP196677:GYP196678 HIL196677:HIL196678 HSH196677:HSH196678 ICD196677:ICD196678 ILZ196677:ILZ196678 IVV196677:IVV196678 JFR196677:JFR196678 JPN196677:JPN196678 JZJ196677:JZJ196678 KJF196677:KJF196678 KTB196677:KTB196678 LCX196677:LCX196678 LMT196677:LMT196678 LWP196677:LWP196678 MGL196677:MGL196678 MQH196677:MQH196678 NAD196677:NAD196678 NJZ196677:NJZ196678 NTV196677:NTV196678 ODR196677:ODR196678 ONN196677:ONN196678 OXJ196677:OXJ196678 PHF196677:PHF196678 PRB196677:PRB196678 QAX196677:QAX196678 QKT196677:QKT196678 QUP196677:QUP196678 REL196677:REL196678 ROH196677:ROH196678 RYD196677:RYD196678 SHZ196677:SHZ196678 SRV196677:SRV196678 TBR196677:TBR196678 TLN196677:TLN196678 TVJ196677:TVJ196678 UFF196677:UFF196678 UPB196677:UPB196678 UYX196677:UYX196678 VIT196677:VIT196678 VSP196677:VSP196678 WCL196677:WCL196678 WMH196677:WMH196678 WWD196677:WWD196678 Z262213:Z262214 JR262213:JR262214 TN262213:TN262214 ADJ262213:ADJ262214 ANF262213:ANF262214 AXB262213:AXB262214 BGX262213:BGX262214 BQT262213:BQT262214 CAP262213:CAP262214 CKL262213:CKL262214 CUH262213:CUH262214 DED262213:DED262214 DNZ262213:DNZ262214 DXV262213:DXV262214 EHR262213:EHR262214 ERN262213:ERN262214 FBJ262213:FBJ262214 FLF262213:FLF262214 FVB262213:FVB262214 GEX262213:GEX262214 GOT262213:GOT262214 GYP262213:GYP262214 HIL262213:HIL262214 HSH262213:HSH262214 ICD262213:ICD262214 ILZ262213:ILZ262214 IVV262213:IVV262214 JFR262213:JFR262214 JPN262213:JPN262214 JZJ262213:JZJ262214 KJF262213:KJF262214 KTB262213:KTB262214 LCX262213:LCX262214 LMT262213:LMT262214 LWP262213:LWP262214 MGL262213:MGL262214 MQH262213:MQH262214 NAD262213:NAD262214 NJZ262213:NJZ262214 NTV262213:NTV262214 ODR262213:ODR262214 ONN262213:ONN262214 OXJ262213:OXJ262214 PHF262213:PHF262214 PRB262213:PRB262214 QAX262213:QAX262214 QKT262213:QKT262214 QUP262213:QUP262214 REL262213:REL262214 ROH262213:ROH262214 RYD262213:RYD262214 SHZ262213:SHZ262214 SRV262213:SRV262214 TBR262213:TBR262214 TLN262213:TLN262214 TVJ262213:TVJ262214 UFF262213:UFF262214 UPB262213:UPB262214 UYX262213:UYX262214 VIT262213:VIT262214 VSP262213:VSP262214 WCL262213:WCL262214 WMH262213:WMH262214 WWD262213:WWD262214 Z327749:Z327750 JR327749:JR327750 TN327749:TN327750 ADJ327749:ADJ327750 ANF327749:ANF327750 AXB327749:AXB327750 BGX327749:BGX327750 BQT327749:BQT327750 CAP327749:CAP327750 CKL327749:CKL327750 CUH327749:CUH327750 DED327749:DED327750 DNZ327749:DNZ327750 DXV327749:DXV327750 EHR327749:EHR327750 ERN327749:ERN327750 FBJ327749:FBJ327750 FLF327749:FLF327750 FVB327749:FVB327750 GEX327749:GEX327750 GOT327749:GOT327750 GYP327749:GYP327750 HIL327749:HIL327750 HSH327749:HSH327750 ICD327749:ICD327750 ILZ327749:ILZ327750 IVV327749:IVV327750 JFR327749:JFR327750 JPN327749:JPN327750 JZJ327749:JZJ327750 KJF327749:KJF327750 KTB327749:KTB327750 LCX327749:LCX327750 LMT327749:LMT327750 LWP327749:LWP327750 MGL327749:MGL327750 MQH327749:MQH327750 NAD327749:NAD327750 NJZ327749:NJZ327750 NTV327749:NTV327750 ODR327749:ODR327750 ONN327749:ONN327750 OXJ327749:OXJ327750 PHF327749:PHF327750 PRB327749:PRB327750 QAX327749:QAX327750 QKT327749:QKT327750 QUP327749:QUP327750 REL327749:REL327750 ROH327749:ROH327750 RYD327749:RYD327750 SHZ327749:SHZ327750 SRV327749:SRV327750 TBR327749:TBR327750 TLN327749:TLN327750 TVJ327749:TVJ327750 UFF327749:UFF327750 UPB327749:UPB327750 UYX327749:UYX327750 VIT327749:VIT327750 VSP327749:VSP327750 WCL327749:WCL327750 WMH327749:WMH327750 WWD327749:WWD327750 Z393285:Z393286 JR393285:JR393286 TN393285:TN393286 ADJ393285:ADJ393286 ANF393285:ANF393286 AXB393285:AXB393286 BGX393285:BGX393286 BQT393285:BQT393286 CAP393285:CAP393286 CKL393285:CKL393286 CUH393285:CUH393286 DED393285:DED393286 DNZ393285:DNZ393286 DXV393285:DXV393286 EHR393285:EHR393286 ERN393285:ERN393286 FBJ393285:FBJ393286 FLF393285:FLF393286 FVB393285:FVB393286 GEX393285:GEX393286 GOT393285:GOT393286 GYP393285:GYP393286 HIL393285:HIL393286 HSH393285:HSH393286 ICD393285:ICD393286 ILZ393285:ILZ393286 IVV393285:IVV393286 JFR393285:JFR393286 JPN393285:JPN393286 JZJ393285:JZJ393286 KJF393285:KJF393286 KTB393285:KTB393286 LCX393285:LCX393286 LMT393285:LMT393286 LWP393285:LWP393286 MGL393285:MGL393286 MQH393285:MQH393286 NAD393285:NAD393286 NJZ393285:NJZ393286 NTV393285:NTV393286 ODR393285:ODR393286 ONN393285:ONN393286 OXJ393285:OXJ393286 PHF393285:PHF393286 PRB393285:PRB393286 QAX393285:QAX393286 QKT393285:QKT393286 QUP393285:QUP393286 REL393285:REL393286 ROH393285:ROH393286 RYD393285:RYD393286 SHZ393285:SHZ393286 SRV393285:SRV393286 TBR393285:TBR393286 TLN393285:TLN393286 TVJ393285:TVJ393286 UFF393285:UFF393286 UPB393285:UPB393286 UYX393285:UYX393286 VIT393285:VIT393286 VSP393285:VSP393286 WCL393285:WCL393286 WMH393285:WMH393286 WWD393285:WWD393286 Z458821:Z458822 JR458821:JR458822 TN458821:TN458822 ADJ458821:ADJ458822 ANF458821:ANF458822 AXB458821:AXB458822 BGX458821:BGX458822 BQT458821:BQT458822 CAP458821:CAP458822 CKL458821:CKL458822 CUH458821:CUH458822 DED458821:DED458822 DNZ458821:DNZ458822 DXV458821:DXV458822 EHR458821:EHR458822 ERN458821:ERN458822 FBJ458821:FBJ458822 FLF458821:FLF458822 FVB458821:FVB458822 GEX458821:GEX458822 GOT458821:GOT458822 GYP458821:GYP458822 HIL458821:HIL458822 HSH458821:HSH458822 ICD458821:ICD458822 ILZ458821:ILZ458822 IVV458821:IVV458822 JFR458821:JFR458822 JPN458821:JPN458822 JZJ458821:JZJ458822 KJF458821:KJF458822 KTB458821:KTB458822 LCX458821:LCX458822 LMT458821:LMT458822 LWP458821:LWP458822 MGL458821:MGL458822 MQH458821:MQH458822 NAD458821:NAD458822 NJZ458821:NJZ458822 NTV458821:NTV458822 ODR458821:ODR458822 ONN458821:ONN458822 OXJ458821:OXJ458822 PHF458821:PHF458822 PRB458821:PRB458822 QAX458821:QAX458822 QKT458821:QKT458822 QUP458821:QUP458822 REL458821:REL458822 ROH458821:ROH458822 RYD458821:RYD458822 SHZ458821:SHZ458822 SRV458821:SRV458822 TBR458821:TBR458822 TLN458821:TLN458822 TVJ458821:TVJ458822 UFF458821:UFF458822 UPB458821:UPB458822 UYX458821:UYX458822 VIT458821:VIT458822 VSP458821:VSP458822 WCL458821:WCL458822 WMH458821:WMH458822 WWD458821:WWD458822 Z524357:Z524358 JR524357:JR524358 TN524357:TN524358 ADJ524357:ADJ524358 ANF524357:ANF524358 AXB524357:AXB524358 BGX524357:BGX524358 BQT524357:BQT524358 CAP524357:CAP524358 CKL524357:CKL524358 CUH524357:CUH524358 DED524357:DED524358 DNZ524357:DNZ524358 DXV524357:DXV524358 EHR524357:EHR524358 ERN524357:ERN524358 FBJ524357:FBJ524358 FLF524357:FLF524358 FVB524357:FVB524358 GEX524357:GEX524358 GOT524357:GOT524358 GYP524357:GYP524358 HIL524357:HIL524358 HSH524357:HSH524358 ICD524357:ICD524358 ILZ524357:ILZ524358 IVV524357:IVV524358 JFR524357:JFR524358 JPN524357:JPN524358 JZJ524357:JZJ524358 KJF524357:KJF524358 KTB524357:KTB524358 LCX524357:LCX524358 LMT524357:LMT524358 LWP524357:LWP524358 MGL524357:MGL524358 MQH524357:MQH524358 NAD524357:NAD524358 NJZ524357:NJZ524358 NTV524357:NTV524358 ODR524357:ODR524358 ONN524357:ONN524358 OXJ524357:OXJ524358 PHF524357:PHF524358 PRB524357:PRB524358 QAX524357:QAX524358 QKT524357:QKT524358 QUP524357:QUP524358 REL524357:REL524358 ROH524357:ROH524358 RYD524357:RYD524358 SHZ524357:SHZ524358 SRV524357:SRV524358 TBR524357:TBR524358 TLN524357:TLN524358 TVJ524357:TVJ524358 UFF524357:UFF524358 UPB524357:UPB524358 UYX524357:UYX524358 VIT524357:VIT524358 VSP524357:VSP524358 WCL524357:WCL524358 WMH524357:WMH524358 WWD524357:WWD524358 Z589893:Z589894 JR589893:JR589894 TN589893:TN589894 ADJ589893:ADJ589894 ANF589893:ANF589894 AXB589893:AXB589894 BGX589893:BGX589894 BQT589893:BQT589894 CAP589893:CAP589894 CKL589893:CKL589894 CUH589893:CUH589894 DED589893:DED589894 DNZ589893:DNZ589894 DXV589893:DXV589894 EHR589893:EHR589894 ERN589893:ERN589894 FBJ589893:FBJ589894 FLF589893:FLF589894 FVB589893:FVB589894 GEX589893:GEX589894 GOT589893:GOT589894 GYP589893:GYP589894 HIL589893:HIL589894 HSH589893:HSH589894 ICD589893:ICD589894 ILZ589893:ILZ589894 IVV589893:IVV589894 JFR589893:JFR589894 JPN589893:JPN589894 JZJ589893:JZJ589894 KJF589893:KJF589894 KTB589893:KTB589894 LCX589893:LCX589894 LMT589893:LMT589894 LWP589893:LWP589894 MGL589893:MGL589894 MQH589893:MQH589894 NAD589893:NAD589894 NJZ589893:NJZ589894 NTV589893:NTV589894 ODR589893:ODR589894 ONN589893:ONN589894 OXJ589893:OXJ589894 PHF589893:PHF589894 PRB589893:PRB589894 QAX589893:QAX589894 QKT589893:QKT589894 QUP589893:QUP589894 REL589893:REL589894 ROH589893:ROH589894 RYD589893:RYD589894 SHZ589893:SHZ589894 SRV589893:SRV589894 TBR589893:TBR589894 TLN589893:TLN589894 TVJ589893:TVJ589894 UFF589893:UFF589894 UPB589893:UPB589894 UYX589893:UYX589894 VIT589893:VIT589894 VSP589893:VSP589894 WCL589893:WCL589894 WMH589893:WMH589894 WWD589893:WWD589894 Z655429:Z655430 JR655429:JR655430 TN655429:TN655430 ADJ655429:ADJ655430 ANF655429:ANF655430 AXB655429:AXB655430 BGX655429:BGX655430 BQT655429:BQT655430 CAP655429:CAP655430 CKL655429:CKL655430 CUH655429:CUH655430 DED655429:DED655430 DNZ655429:DNZ655430 DXV655429:DXV655430 EHR655429:EHR655430 ERN655429:ERN655430 FBJ655429:FBJ655430 FLF655429:FLF655430 FVB655429:FVB655430 GEX655429:GEX655430 GOT655429:GOT655430 GYP655429:GYP655430 HIL655429:HIL655430 HSH655429:HSH655430 ICD655429:ICD655430 ILZ655429:ILZ655430 IVV655429:IVV655430 JFR655429:JFR655430 JPN655429:JPN655430 JZJ655429:JZJ655430 KJF655429:KJF655430 KTB655429:KTB655430 LCX655429:LCX655430 LMT655429:LMT655430 LWP655429:LWP655430 MGL655429:MGL655430 MQH655429:MQH655430 NAD655429:NAD655430 NJZ655429:NJZ655430 NTV655429:NTV655430 ODR655429:ODR655430 ONN655429:ONN655430 OXJ655429:OXJ655430 PHF655429:PHF655430 PRB655429:PRB655430 QAX655429:QAX655430 QKT655429:QKT655430 QUP655429:QUP655430 REL655429:REL655430 ROH655429:ROH655430 RYD655429:RYD655430 SHZ655429:SHZ655430 SRV655429:SRV655430 TBR655429:TBR655430 TLN655429:TLN655430 TVJ655429:TVJ655430 UFF655429:UFF655430 UPB655429:UPB655430 UYX655429:UYX655430 VIT655429:VIT655430 VSP655429:VSP655430 WCL655429:WCL655430 WMH655429:WMH655430 WWD655429:WWD655430 Z720965:Z720966 JR720965:JR720966 TN720965:TN720966 ADJ720965:ADJ720966 ANF720965:ANF720966 AXB720965:AXB720966 BGX720965:BGX720966 BQT720965:BQT720966 CAP720965:CAP720966 CKL720965:CKL720966 CUH720965:CUH720966 DED720965:DED720966 DNZ720965:DNZ720966 DXV720965:DXV720966 EHR720965:EHR720966 ERN720965:ERN720966 FBJ720965:FBJ720966 FLF720965:FLF720966 FVB720965:FVB720966 GEX720965:GEX720966 GOT720965:GOT720966 GYP720965:GYP720966 HIL720965:HIL720966 HSH720965:HSH720966 ICD720965:ICD720966 ILZ720965:ILZ720966 IVV720965:IVV720966 JFR720965:JFR720966 JPN720965:JPN720966 JZJ720965:JZJ720966 KJF720965:KJF720966 KTB720965:KTB720966 LCX720965:LCX720966 LMT720965:LMT720966 LWP720965:LWP720966 MGL720965:MGL720966 MQH720965:MQH720966 NAD720965:NAD720966 NJZ720965:NJZ720966 NTV720965:NTV720966 ODR720965:ODR720966 ONN720965:ONN720966 OXJ720965:OXJ720966 PHF720965:PHF720966 PRB720965:PRB720966 QAX720965:QAX720966 QKT720965:QKT720966 QUP720965:QUP720966 REL720965:REL720966 ROH720965:ROH720966 RYD720965:RYD720966 SHZ720965:SHZ720966 SRV720965:SRV720966 TBR720965:TBR720966 TLN720965:TLN720966 TVJ720965:TVJ720966 UFF720965:UFF720966 UPB720965:UPB720966 UYX720965:UYX720966 VIT720965:VIT720966 VSP720965:VSP720966 WCL720965:WCL720966 WMH720965:WMH720966 WWD720965:WWD720966 Z786501:Z786502 JR786501:JR786502 TN786501:TN786502 ADJ786501:ADJ786502 ANF786501:ANF786502 AXB786501:AXB786502 BGX786501:BGX786502 BQT786501:BQT786502 CAP786501:CAP786502 CKL786501:CKL786502 CUH786501:CUH786502 DED786501:DED786502 DNZ786501:DNZ786502 DXV786501:DXV786502 EHR786501:EHR786502 ERN786501:ERN786502 FBJ786501:FBJ786502 FLF786501:FLF786502 FVB786501:FVB786502 GEX786501:GEX786502 GOT786501:GOT786502 GYP786501:GYP786502 HIL786501:HIL786502 HSH786501:HSH786502 ICD786501:ICD786502 ILZ786501:ILZ786502 IVV786501:IVV786502 JFR786501:JFR786502 JPN786501:JPN786502 JZJ786501:JZJ786502 KJF786501:KJF786502 KTB786501:KTB786502 LCX786501:LCX786502 LMT786501:LMT786502 LWP786501:LWP786502 MGL786501:MGL786502 MQH786501:MQH786502 NAD786501:NAD786502 NJZ786501:NJZ786502 NTV786501:NTV786502 ODR786501:ODR786502 ONN786501:ONN786502 OXJ786501:OXJ786502 PHF786501:PHF786502 PRB786501:PRB786502 QAX786501:QAX786502 QKT786501:QKT786502 QUP786501:QUP786502 REL786501:REL786502 ROH786501:ROH786502 RYD786501:RYD786502 SHZ786501:SHZ786502 SRV786501:SRV786502 TBR786501:TBR786502 TLN786501:TLN786502 TVJ786501:TVJ786502 UFF786501:UFF786502 UPB786501:UPB786502 UYX786501:UYX786502 VIT786501:VIT786502 VSP786501:VSP786502 WCL786501:WCL786502 WMH786501:WMH786502 WWD786501:WWD786502 Z852037:Z852038 JR852037:JR852038 TN852037:TN852038 ADJ852037:ADJ852038 ANF852037:ANF852038 AXB852037:AXB852038 BGX852037:BGX852038 BQT852037:BQT852038 CAP852037:CAP852038 CKL852037:CKL852038 CUH852037:CUH852038 DED852037:DED852038 DNZ852037:DNZ852038 DXV852037:DXV852038 EHR852037:EHR852038 ERN852037:ERN852038 FBJ852037:FBJ852038 FLF852037:FLF852038 FVB852037:FVB852038 GEX852037:GEX852038 GOT852037:GOT852038 GYP852037:GYP852038 HIL852037:HIL852038 HSH852037:HSH852038 ICD852037:ICD852038 ILZ852037:ILZ852038 IVV852037:IVV852038 JFR852037:JFR852038 JPN852037:JPN852038 JZJ852037:JZJ852038 KJF852037:KJF852038 KTB852037:KTB852038 LCX852037:LCX852038 LMT852037:LMT852038 LWP852037:LWP852038 MGL852037:MGL852038 MQH852037:MQH852038 NAD852037:NAD852038 NJZ852037:NJZ852038 NTV852037:NTV852038 ODR852037:ODR852038 ONN852037:ONN852038 OXJ852037:OXJ852038 PHF852037:PHF852038 PRB852037:PRB852038 QAX852037:QAX852038 QKT852037:QKT852038 QUP852037:QUP852038 REL852037:REL852038 ROH852037:ROH852038 RYD852037:RYD852038 SHZ852037:SHZ852038 SRV852037:SRV852038 TBR852037:TBR852038 TLN852037:TLN852038 TVJ852037:TVJ852038 UFF852037:UFF852038 UPB852037:UPB852038 UYX852037:UYX852038 VIT852037:VIT852038 VSP852037:VSP852038 WCL852037:WCL852038 WMH852037:WMH852038 WWD852037:WWD852038 Z917573:Z917574 JR917573:JR917574 TN917573:TN917574 ADJ917573:ADJ917574 ANF917573:ANF917574 AXB917573:AXB917574 BGX917573:BGX917574 BQT917573:BQT917574 CAP917573:CAP917574 CKL917573:CKL917574 CUH917573:CUH917574 DED917573:DED917574 DNZ917573:DNZ917574 DXV917573:DXV917574 EHR917573:EHR917574 ERN917573:ERN917574 FBJ917573:FBJ917574 FLF917573:FLF917574 FVB917573:FVB917574 GEX917573:GEX917574 GOT917573:GOT917574 GYP917573:GYP917574 HIL917573:HIL917574 HSH917573:HSH917574 ICD917573:ICD917574 ILZ917573:ILZ917574 IVV917573:IVV917574 JFR917573:JFR917574 JPN917573:JPN917574 JZJ917573:JZJ917574 KJF917573:KJF917574 KTB917573:KTB917574 LCX917573:LCX917574 LMT917573:LMT917574 LWP917573:LWP917574 MGL917573:MGL917574 MQH917573:MQH917574 NAD917573:NAD917574 NJZ917573:NJZ917574 NTV917573:NTV917574 ODR917573:ODR917574 ONN917573:ONN917574 OXJ917573:OXJ917574 PHF917573:PHF917574 PRB917573:PRB917574 QAX917573:QAX917574 QKT917573:QKT917574 QUP917573:QUP917574 REL917573:REL917574 ROH917573:ROH917574 RYD917573:RYD917574 SHZ917573:SHZ917574 SRV917573:SRV917574 TBR917573:TBR917574 TLN917573:TLN917574 TVJ917573:TVJ917574 UFF917573:UFF917574 UPB917573:UPB917574 UYX917573:UYX917574 VIT917573:VIT917574 VSP917573:VSP917574 WCL917573:WCL917574 WMH917573:WMH917574 WWD917573:WWD917574 Z983109:Z983110 JR983109:JR983110 TN983109:TN983110 ADJ983109:ADJ983110 ANF983109:ANF983110 AXB983109:AXB983110 BGX983109:BGX983110 BQT983109:BQT983110 CAP983109:CAP983110 CKL983109:CKL983110 CUH983109:CUH983110 DED983109:DED983110 DNZ983109:DNZ983110 DXV983109:DXV983110 EHR983109:EHR983110 ERN983109:ERN983110 FBJ983109:FBJ983110 FLF983109:FLF983110 FVB983109:FVB983110 GEX983109:GEX983110 GOT983109:GOT983110 GYP983109:GYP983110 HIL983109:HIL983110 HSH983109:HSH983110 ICD983109:ICD983110 ILZ983109:ILZ983110 IVV983109:IVV983110 JFR983109:JFR983110 JPN983109:JPN983110 JZJ983109:JZJ983110 KJF983109:KJF983110 KTB983109:KTB983110 LCX983109:LCX983110 LMT983109:LMT983110 LWP983109:LWP983110 MGL983109:MGL983110 MQH983109:MQH983110 NAD983109:NAD983110 NJZ983109:NJZ983110 NTV983109:NTV983110 ODR983109:ODR983110 ONN983109:ONN983110 OXJ983109:OXJ983110 PHF983109:PHF983110 PRB983109:PRB983110 QAX983109:QAX983110 QKT983109:QKT983110 QUP983109:QUP983110 REL983109:REL983110 ROH983109:ROH983110 RYD983109:RYD983110 SHZ983109:SHZ983110 SRV983109:SRV983110 TBR983109:TBR983110 TLN983109:TLN983110 TVJ983109:TVJ983110 UFF983109:UFF983110 UPB983109:UPB983110 UYX983109:UYX983110 VIT983109:VIT983110 VSP983109:VSP983110 WCL983109:WCL983110 WMH983109:WMH983110 WWD983109:WWD983110 AB65605:AB65606 JU65605:JU65606 TQ65605:TQ65606 ADM65605:ADM65606 ANI65605:ANI65606 AXE65605:AXE65606 BHA65605:BHA65606 BQW65605:BQW65606 CAS65605:CAS65606 CKO65605:CKO65606 CUK65605:CUK65606 DEG65605:DEG65606 DOC65605:DOC65606 DXY65605:DXY65606 EHU65605:EHU65606 ERQ65605:ERQ65606 FBM65605:FBM65606 FLI65605:FLI65606 FVE65605:FVE65606 GFA65605:GFA65606 GOW65605:GOW65606 GYS65605:GYS65606 HIO65605:HIO65606 HSK65605:HSK65606 ICG65605:ICG65606 IMC65605:IMC65606 IVY65605:IVY65606 JFU65605:JFU65606 JPQ65605:JPQ65606 JZM65605:JZM65606 KJI65605:KJI65606 KTE65605:KTE65606 LDA65605:LDA65606 LMW65605:LMW65606 LWS65605:LWS65606 MGO65605:MGO65606 MQK65605:MQK65606 NAG65605:NAG65606 NKC65605:NKC65606 NTY65605:NTY65606 ODU65605:ODU65606 ONQ65605:ONQ65606 OXM65605:OXM65606 PHI65605:PHI65606 PRE65605:PRE65606 QBA65605:QBA65606 QKW65605:QKW65606 QUS65605:QUS65606 REO65605:REO65606 ROK65605:ROK65606 RYG65605:RYG65606 SIC65605:SIC65606 SRY65605:SRY65606 TBU65605:TBU65606 TLQ65605:TLQ65606 TVM65605:TVM65606 UFI65605:UFI65606 UPE65605:UPE65606 UZA65605:UZA65606 VIW65605:VIW65606 VSS65605:VSS65606 WCO65605:WCO65606 WMK65605:WMK65606 WWG65605:WWG65606 AB131141:AB131142 JU131141:JU131142 TQ131141:TQ131142 ADM131141:ADM131142 ANI131141:ANI131142 AXE131141:AXE131142 BHA131141:BHA131142 BQW131141:BQW131142 CAS131141:CAS131142 CKO131141:CKO131142 CUK131141:CUK131142 DEG131141:DEG131142 DOC131141:DOC131142 DXY131141:DXY131142 EHU131141:EHU131142 ERQ131141:ERQ131142 FBM131141:FBM131142 FLI131141:FLI131142 FVE131141:FVE131142 GFA131141:GFA131142 GOW131141:GOW131142 GYS131141:GYS131142 HIO131141:HIO131142 HSK131141:HSK131142 ICG131141:ICG131142 IMC131141:IMC131142 IVY131141:IVY131142 JFU131141:JFU131142 JPQ131141:JPQ131142 JZM131141:JZM131142 KJI131141:KJI131142 KTE131141:KTE131142 LDA131141:LDA131142 LMW131141:LMW131142 LWS131141:LWS131142 MGO131141:MGO131142 MQK131141:MQK131142 NAG131141:NAG131142 NKC131141:NKC131142 NTY131141:NTY131142 ODU131141:ODU131142 ONQ131141:ONQ131142 OXM131141:OXM131142 PHI131141:PHI131142 PRE131141:PRE131142 QBA131141:QBA131142 QKW131141:QKW131142 QUS131141:QUS131142 REO131141:REO131142 ROK131141:ROK131142 RYG131141:RYG131142 SIC131141:SIC131142 SRY131141:SRY131142 TBU131141:TBU131142 TLQ131141:TLQ131142 TVM131141:TVM131142 UFI131141:UFI131142 UPE131141:UPE131142 UZA131141:UZA131142 VIW131141:VIW131142 VSS131141:VSS131142 WCO131141:WCO131142 WMK131141:WMK131142 WWG131141:WWG131142 AB196677:AB196678 JU196677:JU196678 TQ196677:TQ196678 ADM196677:ADM196678 ANI196677:ANI196678 AXE196677:AXE196678 BHA196677:BHA196678 BQW196677:BQW196678 CAS196677:CAS196678 CKO196677:CKO196678 CUK196677:CUK196678 DEG196677:DEG196678 DOC196677:DOC196678 DXY196677:DXY196678 EHU196677:EHU196678 ERQ196677:ERQ196678 FBM196677:FBM196678 FLI196677:FLI196678 FVE196677:FVE196678 GFA196677:GFA196678 GOW196677:GOW196678 GYS196677:GYS196678 HIO196677:HIO196678 HSK196677:HSK196678 ICG196677:ICG196678 IMC196677:IMC196678 IVY196677:IVY196678 JFU196677:JFU196678 JPQ196677:JPQ196678 JZM196677:JZM196678 KJI196677:KJI196678 KTE196677:KTE196678 LDA196677:LDA196678 LMW196677:LMW196678 LWS196677:LWS196678 MGO196677:MGO196678 MQK196677:MQK196678 NAG196677:NAG196678 NKC196677:NKC196678 NTY196677:NTY196678 ODU196677:ODU196678 ONQ196677:ONQ196678 OXM196677:OXM196678 PHI196677:PHI196678 PRE196677:PRE196678 QBA196677:QBA196678 QKW196677:QKW196678 QUS196677:QUS196678 REO196677:REO196678 ROK196677:ROK196678 RYG196677:RYG196678 SIC196677:SIC196678 SRY196677:SRY196678 TBU196677:TBU196678 TLQ196677:TLQ196678 TVM196677:TVM196678 UFI196677:UFI196678 UPE196677:UPE196678 UZA196677:UZA196678 VIW196677:VIW196678 VSS196677:VSS196678 WCO196677:WCO196678 WMK196677:WMK196678 WWG196677:WWG196678 AB262213:AB262214 JU262213:JU262214 TQ262213:TQ262214 ADM262213:ADM262214 ANI262213:ANI262214 AXE262213:AXE262214 BHA262213:BHA262214 BQW262213:BQW262214 CAS262213:CAS262214 CKO262213:CKO262214 CUK262213:CUK262214 DEG262213:DEG262214 DOC262213:DOC262214 DXY262213:DXY262214 EHU262213:EHU262214 ERQ262213:ERQ262214 FBM262213:FBM262214 FLI262213:FLI262214 FVE262213:FVE262214 GFA262213:GFA262214 GOW262213:GOW262214 GYS262213:GYS262214 HIO262213:HIO262214 HSK262213:HSK262214 ICG262213:ICG262214 IMC262213:IMC262214 IVY262213:IVY262214 JFU262213:JFU262214 JPQ262213:JPQ262214 JZM262213:JZM262214 KJI262213:KJI262214 KTE262213:KTE262214 LDA262213:LDA262214 LMW262213:LMW262214 LWS262213:LWS262214 MGO262213:MGO262214 MQK262213:MQK262214 NAG262213:NAG262214 NKC262213:NKC262214 NTY262213:NTY262214 ODU262213:ODU262214 ONQ262213:ONQ262214 OXM262213:OXM262214 PHI262213:PHI262214 PRE262213:PRE262214 QBA262213:QBA262214 QKW262213:QKW262214 QUS262213:QUS262214 REO262213:REO262214 ROK262213:ROK262214 RYG262213:RYG262214 SIC262213:SIC262214 SRY262213:SRY262214 TBU262213:TBU262214 TLQ262213:TLQ262214 TVM262213:TVM262214 UFI262213:UFI262214 UPE262213:UPE262214 UZA262213:UZA262214 VIW262213:VIW262214 VSS262213:VSS262214 WCO262213:WCO262214 WMK262213:WMK262214 WWG262213:WWG262214 AB327749:AB327750 JU327749:JU327750 TQ327749:TQ327750 ADM327749:ADM327750 ANI327749:ANI327750 AXE327749:AXE327750 BHA327749:BHA327750 BQW327749:BQW327750 CAS327749:CAS327750 CKO327749:CKO327750 CUK327749:CUK327750 DEG327749:DEG327750 DOC327749:DOC327750 DXY327749:DXY327750 EHU327749:EHU327750 ERQ327749:ERQ327750 FBM327749:FBM327750 FLI327749:FLI327750 FVE327749:FVE327750 GFA327749:GFA327750 GOW327749:GOW327750 GYS327749:GYS327750 HIO327749:HIO327750 HSK327749:HSK327750 ICG327749:ICG327750 IMC327749:IMC327750 IVY327749:IVY327750 JFU327749:JFU327750 JPQ327749:JPQ327750 JZM327749:JZM327750 KJI327749:KJI327750 KTE327749:KTE327750 LDA327749:LDA327750 LMW327749:LMW327750 LWS327749:LWS327750 MGO327749:MGO327750 MQK327749:MQK327750 NAG327749:NAG327750 NKC327749:NKC327750 NTY327749:NTY327750 ODU327749:ODU327750 ONQ327749:ONQ327750 OXM327749:OXM327750 PHI327749:PHI327750 PRE327749:PRE327750 QBA327749:QBA327750 QKW327749:QKW327750 QUS327749:QUS327750 REO327749:REO327750 ROK327749:ROK327750 RYG327749:RYG327750 SIC327749:SIC327750 SRY327749:SRY327750 TBU327749:TBU327750 TLQ327749:TLQ327750 TVM327749:TVM327750 UFI327749:UFI327750 UPE327749:UPE327750 UZA327749:UZA327750 VIW327749:VIW327750 VSS327749:VSS327750 WCO327749:WCO327750 WMK327749:WMK327750 WWG327749:WWG327750 AB393285:AB393286 JU393285:JU393286 TQ393285:TQ393286 ADM393285:ADM393286 ANI393285:ANI393286 AXE393285:AXE393286 BHA393285:BHA393286 BQW393285:BQW393286 CAS393285:CAS393286 CKO393285:CKO393286 CUK393285:CUK393286 DEG393285:DEG393286 DOC393285:DOC393286 DXY393285:DXY393286 EHU393285:EHU393286 ERQ393285:ERQ393286 FBM393285:FBM393286 FLI393285:FLI393286 FVE393285:FVE393286 GFA393285:GFA393286 GOW393285:GOW393286 GYS393285:GYS393286 HIO393285:HIO393286 HSK393285:HSK393286 ICG393285:ICG393286 IMC393285:IMC393286 IVY393285:IVY393286 JFU393285:JFU393286 JPQ393285:JPQ393286 JZM393285:JZM393286 KJI393285:KJI393286 KTE393285:KTE393286 LDA393285:LDA393286 LMW393285:LMW393286 LWS393285:LWS393286 MGO393285:MGO393286 MQK393285:MQK393286 NAG393285:NAG393286 NKC393285:NKC393286 NTY393285:NTY393286 ODU393285:ODU393286 ONQ393285:ONQ393286 OXM393285:OXM393286 PHI393285:PHI393286 PRE393285:PRE393286 QBA393285:QBA393286 QKW393285:QKW393286 QUS393285:QUS393286 REO393285:REO393286 ROK393285:ROK393286 RYG393285:RYG393286 SIC393285:SIC393286 SRY393285:SRY393286 TBU393285:TBU393286 TLQ393285:TLQ393286 TVM393285:TVM393286 UFI393285:UFI393286 UPE393285:UPE393286 UZA393285:UZA393286 VIW393285:VIW393286 VSS393285:VSS393286 WCO393285:WCO393286 WMK393285:WMK393286 WWG393285:WWG393286 AB458821:AB458822 JU458821:JU458822 TQ458821:TQ458822 ADM458821:ADM458822 ANI458821:ANI458822 AXE458821:AXE458822 BHA458821:BHA458822 BQW458821:BQW458822 CAS458821:CAS458822 CKO458821:CKO458822 CUK458821:CUK458822 DEG458821:DEG458822 DOC458821:DOC458822 DXY458821:DXY458822 EHU458821:EHU458822 ERQ458821:ERQ458822 FBM458821:FBM458822 FLI458821:FLI458822 FVE458821:FVE458822 GFA458821:GFA458822 GOW458821:GOW458822 GYS458821:GYS458822 HIO458821:HIO458822 HSK458821:HSK458822 ICG458821:ICG458822 IMC458821:IMC458822 IVY458821:IVY458822 JFU458821:JFU458822 JPQ458821:JPQ458822 JZM458821:JZM458822 KJI458821:KJI458822 KTE458821:KTE458822 LDA458821:LDA458822 LMW458821:LMW458822 LWS458821:LWS458822 MGO458821:MGO458822 MQK458821:MQK458822 NAG458821:NAG458822 NKC458821:NKC458822 NTY458821:NTY458822 ODU458821:ODU458822 ONQ458821:ONQ458822 OXM458821:OXM458822 PHI458821:PHI458822 PRE458821:PRE458822 QBA458821:QBA458822 QKW458821:QKW458822 QUS458821:QUS458822 REO458821:REO458822 ROK458821:ROK458822 RYG458821:RYG458822 SIC458821:SIC458822 SRY458821:SRY458822 TBU458821:TBU458822 TLQ458821:TLQ458822 TVM458821:TVM458822 UFI458821:UFI458822 UPE458821:UPE458822 UZA458821:UZA458822 VIW458821:VIW458822 VSS458821:VSS458822 WCO458821:WCO458822 WMK458821:WMK458822 WWG458821:WWG458822 AB524357:AB524358 JU524357:JU524358 TQ524357:TQ524358 ADM524357:ADM524358 ANI524357:ANI524358 AXE524357:AXE524358 BHA524357:BHA524358 BQW524357:BQW524358 CAS524357:CAS524358 CKO524357:CKO524358 CUK524357:CUK524358 DEG524357:DEG524358 DOC524357:DOC524358 DXY524357:DXY524358 EHU524357:EHU524358 ERQ524357:ERQ524358 FBM524357:FBM524358 FLI524357:FLI524358 FVE524357:FVE524358 GFA524357:GFA524358 GOW524357:GOW524358 GYS524357:GYS524358 HIO524357:HIO524358 HSK524357:HSK524358 ICG524357:ICG524358 IMC524357:IMC524358 IVY524357:IVY524358 JFU524357:JFU524358 JPQ524357:JPQ524358 JZM524357:JZM524358 KJI524357:KJI524358 KTE524357:KTE524358 LDA524357:LDA524358 LMW524357:LMW524358 LWS524357:LWS524358 MGO524357:MGO524358 MQK524357:MQK524358 NAG524357:NAG524358 NKC524357:NKC524358 NTY524357:NTY524358 ODU524357:ODU524358 ONQ524357:ONQ524358 OXM524357:OXM524358 PHI524357:PHI524358 PRE524357:PRE524358 QBA524357:QBA524358 QKW524357:QKW524358 QUS524357:QUS524358 REO524357:REO524358 ROK524357:ROK524358 RYG524357:RYG524358 SIC524357:SIC524358 SRY524357:SRY524358 TBU524357:TBU524358 TLQ524357:TLQ524358 TVM524357:TVM524358 UFI524357:UFI524358 UPE524357:UPE524358 UZA524357:UZA524358 VIW524357:VIW524358 VSS524357:VSS524358 WCO524357:WCO524358 WMK524357:WMK524358 WWG524357:WWG524358 AB589893:AB589894 JU589893:JU589894 TQ589893:TQ589894 ADM589893:ADM589894 ANI589893:ANI589894 AXE589893:AXE589894 BHA589893:BHA589894 BQW589893:BQW589894 CAS589893:CAS589894 CKO589893:CKO589894 CUK589893:CUK589894 DEG589893:DEG589894 DOC589893:DOC589894 DXY589893:DXY589894 EHU589893:EHU589894 ERQ589893:ERQ589894 FBM589893:FBM589894 FLI589893:FLI589894 FVE589893:FVE589894 GFA589893:GFA589894 GOW589893:GOW589894 GYS589893:GYS589894 HIO589893:HIO589894 HSK589893:HSK589894 ICG589893:ICG589894 IMC589893:IMC589894 IVY589893:IVY589894 JFU589893:JFU589894 JPQ589893:JPQ589894 JZM589893:JZM589894 KJI589893:KJI589894 KTE589893:KTE589894 LDA589893:LDA589894 LMW589893:LMW589894 LWS589893:LWS589894 MGO589893:MGO589894 MQK589893:MQK589894 NAG589893:NAG589894 NKC589893:NKC589894 NTY589893:NTY589894 ODU589893:ODU589894 ONQ589893:ONQ589894 OXM589893:OXM589894 PHI589893:PHI589894 PRE589893:PRE589894 QBA589893:QBA589894 QKW589893:QKW589894 QUS589893:QUS589894 REO589893:REO589894 ROK589893:ROK589894 RYG589893:RYG589894 SIC589893:SIC589894 SRY589893:SRY589894 TBU589893:TBU589894 TLQ589893:TLQ589894 TVM589893:TVM589894 UFI589893:UFI589894 UPE589893:UPE589894 UZA589893:UZA589894 VIW589893:VIW589894 VSS589893:VSS589894 WCO589893:WCO589894 WMK589893:WMK589894 WWG589893:WWG589894 AB655429:AB655430 JU655429:JU655430 TQ655429:TQ655430 ADM655429:ADM655430 ANI655429:ANI655430 AXE655429:AXE655430 BHA655429:BHA655430 BQW655429:BQW655430 CAS655429:CAS655430 CKO655429:CKO655430 CUK655429:CUK655430 DEG655429:DEG655430 DOC655429:DOC655430 DXY655429:DXY655430 EHU655429:EHU655430 ERQ655429:ERQ655430 FBM655429:FBM655430 FLI655429:FLI655430 FVE655429:FVE655430 GFA655429:GFA655430 GOW655429:GOW655430 GYS655429:GYS655430 HIO655429:HIO655430 HSK655429:HSK655430 ICG655429:ICG655430 IMC655429:IMC655430 IVY655429:IVY655430 JFU655429:JFU655430 JPQ655429:JPQ655430 JZM655429:JZM655430 KJI655429:KJI655430 KTE655429:KTE655430 LDA655429:LDA655430 LMW655429:LMW655430 LWS655429:LWS655430 MGO655429:MGO655430 MQK655429:MQK655430 NAG655429:NAG655430 NKC655429:NKC655430 NTY655429:NTY655430 ODU655429:ODU655430 ONQ655429:ONQ655430 OXM655429:OXM655430 PHI655429:PHI655430 PRE655429:PRE655430 QBA655429:QBA655430 QKW655429:QKW655430 QUS655429:QUS655430 REO655429:REO655430 ROK655429:ROK655430 RYG655429:RYG655430 SIC655429:SIC655430 SRY655429:SRY655430 TBU655429:TBU655430 TLQ655429:TLQ655430 TVM655429:TVM655430 UFI655429:UFI655430 UPE655429:UPE655430 UZA655429:UZA655430 VIW655429:VIW655430 VSS655429:VSS655430 WCO655429:WCO655430 WMK655429:WMK655430 WWG655429:WWG655430 AB720965:AB720966 JU720965:JU720966 TQ720965:TQ720966 ADM720965:ADM720966 ANI720965:ANI720966 AXE720965:AXE720966 BHA720965:BHA720966 BQW720965:BQW720966 CAS720965:CAS720966 CKO720965:CKO720966 CUK720965:CUK720966 DEG720965:DEG720966 DOC720965:DOC720966 DXY720965:DXY720966 EHU720965:EHU720966 ERQ720965:ERQ720966 FBM720965:FBM720966 FLI720965:FLI720966 FVE720965:FVE720966 GFA720965:GFA720966 GOW720965:GOW720966 GYS720965:GYS720966 HIO720965:HIO720966 HSK720965:HSK720966 ICG720965:ICG720966 IMC720965:IMC720966 IVY720965:IVY720966 JFU720965:JFU720966 JPQ720965:JPQ720966 JZM720965:JZM720966 KJI720965:KJI720966 KTE720965:KTE720966 LDA720965:LDA720966 LMW720965:LMW720966 LWS720965:LWS720966 MGO720965:MGO720966 MQK720965:MQK720966 NAG720965:NAG720966 NKC720965:NKC720966 NTY720965:NTY720966 ODU720965:ODU720966 ONQ720965:ONQ720966 OXM720965:OXM720966 PHI720965:PHI720966 PRE720965:PRE720966 QBA720965:QBA720966 QKW720965:QKW720966 QUS720965:QUS720966 REO720965:REO720966 ROK720965:ROK720966 RYG720965:RYG720966 SIC720965:SIC720966 SRY720965:SRY720966 TBU720965:TBU720966 TLQ720965:TLQ720966 TVM720965:TVM720966 UFI720965:UFI720966 UPE720965:UPE720966 UZA720965:UZA720966 VIW720965:VIW720966 VSS720965:VSS720966 WCO720965:WCO720966 WMK720965:WMK720966 WWG720965:WWG720966 AB786501:AB786502 JU786501:JU786502 TQ786501:TQ786502 ADM786501:ADM786502 ANI786501:ANI786502 AXE786501:AXE786502 BHA786501:BHA786502 BQW786501:BQW786502 CAS786501:CAS786502 CKO786501:CKO786502 CUK786501:CUK786502 DEG786501:DEG786502 DOC786501:DOC786502 DXY786501:DXY786502 EHU786501:EHU786502 ERQ786501:ERQ786502 FBM786501:FBM786502 FLI786501:FLI786502 FVE786501:FVE786502 GFA786501:GFA786502 GOW786501:GOW786502 GYS786501:GYS786502 HIO786501:HIO786502 HSK786501:HSK786502 ICG786501:ICG786502 IMC786501:IMC786502 IVY786501:IVY786502 JFU786501:JFU786502 JPQ786501:JPQ786502 JZM786501:JZM786502 KJI786501:KJI786502 KTE786501:KTE786502 LDA786501:LDA786502 LMW786501:LMW786502 LWS786501:LWS786502 MGO786501:MGO786502 MQK786501:MQK786502 NAG786501:NAG786502 NKC786501:NKC786502 NTY786501:NTY786502 ODU786501:ODU786502 ONQ786501:ONQ786502 OXM786501:OXM786502 PHI786501:PHI786502 PRE786501:PRE786502 QBA786501:QBA786502 QKW786501:QKW786502 QUS786501:QUS786502 REO786501:REO786502 ROK786501:ROK786502 RYG786501:RYG786502 SIC786501:SIC786502 SRY786501:SRY786502 TBU786501:TBU786502 TLQ786501:TLQ786502 TVM786501:TVM786502 UFI786501:UFI786502 UPE786501:UPE786502 UZA786501:UZA786502 VIW786501:VIW786502 VSS786501:VSS786502 WCO786501:WCO786502 WMK786501:WMK786502 WWG786501:WWG786502 AB852037:AB852038 JU852037:JU852038 TQ852037:TQ852038 ADM852037:ADM852038 ANI852037:ANI852038 AXE852037:AXE852038 BHA852037:BHA852038 BQW852037:BQW852038 CAS852037:CAS852038 CKO852037:CKO852038 CUK852037:CUK852038 DEG852037:DEG852038 DOC852037:DOC852038 DXY852037:DXY852038 EHU852037:EHU852038 ERQ852037:ERQ852038 FBM852037:FBM852038 FLI852037:FLI852038 FVE852037:FVE852038 GFA852037:GFA852038 GOW852037:GOW852038 GYS852037:GYS852038 HIO852037:HIO852038 HSK852037:HSK852038 ICG852037:ICG852038 IMC852037:IMC852038 IVY852037:IVY852038 JFU852037:JFU852038 JPQ852037:JPQ852038 JZM852037:JZM852038 KJI852037:KJI852038 KTE852037:KTE852038 LDA852037:LDA852038 LMW852037:LMW852038 LWS852037:LWS852038 MGO852037:MGO852038 MQK852037:MQK852038 NAG852037:NAG852038 NKC852037:NKC852038 NTY852037:NTY852038 ODU852037:ODU852038 ONQ852037:ONQ852038 OXM852037:OXM852038 PHI852037:PHI852038 PRE852037:PRE852038 QBA852037:QBA852038 QKW852037:QKW852038 QUS852037:QUS852038 REO852037:REO852038 ROK852037:ROK852038 RYG852037:RYG852038 SIC852037:SIC852038 SRY852037:SRY852038 TBU852037:TBU852038 TLQ852037:TLQ852038 TVM852037:TVM852038 UFI852037:UFI852038 UPE852037:UPE852038 UZA852037:UZA852038 VIW852037:VIW852038 VSS852037:VSS852038 WCO852037:WCO852038 WMK852037:WMK852038 WWG852037:WWG852038 AB917573:AB917574 JU917573:JU917574 TQ917573:TQ917574 ADM917573:ADM917574 ANI917573:ANI917574 AXE917573:AXE917574 BHA917573:BHA917574 BQW917573:BQW917574 CAS917573:CAS917574 CKO917573:CKO917574 CUK917573:CUK917574 DEG917573:DEG917574 DOC917573:DOC917574 DXY917573:DXY917574 EHU917573:EHU917574 ERQ917573:ERQ917574 FBM917573:FBM917574 FLI917573:FLI917574 FVE917573:FVE917574 GFA917573:GFA917574 GOW917573:GOW917574 GYS917573:GYS917574 HIO917573:HIO917574 HSK917573:HSK917574 ICG917573:ICG917574 IMC917573:IMC917574 IVY917573:IVY917574 JFU917573:JFU917574 JPQ917573:JPQ917574 JZM917573:JZM917574 KJI917573:KJI917574 KTE917573:KTE917574 LDA917573:LDA917574 LMW917573:LMW917574 LWS917573:LWS917574 MGO917573:MGO917574 MQK917573:MQK917574 NAG917573:NAG917574 NKC917573:NKC917574 NTY917573:NTY917574 ODU917573:ODU917574 ONQ917573:ONQ917574 OXM917573:OXM917574 PHI917573:PHI917574 PRE917573:PRE917574 QBA917573:QBA917574 QKW917573:QKW917574 QUS917573:QUS917574 REO917573:REO917574 ROK917573:ROK917574 RYG917573:RYG917574 SIC917573:SIC917574 SRY917573:SRY917574 TBU917573:TBU917574 TLQ917573:TLQ917574 TVM917573:TVM917574 UFI917573:UFI917574 UPE917573:UPE917574 UZA917573:UZA917574 VIW917573:VIW917574 VSS917573:VSS917574 WCO917573:WCO917574 WMK917573:WMK917574 WWG917573:WWG917574 AB983109:AB983110 JU983109:JU983110 TQ983109:TQ983110 ADM983109:ADM983110 ANI983109:ANI983110 AXE983109:AXE983110 BHA983109:BHA983110 BQW983109:BQW983110 CAS983109:CAS983110 CKO983109:CKO983110 CUK983109:CUK983110 DEG983109:DEG983110 DOC983109:DOC983110 DXY983109:DXY983110 EHU983109:EHU983110 ERQ983109:ERQ983110 FBM983109:FBM983110 FLI983109:FLI983110 FVE983109:FVE983110 GFA983109:GFA983110 GOW983109:GOW983110 GYS983109:GYS983110 HIO983109:HIO983110 HSK983109:HSK983110 ICG983109:ICG983110 IMC983109:IMC983110 IVY983109:IVY983110 JFU983109:JFU983110 JPQ983109:JPQ983110 JZM983109:JZM983110 KJI983109:KJI983110 KTE983109:KTE983110 LDA983109:LDA983110 LMW983109:LMW983110 LWS983109:LWS983110 MGO983109:MGO983110 MQK983109:MQK983110 NAG983109:NAG983110 NKC983109:NKC983110 NTY983109:NTY983110 ODU983109:ODU983110 ONQ983109:ONQ983110 OXM983109:OXM983110 PHI983109:PHI983110 PRE983109:PRE983110 QBA983109:QBA983110 QKW983109:QKW983110 QUS983109:QUS983110 REO983109:REO983110 ROK983109:ROK983110 RYG983109:RYG983110 SIC983109:SIC983110 SRY983109:SRY983110 TBU983109:TBU983110 TLQ983109:TLQ983110 TVM983109:TVM983110 UFI983109:UFI983110 UPE983109:UPE983110 UZA983109:UZA983110 VIW983109:VIW983110 VSS983109:VSS983110 WCO983109:WCO983110 WMK983109:WMK983110 WWG983109:WWG983110 AD65605:AD65606 JX65605:JX65606 TT65605:TT65606 ADP65605:ADP65606 ANL65605:ANL65606 AXH65605:AXH65606 BHD65605:BHD65606 BQZ65605:BQZ65606 CAV65605:CAV65606 CKR65605:CKR65606 CUN65605:CUN65606 DEJ65605:DEJ65606 DOF65605:DOF65606 DYB65605:DYB65606 EHX65605:EHX65606 ERT65605:ERT65606 FBP65605:FBP65606 FLL65605:FLL65606 FVH65605:FVH65606 GFD65605:GFD65606 GOZ65605:GOZ65606 GYV65605:GYV65606 HIR65605:HIR65606 HSN65605:HSN65606 ICJ65605:ICJ65606 IMF65605:IMF65606 IWB65605:IWB65606 JFX65605:JFX65606 JPT65605:JPT65606 JZP65605:JZP65606 KJL65605:KJL65606 KTH65605:KTH65606 LDD65605:LDD65606 LMZ65605:LMZ65606 LWV65605:LWV65606 MGR65605:MGR65606 MQN65605:MQN65606 NAJ65605:NAJ65606 NKF65605:NKF65606 NUB65605:NUB65606 ODX65605:ODX65606 ONT65605:ONT65606 OXP65605:OXP65606 PHL65605:PHL65606 PRH65605:PRH65606 QBD65605:QBD65606 QKZ65605:QKZ65606 QUV65605:QUV65606 RER65605:RER65606 RON65605:RON65606 RYJ65605:RYJ65606 SIF65605:SIF65606 SSB65605:SSB65606 TBX65605:TBX65606 TLT65605:TLT65606 TVP65605:TVP65606 UFL65605:UFL65606 UPH65605:UPH65606 UZD65605:UZD65606 VIZ65605:VIZ65606 VSV65605:VSV65606 WCR65605:WCR65606 WMN65605:WMN65606 WWJ65605:WWJ65606 AD131141:AD131142 JX131141:JX131142 TT131141:TT131142 ADP131141:ADP131142 ANL131141:ANL131142 AXH131141:AXH131142 BHD131141:BHD131142 BQZ131141:BQZ131142 CAV131141:CAV131142 CKR131141:CKR131142 CUN131141:CUN131142 DEJ131141:DEJ131142 DOF131141:DOF131142 DYB131141:DYB131142 EHX131141:EHX131142 ERT131141:ERT131142 FBP131141:FBP131142 FLL131141:FLL131142 FVH131141:FVH131142 GFD131141:GFD131142 GOZ131141:GOZ131142 GYV131141:GYV131142 HIR131141:HIR131142 HSN131141:HSN131142 ICJ131141:ICJ131142 IMF131141:IMF131142 IWB131141:IWB131142 JFX131141:JFX131142 JPT131141:JPT131142 JZP131141:JZP131142 KJL131141:KJL131142 KTH131141:KTH131142 LDD131141:LDD131142 LMZ131141:LMZ131142 LWV131141:LWV131142 MGR131141:MGR131142 MQN131141:MQN131142 NAJ131141:NAJ131142 NKF131141:NKF131142 NUB131141:NUB131142 ODX131141:ODX131142 ONT131141:ONT131142 OXP131141:OXP131142 PHL131141:PHL131142 PRH131141:PRH131142 QBD131141:QBD131142 QKZ131141:QKZ131142 QUV131141:QUV131142 RER131141:RER131142 RON131141:RON131142 RYJ131141:RYJ131142 SIF131141:SIF131142 SSB131141:SSB131142 TBX131141:TBX131142 TLT131141:TLT131142 TVP131141:TVP131142 UFL131141:UFL131142 UPH131141:UPH131142 UZD131141:UZD131142 VIZ131141:VIZ131142 VSV131141:VSV131142 WCR131141:WCR131142 WMN131141:WMN131142 WWJ131141:WWJ131142 AD196677:AD196678 JX196677:JX196678 TT196677:TT196678 ADP196677:ADP196678 ANL196677:ANL196678 AXH196677:AXH196678 BHD196677:BHD196678 BQZ196677:BQZ196678 CAV196677:CAV196678 CKR196677:CKR196678 CUN196677:CUN196678 DEJ196677:DEJ196678 DOF196677:DOF196678 DYB196677:DYB196678 EHX196677:EHX196678 ERT196677:ERT196678 FBP196677:FBP196678 FLL196677:FLL196678 FVH196677:FVH196678 GFD196677:GFD196678 GOZ196677:GOZ196678 GYV196677:GYV196678 HIR196677:HIR196678 HSN196677:HSN196678 ICJ196677:ICJ196678 IMF196677:IMF196678 IWB196677:IWB196678 JFX196677:JFX196678 JPT196677:JPT196678 JZP196677:JZP196678 KJL196677:KJL196678 KTH196677:KTH196678 LDD196677:LDD196678 LMZ196677:LMZ196678 LWV196677:LWV196678 MGR196677:MGR196678 MQN196677:MQN196678 NAJ196677:NAJ196678 NKF196677:NKF196678 NUB196677:NUB196678 ODX196677:ODX196678 ONT196677:ONT196678 OXP196677:OXP196678 PHL196677:PHL196678 PRH196677:PRH196678 QBD196677:QBD196678 QKZ196677:QKZ196678 QUV196677:QUV196678 RER196677:RER196678 RON196677:RON196678 RYJ196677:RYJ196678 SIF196677:SIF196678 SSB196677:SSB196678 TBX196677:TBX196678 TLT196677:TLT196678 TVP196677:TVP196678 UFL196677:UFL196678 UPH196677:UPH196678 UZD196677:UZD196678 VIZ196677:VIZ196678 VSV196677:VSV196678 WCR196677:WCR196678 WMN196677:WMN196678 WWJ196677:WWJ196678 AD262213:AD262214 JX262213:JX262214 TT262213:TT262214 ADP262213:ADP262214 ANL262213:ANL262214 AXH262213:AXH262214 BHD262213:BHD262214 BQZ262213:BQZ262214 CAV262213:CAV262214 CKR262213:CKR262214 CUN262213:CUN262214 DEJ262213:DEJ262214 DOF262213:DOF262214 DYB262213:DYB262214 EHX262213:EHX262214 ERT262213:ERT262214 FBP262213:FBP262214 FLL262213:FLL262214 FVH262213:FVH262214 GFD262213:GFD262214 GOZ262213:GOZ262214 GYV262213:GYV262214 HIR262213:HIR262214 HSN262213:HSN262214 ICJ262213:ICJ262214 IMF262213:IMF262214 IWB262213:IWB262214 JFX262213:JFX262214 JPT262213:JPT262214 JZP262213:JZP262214 KJL262213:KJL262214 KTH262213:KTH262214 LDD262213:LDD262214 LMZ262213:LMZ262214 LWV262213:LWV262214 MGR262213:MGR262214 MQN262213:MQN262214 NAJ262213:NAJ262214 NKF262213:NKF262214 NUB262213:NUB262214 ODX262213:ODX262214 ONT262213:ONT262214 OXP262213:OXP262214 PHL262213:PHL262214 PRH262213:PRH262214 QBD262213:QBD262214 QKZ262213:QKZ262214 QUV262213:QUV262214 RER262213:RER262214 RON262213:RON262214 RYJ262213:RYJ262214 SIF262213:SIF262214 SSB262213:SSB262214 TBX262213:TBX262214 TLT262213:TLT262214 TVP262213:TVP262214 UFL262213:UFL262214 UPH262213:UPH262214 UZD262213:UZD262214 VIZ262213:VIZ262214 VSV262213:VSV262214 WCR262213:WCR262214 WMN262213:WMN262214 WWJ262213:WWJ262214 AD327749:AD327750 JX327749:JX327750 TT327749:TT327750 ADP327749:ADP327750 ANL327749:ANL327750 AXH327749:AXH327750 BHD327749:BHD327750 BQZ327749:BQZ327750 CAV327749:CAV327750 CKR327749:CKR327750 CUN327749:CUN327750 DEJ327749:DEJ327750 DOF327749:DOF327750 DYB327749:DYB327750 EHX327749:EHX327750 ERT327749:ERT327750 FBP327749:FBP327750 FLL327749:FLL327750 FVH327749:FVH327750 GFD327749:GFD327750 GOZ327749:GOZ327750 GYV327749:GYV327750 HIR327749:HIR327750 HSN327749:HSN327750 ICJ327749:ICJ327750 IMF327749:IMF327750 IWB327749:IWB327750 JFX327749:JFX327750 JPT327749:JPT327750 JZP327749:JZP327750 KJL327749:KJL327750 KTH327749:KTH327750 LDD327749:LDD327750 LMZ327749:LMZ327750 LWV327749:LWV327750 MGR327749:MGR327750 MQN327749:MQN327750 NAJ327749:NAJ327750 NKF327749:NKF327750 NUB327749:NUB327750 ODX327749:ODX327750 ONT327749:ONT327750 OXP327749:OXP327750 PHL327749:PHL327750 PRH327749:PRH327750 QBD327749:QBD327750 QKZ327749:QKZ327750 QUV327749:QUV327750 RER327749:RER327750 RON327749:RON327750 RYJ327749:RYJ327750 SIF327749:SIF327750 SSB327749:SSB327750 TBX327749:TBX327750 TLT327749:TLT327750 TVP327749:TVP327750 UFL327749:UFL327750 UPH327749:UPH327750 UZD327749:UZD327750 VIZ327749:VIZ327750 VSV327749:VSV327750 WCR327749:WCR327750 WMN327749:WMN327750 WWJ327749:WWJ327750 AD393285:AD393286 JX393285:JX393286 TT393285:TT393286 ADP393285:ADP393286 ANL393285:ANL393286 AXH393285:AXH393286 BHD393285:BHD393286 BQZ393285:BQZ393286 CAV393285:CAV393286 CKR393285:CKR393286 CUN393285:CUN393286 DEJ393285:DEJ393286 DOF393285:DOF393286 DYB393285:DYB393286 EHX393285:EHX393286 ERT393285:ERT393286 FBP393285:FBP393286 FLL393285:FLL393286 FVH393285:FVH393286 GFD393285:GFD393286 GOZ393285:GOZ393286 GYV393285:GYV393286 HIR393285:HIR393286 HSN393285:HSN393286 ICJ393285:ICJ393286 IMF393285:IMF393286 IWB393285:IWB393286 JFX393285:JFX393286 JPT393285:JPT393286 JZP393285:JZP393286 KJL393285:KJL393286 KTH393285:KTH393286 LDD393285:LDD393286 LMZ393285:LMZ393286 LWV393285:LWV393286 MGR393285:MGR393286 MQN393285:MQN393286 NAJ393285:NAJ393286 NKF393285:NKF393286 NUB393285:NUB393286 ODX393285:ODX393286 ONT393285:ONT393286 OXP393285:OXP393286 PHL393285:PHL393286 PRH393285:PRH393286 QBD393285:QBD393286 QKZ393285:QKZ393286 QUV393285:QUV393286 RER393285:RER393286 RON393285:RON393286 RYJ393285:RYJ393286 SIF393285:SIF393286 SSB393285:SSB393286 TBX393285:TBX393286 TLT393285:TLT393286 TVP393285:TVP393286 UFL393285:UFL393286 UPH393285:UPH393286 UZD393285:UZD393286 VIZ393285:VIZ393286 VSV393285:VSV393286 WCR393285:WCR393286 WMN393285:WMN393286 WWJ393285:WWJ393286 AD458821:AD458822 JX458821:JX458822 TT458821:TT458822 ADP458821:ADP458822 ANL458821:ANL458822 AXH458821:AXH458822 BHD458821:BHD458822 BQZ458821:BQZ458822 CAV458821:CAV458822 CKR458821:CKR458822 CUN458821:CUN458822 DEJ458821:DEJ458822 DOF458821:DOF458822 DYB458821:DYB458822 EHX458821:EHX458822 ERT458821:ERT458822 FBP458821:FBP458822 FLL458821:FLL458822 FVH458821:FVH458822 GFD458821:GFD458822 GOZ458821:GOZ458822 GYV458821:GYV458822 HIR458821:HIR458822 HSN458821:HSN458822 ICJ458821:ICJ458822 IMF458821:IMF458822 IWB458821:IWB458822 JFX458821:JFX458822 JPT458821:JPT458822 JZP458821:JZP458822 KJL458821:KJL458822 KTH458821:KTH458822 LDD458821:LDD458822 LMZ458821:LMZ458822 LWV458821:LWV458822 MGR458821:MGR458822 MQN458821:MQN458822 NAJ458821:NAJ458822 NKF458821:NKF458822 NUB458821:NUB458822 ODX458821:ODX458822 ONT458821:ONT458822 OXP458821:OXP458822 PHL458821:PHL458822 PRH458821:PRH458822 QBD458821:QBD458822 QKZ458821:QKZ458822 QUV458821:QUV458822 RER458821:RER458822 RON458821:RON458822 RYJ458821:RYJ458822 SIF458821:SIF458822 SSB458821:SSB458822 TBX458821:TBX458822 TLT458821:TLT458822 TVP458821:TVP458822 UFL458821:UFL458822 UPH458821:UPH458822 UZD458821:UZD458822 VIZ458821:VIZ458822 VSV458821:VSV458822 WCR458821:WCR458822 WMN458821:WMN458822 WWJ458821:WWJ458822 AD524357:AD524358 JX524357:JX524358 TT524357:TT524358 ADP524357:ADP524358 ANL524357:ANL524358 AXH524357:AXH524358 BHD524357:BHD524358 BQZ524357:BQZ524358 CAV524357:CAV524358 CKR524357:CKR524358 CUN524357:CUN524358 DEJ524357:DEJ524358 DOF524357:DOF524358 DYB524357:DYB524358 EHX524357:EHX524358 ERT524357:ERT524358 FBP524357:FBP524358 FLL524357:FLL524358 FVH524357:FVH524358 GFD524357:GFD524358 GOZ524357:GOZ524358 GYV524357:GYV524358 HIR524357:HIR524358 HSN524357:HSN524358 ICJ524357:ICJ524358 IMF524357:IMF524358 IWB524357:IWB524358 JFX524357:JFX524358 JPT524357:JPT524358 JZP524357:JZP524358 KJL524357:KJL524358 KTH524357:KTH524358 LDD524357:LDD524358 LMZ524357:LMZ524358 LWV524357:LWV524358 MGR524357:MGR524358 MQN524357:MQN524358 NAJ524357:NAJ524358 NKF524357:NKF524358 NUB524357:NUB524358 ODX524357:ODX524358 ONT524357:ONT524358 OXP524357:OXP524358 PHL524357:PHL524358 PRH524357:PRH524358 QBD524357:QBD524358 QKZ524357:QKZ524358 QUV524357:QUV524358 RER524357:RER524358 RON524357:RON524358 RYJ524357:RYJ524358 SIF524357:SIF524358 SSB524357:SSB524358 TBX524357:TBX524358 TLT524357:TLT524358 TVP524357:TVP524358 UFL524357:UFL524358 UPH524357:UPH524358 UZD524357:UZD524358 VIZ524357:VIZ524358 VSV524357:VSV524358 WCR524357:WCR524358 WMN524357:WMN524358 WWJ524357:WWJ524358 AD589893:AD589894 JX589893:JX589894 TT589893:TT589894 ADP589893:ADP589894 ANL589893:ANL589894 AXH589893:AXH589894 BHD589893:BHD589894 BQZ589893:BQZ589894 CAV589893:CAV589894 CKR589893:CKR589894 CUN589893:CUN589894 DEJ589893:DEJ589894 DOF589893:DOF589894 DYB589893:DYB589894 EHX589893:EHX589894 ERT589893:ERT589894 FBP589893:FBP589894 FLL589893:FLL589894 FVH589893:FVH589894 GFD589893:GFD589894 GOZ589893:GOZ589894 GYV589893:GYV589894 HIR589893:HIR589894 HSN589893:HSN589894 ICJ589893:ICJ589894 IMF589893:IMF589894 IWB589893:IWB589894 JFX589893:JFX589894 JPT589893:JPT589894 JZP589893:JZP589894 KJL589893:KJL589894 KTH589893:KTH589894 LDD589893:LDD589894 LMZ589893:LMZ589894 LWV589893:LWV589894 MGR589893:MGR589894 MQN589893:MQN589894 NAJ589893:NAJ589894 NKF589893:NKF589894 NUB589893:NUB589894 ODX589893:ODX589894 ONT589893:ONT589894 OXP589893:OXP589894 PHL589893:PHL589894 PRH589893:PRH589894 QBD589893:QBD589894 QKZ589893:QKZ589894 QUV589893:QUV589894 RER589893:RER589894 RON589893:RON589894 RYJ589893:RYJ589894 SIF589893:SIF589894 SSB589893:SSB589894 TBX589893:TBX589894 TLT589893:TLT589894 TVP589893:TVP589894 UFL589893:UFL589894 UPH589893:UPH589894 UZD589893:UZD589894 VIZ589893:VIZ589894 VSV589893:VSV589894 WCR589893:WCR589894 WMN589893:WMN589894 WWJ589893:WWJ589894 AD655429:AD655430 JX655429:JX655430 TT655429:TT655430 ADP655429:ADP655430 ANL655429:ANL655430 AXH655429:AXH655430 BHD655429:BHD655430 BQZ655429:BQZ655430 CAV655429:CAV655430 CKR655429:CKR655430 CUN655429:CUN655430 DEJ655429:DEJ655430 DOF655429:DOF655430 DYB655429:DYB655430 EHX655429:EHX655430 ERT655429:ERT655430 FBP655429:FBP655430 FLL655429:FLL655430 FVH655429:FVH655430 GFD655429:GFD655430 GOZ655429:GOZ655430 GYV655429:GYV655430 HIR655429:HIR655430 HSN655429:HSN655430 ICJ655429:ICJ655430 IMF655429:IMF655430 IWB655429:IWB655430 JFX655429:JFX655430 JPT655429:JPT655430 JZP655429:JZP655430 KJL655429:KJL655430 KTH655429:KTH655430 LDD655429:LDD655430 LMZ655429:LMZ655430 LWV655429:LWV655430 MGR655429:MGR655430 MQN655429:MQN655430 NAJ655429:NAJ655430 NKF655429:NKF655430 NUB655429:NUB655430 ODX655429:ODX655430 ONT655429:ONT655430 OXP655429:OXP655430 PHL655429:PHL655430 PRH655429:PRH655430 QBD655429:QBD655430 QKZ655429:QKZ655430 QUV655429:QUV655430 RER655429:RER655430 RON655429:RON655430 RYJ655429:RYJ655430 SIF655429:SIF655430 SSB655429:SSB655430 TBX655429:TBX655430 TLT655429:TLT655430 TVP655429:TVP655430 UFL655429:UFL655430 UPH655429:UPH655430 UZD655429:UZD655430 VIZ655429:VIZ655430 VSV655429:VSV655430 WCR655429:WCR655430 WMN655429:WMN655430 WWJ655429:WWJ655430 AD720965:AD720966 JX720965:JX720966 TT720965:TT720966 ADP720965:ADP720966 ANL720965:ANL720966 AXH720965:AXH720966 BHD720965:BHD720966 BQZ720965:BQZ720966 CAV720965:CAV720966 CKR720965:CKR720966 CUN720965:CUN720966 DEJ720965:DEJ720966 DOF720965:DOF720966 DYB720965:DYB720966 EHX720965:EHX720966 ERT720965:ERT720966 FBP720965:FBP720966 FLL720965:FLL720966 FVH720965:FVH720966 GFD720965:GFD720966 GOZ720965:GOZ720966 GYV720965:GYV720966 HIR720965:HIR720966 HSN720965:HSN720966 ICJ720965:ICJ720966 IMF720965:IMF720966 IWB720965:IWB720966 JFX720965:JFX720966 JPT720965:JPT720966 JZP720965:JZP720966 KJL720965:KJL720966 KTH720965:KTH720966 LDD720965:LDD720966 LMZ720965:LMZ720966 LWV720965:LWV720966 MGR720965:MGR720966 MQN720965:MQN720966 NAJ720965:NAJ720966 NKF720965:NKF720966 NUB720965:NUB720966 ODX720965:ODX720966 ONT720965:ONT720966 OXP720965:OXP720966 PHL720965:PHL720966 PRH720965:PRH720966 QBD720965:QBD720966 QKZ720965:QKZ720966 QUV720965:QUV720966 RER720965:RER720966 RON720965:RON720966 RYJ720965:RYJ720966 SIF720965:SIF720966 SSB720965:SSB720966 TBX720965:TBX720966 TLT720965:TLT720966 TVP720965:TVP720966 UFL720965:UFL720966 UPH720965:UPH720966 UZD720965:UZD720966 VIZ720965:VIZ720966 VSV720965:VSV720966 WCR720965:WCR720966 WMN720965:WMN720966 WWJ720965:WWJ720966 AD786501:AD786502 JX786501:JX786502 TT786501:TT786502 ADP786501:ADP786502 ANL786501:ANL786502 AXH786501:AXH786502 BHD786501:BHD786502 BQZ786501:BQZ786502 CAV786501:CAV786502 CKR786501:CKR786502 CUN786501:CUN786502 DEJ786501:DEJ786502 DOF786501:DOF786502 DYB786501:DYB786502 EHX786501:EHX786502 ERT786501:ERT786502 FBP786501:FBP786502 FLL786501:FLL786502 FVH786501:FVH786502 GFD786501:GFD786502 GOZ786501:GOZ786502 GYV786501:GYV786502 HIR786501:HIR786502 HSN786501:HSN786502 ICJ786501:ICJ786502 IMF786501:IMF786502 IWB786501:IWB786502 JFX786501:JFX786502 JPT786501:JPT786502 JZP786501:JZP786502 KJL786501:KJL786502 KTH786501:KTH786502 LDD786501:LDD786502 LMZ786501:LMZ786502 LWV786501:LWV786502 MGR786501:MGR786502 MQN786501:MQN786502 NAJ786501:NAJ786502 NKF786501:NKF786502 NUB786501:NUB786502 ODX786501:ODX786502 ONT786501:ONT786502 OXP786501:OXP786502 PHL786501:PHL786502 PRH786501:PRH786502 QBD786501:QBD786502 QKZ786501:QKZ786502 QUV786501:QUV786502 RER786501:RER786502 RON786501:RON786502 RYJ786501:RYJ786502 SIF786501:SIF786502 SSB786501:SSB786502 TBX786501:TBX786502 TLT786501:TLT786502 TVP786501:TVP786502 UFL786501:UFL786502 UPH786501:UPH786502 UZD786501:UZD786502 VIZ786501:VIZ786502 VSV786501:VSV786502 WCR786501:WCR786502 WMN786501:WMN786502 WWJ786501:WWJ786502 AD852037:AD852038 JX852037:JX852038 TT852037:TT852038 ADP852037:ADP852038 ANL852037:ANL852038 AXH852037:AXH852038 BHD852037:BHD852038 BQZ852037:BQZ852038 CAV852037:CAV852038 CKR852037:CKR852038 CUN852037:CUN852038 DEJ852037:DEJ852038 DOF852037:DOF852038 DYB852037:DYB852038 EHX852037:EHX852038 ERT852037:ERT852038 FBP852037:FBP852038 FLL852037:FLL852038 FVH852037:FVH852038 GFD852037:GFD852038 GOZ852037:GOZ852038 GYV852037:GYV852038 HIR852037:HIR852038 HSN852037:HSN852038 ICJ852037:ICJ852038 IMF852037:IMF852038 IWB852037:IWB852038 JFX852037:JFX852038 JPT852037:JPT852038 JZP852037:JZP852038 KJL852037:KJL852038 KTH852037:KTH852038 LDD852037:LDD852038 LMZ852037:LMZ852038 LWV852037:LWV852038 MGR852037:MGR852038 MQN852037:MQN852038 NAJ852037:NAJ852038 NKF852037:NKF852038 NUB852037:NUB852038 ODX852037:ODX852038 ONT852037:ONT852038 OXP852037:OXP852038 PHL852037:PHL852038 PRH852037:PRH852038 QBD852037:QBD852038 QKZ852037:QKZ852038 QUV852037:QUV852038 RER852037:RER852038 RON852037:RON852038 RYJ852037:RYJ852038 SIF852037:SIF852038 SSB852037:SSB852038 TBX852037:TBX852038 TLT852037:TLT852038 TVP852037:TVP852038 UFL852037:UFL852038 UPH852037:UPH852038 UZD852037:UZD852038 VIZ852037:VIZ852038 VSV852037:VSV852038 WCR852037:WCR852038 WMN852037:WMN852038 WWJ852037:WWJ852038 AD917573:AD917574 JX917573:JX917574 TT917573:TT917574 ADP917573:ADP917574 ANL917573:ANL917574 AXH917573:AXH917574 BHD917573:BHD917574 BQZ917573:BQZ917574 CAV917573:CAV917574 CKR917573:CKR917574 CUN917573:CUN917574 DEJ917573:DEJ917574 DOF917573:DOF917574 DYB917573:DYB917574 EHX917573:EHX917574 ERT917573:ERT917574 FBP917573:FBP917574 FLL917573:FLL917574 FVH917573:FVH917574 GFD917573:GFD917574 GOZ917573:GOZ917574 GYV917573:GYV917574 HIR917573:HIR917574 HSN917573:HSN917574 ICJ917573:ICJ917574 IMF917573:IMF917574 IWB917573:IWB917574 JFX917573:JFX917574 JPT917573:JPT917574 JZP917573:JZP917574 KJL917573:KJL917574 KTH917573:KTH917574 LDD917573:LDD917574 LMZ917573:LMZ917574 LWV917573:LWV917574 MGR917573:MGR917574 MQN917573:MQN917574 NAJ917573:NAJ917574 NKF917573:NKF917574 NUB917573:NUB917574 ODX917573:ODX917574 ONT917573:ONT917574 OXP917573:OXP917574 PHL917573:PHL917574 PRH917573:PRH917574 QBD917573:QBD917574 QKZ917573:QKZ917574 QUV917573:QUV917574 RER917573:RER917574 RON917573:RON917574 RYJ917573:RYJ917574 SIF917573:SIF917574 SSB917573:SSB917574 TBX917573:TBX917574 TLT917573:TLT917574 TVP917573:TVP917574 UFL917573:UFL917574 UPH917573:UPH917574 UZD917573:UZD917574 VIZ917573:VIZ917574 VSV917573:VSV917574 WCR917573:WCR917574 WMN917573:WMN917574 WWJ917573:WWJ917574 AD983109:AD983110 JX983109:JX983110 TT983109:TT983110 ADP983109:ADP983110 ANL983109:ANL983110 AXH983109:AXH983110 BHD983109:BHD983110 BQZ983109:BQZ983110 CAV983109:CAV983110 CKR983109:CKR983110 CUN983109:CUN983110 DEJ983109:DEJ983110 DOF983109:DOF983110 DYB983109:DYB983110 EHX983109:EHX983110 ERT983109:ERT983110 FBP983109:FBP983110 FLL983109:FLL983110 FVH983109:FVH983110 GFD983109:GFD983110 GOZ983109:GOZ983110 GYV983109:GYV983110 HIR983109:HIR983110 HSN983109:HSN983110 ICJ983109:ICJ983110 IMF983109:IMF983110 IWB983109:IWB983110 JFX983109:JFX983110 JPT983109:JPT983110 JZP983109:JZP983110 KJL983109:KJL983110 KTH983109:KTH983110 LDD983109:LDD983110 LMZ983109:LMZ983110 LWV983109:LWV983110 MGR983109:MGR983110 MQN983109:MQN983110 NAJ983109:NAJ983110 NKF983109:NKF983110 NUB983109:NUB983110 ODX983109:ODX983110 ONT983109:ONT983110 OXP983109:OXP983110 PHL983109:PHL983110 PRH983109:PRH983110 QBD983109:QBD983110 QKZ983109:QKZ983110 QUV983109:QUV983110 RER983109:RER983110 RON983109:RON983110 RYJ983109:RYJ983110 SIF983109:SIF983110 SSB983109:SSB983110 TBX983109:TBX983110 TLT983109:TLT983110 TVP983109:TVP983110 UFL983109:UFL983110 UPH983109:UPH983110 UZD983109:UZD983110 VIZ983109:VIZ983110 VSV983109:VSV983110 WCR983109:WCR983110 WMN983109:WMN983110 WWJ983109:WWJ983110 UOX15:UOX16 AF65605:AF65606 KA65605:KA65606 TW65605:TW65606 ADS65605:ADS65606 ANO65605:ANO65606 AXK65605:AXK65606 BHG65605:BHG65606 BRC65605:BRC65606 CAY65605:CAY65606 CKU65605:CKU65606 CUQ65605:CUQ65606 DEM65605:DEM65606 DOI65605:DOI65606 DYE65605:DYE65606 EIA65605:EIA65606 ERW65605:ERW65606 FBS65605:FBS65606 FLO65605:FLO65606 FVK65605:FVK65606 GFG65605:GFG65606 GPC65605:GPC65606 GYY65605:GYY65606 HIU65605:HIU65606 HSQ65605:HSQ65606 ICM65605:ICM65606 IMI65605:IMI65606 IWE65605:IWE65606 JGA65605:JGA65606 JPW65605:JPW65606 JZS65605:JZS65606 KJO65605:KJO65606 KTK65605:KTK65606 LDG65605:LDG65606 LNC65605:LNC65606 LWY65605:LWY65606 MGU65605:MGU65606 MQQ65605:MQQ65606 NAM65605:NAM65606 NKI65605:NKI65606 NUE65605:NUE65606 OEA65605:OEA65606 ONW65605:ONW65606 OXS65605:OXS65606 PHO65605:PHO65606 PRK65605:PRK65606 QBG65605:QBG65606 QLC65605:QLC65606 QUY65605:QUY65606 REU65605:REU65606 ROQ65605:ROQ65606 RYM65605:RYM65606 SII65605:SII65606 SSE65605:SSE65606 TCA65605:TCA65606 TLW65605:TLW65606 TVS65605:TVS65606 UFO65605:UFO65606 UPK65605:UPK65606 UZG65605:UZG65606 VJC65605:VJC65606 VSY65605:VSY65606 WCU65605:WCU65606 WMQ65605:WMQ65606 WWM65605:WWM65606 AF131141:AF131142 KA131141:KA131142 TW131141:TW131142 ADS131141:ADS131142 ANO131141:ANO131142 AXK131141:AXK131142 BHG131141:BHG131142 BRC131141:BRC131142 CAY131141:CAY131142 CKU131141:CKU131142 CUQ131141:CUQ131142 DEM131141:DEM131142 DOI131141:DOI131142 DYE131141:DYE131142 EIA131141:EIA131142 ERW131141:ERW131142 FBS131141:FBS131142 FLO131141:FLO131142 FVK131141:FVK131142 GFG131141:GFG131142 GPC131141:GPC131142 GYY131141:GYY131142 HIU131141:HIU131142 HSQ131141:HSQ131142 ICM131141:ICM131142 IMI131141:IMI131142 IWE131141:IWE131142 JGA131141:JGA131142 JPW131141:JPW131142 JZS131141:JZS131142 KJO131141:KJO131142 KTK131141:KTK131142 LDG131141:LDG131142 LNC131141:LNC131142 LWY131141:LWY131142 MGU131141:MGU131142 MQQ131141:MQQ131142 NAM131141:NAM131142 NKI131141:NKI131142 NUE131141:NUE131142 OEA131141:OEA131142 ONW131141:ONW131142 OXS131141:OXS131142 PHO131141:PHO131142 PRK131141:PRK131142 QBG131141:QBG131142 QLC131141:QLC131142 QUY131141:QUY131142 REU131141:REU131142 ROQ131141:ROQ131142 RYM131141:RYM131142 SII131141:SII131142 SSE131141:SSE131142 TCA131141:TCA131142 TLW131141:TLW131142 TVS131141:TVS131142 UFO131141:UFO131142 UPK131141:UPK131142 UZG131141:UZG131142 VJC131141:VJC131142 VSY131141:VSY131142 WCU131141:WCU131142 WMQ131141:WMQ131142 WWM131141:WWM131142 AF196677:AF196678 KA196677:KA196678 TW196677:TW196678 ADS196677:ADS196678 ANO196677:ANO196678 AXK196677:AXK196678 BHG196677:BHG196678 BRC196677:BRC196678 CAY196677:CAY196678 CKU196677:CKU196678 CUQ196677:CUQ196678 DEM196677:DEM196678 DOI196677:DOI196678 DYE196677:DYE196678 EIA196677:EIA196678 ERW196677:ERW196678 FBS196677:FBS196678 FLO196677:FLO196678 FVK196677:FVK196678 GFG196677:GFG196678 GPC196677:GPC196678 GYY196677:GYY196678 HIU196677:HIU196678 HSQ196677:HSQ196678 ICM196677:ICM196678 IMI196677:IMI196678 IWE196677:IWE196678 JGA196677:JGA196678 JPW196677:JPW196678 JZS196677:JZS196678 KJO196677:KJO196678 KTK196677:KTK196678 LDG196677:LDG196678 LNC196677:LNC196678 LWY196677:LWY196678 MGU196677:MGU196678 MQQ196677:MQQ196678 NAM196677:NAM196678 NKI196677:NKI196678 NUE196677:NUE196678 OEA196677:OEA196678 ONW196677:ONW196678 OXS196677:OXS196678 PHO196677:PHO196678 PRK196677:PRK196678 QBG196677:QBG196678 QLC196677:QLC196678 QUY196677:QUY196678 REU196677:REU196678 ROQ196677:ROQ196678 RYM196677:RYM196678 SII196677:SII196678 SSE196677:SSE196678 TCA196677:TCA196678 TLW196677:TLW196678 TVS196677:TVS196678 UFO196677:UFO196678 UPK196677:UPK196678 UZG196677:UZG196678 VJC196677:VJC196678 VSY196677:VSY196678 WCU196677:WCU196678 WMQ196677:WMQ196678 WWM196677:WWM196678 AF262213:AF262214 KA262213:KA262214 TW262213:TW262214 ADS262213:ADS262214 ANO262213:ANO262214 AXK262213:AXK262214 BHG262213:BHG262214 BRC262213:BRC262214 CAY262213:CAY262214 CKU262213:CKU262214 CUQ262213:CUQ262214 DEM262213:DEM262214 DOI262213:DOI262214 DYE262213:DYE262214 EIA262213:EIA262214 ERW262213:ERW262214 FBS262213:FBS262214 FLO262213:FLO262214 FVK262213:FVK262214 GFG262213:GFG262214 GPC262213:GPC262214 GYY262213:GYY262214 HIU262213:HIU262214 HSQ262213:HSQ262214 ICM262213:ICM262214 IMI262213:IMI262214 IWE262213:IWE262214 JGA262213:JGA262214 JPW262213:JPW262214 JZS262213:JZS262214 KJO262213:KJO262214 KTK262213:KTK262214 LDG262213:LDG262214 LNC262213:LNC262214 LWY262213:LWY262214 MGU262213:MGU262214 MQQ262213:MQQ262214 NAM262213:NAM262214 NKI262213:NKI262214 NUE262213:NUE262214 OEA262213:OEA262214 ONW262213:ONW262214 OXS262213:OXS262214 PHO262213:PHO262214 PRK262213:PRK262214 QBG262213:QBG262214 QLC262213:QLC262214 QUY262213:QUY262214 REU262213:REU262214 ROQ262213:ROQ262214 RYM262213:RYM262214 SII262213:SII262214 SSE262213:SSE262214 TCA262213:TCA262214 TLW262213:TLW262214 TVS262213:TVS262214 UFO262213:UFO262214 UPK262213:UPK262214 UZG262213:UZG262214 VJC262213:VJC262214 VSY262213:VSY262214 WCU262213:WCU262214 WMQ262213:WMQ262214 WWM262213:WWM262214 AF327749:AF327750 KA327749:KA327750 TW327749:TW327750 ADS327749:ADS327750 ANO327749:ANO327750 AXK327749:AXK327750 BHG327749:BHG327750 BRC327749:BRC327750 CAY327749:CAY327750 CKU327749:CKU327750 CUQ327749:CUQ327750 DEM327749:DEM327750 DOI327749:DOI327750 DYE327749:DYE327750 EIA327749:EIA327750 ERW327749:ERW327750 FBS327749:FBS327750 FLO327749:FLO327750 FVK327749:FVK327750 GFG327749:GFG327750 GPC327749:GPC327750 GYY327749:GYY327750 HIU327749:HIU327750 HSQ327749:HSQ327750 ICM327749:ICM327750 IMI327749:IMI327750 IWE327749:IWE327750 JGA327749:JGA327750 JPW327749:JPW327750 JZS327749:JZS327750 KJO327749:KJO327750 KTK327749:KTK327750 LDG327749:LDG327750 LNC327749:LNC327750 LWY327749:LWY327750 MGU327749:MGU327750 MQQ327749:MQQ327750 NAM327749:NAM327750 NKI327749:NKI327750 NUE327749:NUE327750 OEA327749:OEA327750 ONW327749:ONW327750 OXS327749:OXS327750 PHO327749:PHO327750 PRK327749:PRK327750 QBG327749:QBG327750 QLC327749:QLC327750 QUY327749:QUY327750 REU327749:REU327750 ROQ327749:ROQ327750 RYM327749:RYM327750 SII327749:SII327750 SSE327749:SSE327750 TCA327749:TCA327750 TLW327749:TLW327750 TVS327749:TVS327750 UFO327749:UFO327750 UPK327749:UPK327750 UZG327749:UZG327750 VJC327749:VJC327750 VSY327749:VSY327750 WCU327749:WCU327750 WMQ327749:WMQ327750 WWM327749:WWM327750 AF393285:AF393286 KA393285:KA393286 TW393285:TW393286 ADS393285:ADS393286 ANO393285:ANO393286 AXK393285:AXK393286 BHG393285:BHG393286 BRC393285:BRC393286 CAY393285:CAY393286 CKU393285:CKU393286 CUQ393285:CUQ393286 DEM393285:DEM393286 DOI393285:DOI393286 DYE393285:DYE393286 EIA393285:EIA393286 ERW393285:ERW393286 FBS393285:FBS393286 FLO393285:FLO393286 FVK393285:FVK393286 GFG393285:GFG393286 GPC393285:GPC393286 GYY393285:GYY393286 HIU393285:HIU393286 HSQ393285:HSQ393286 ICM393285:ICM393286 IMI393285:IMI393286 IWE393285:IWE393286 JGA393285:JGA393286 JPW393285:JPW393286 JZS393285:JZS393286 KJO393285:KJO393286 KTK393285:KTK393286 LDG393285:LDG393286 LNC393285:LNC393286 LWY393285:LWY393286 MGU393285:MGU393286 MQQ393285:MQQ393286 NAM393285:NAM393286 NKI393285:NKI393286 NUE393285:NUE393286 OEA393285:OEA393286 ONW393285:ONW393286 OXS393285:OXS393286 PHO393285:PHO393286 PRK393285:PRK393286 QBG393285:QBG393286 QLC393285:QLC393286 QUY393285:QUY393286 REU393285:REU393286 ROQ393285:ROQ393286 RYM393285:RYM393286 SII393285:SII393286 SSE393285:SSE393286 TCA393285:TCA393286 TLW393285:TLW393286 TVS393285:TVS393286 UFO393285:UFO393286 UPK393285:UPK393286 UZG393285:UZG393286 VJC393285:VJC393286 VSY393285:VSY393286 WCU393285:WCU393286 WMQ393285:WMQ393286 WWM393285:WWM393286 AF458821:AF458822 KA458821:KA458822 TW458821:TW458822 ADS458821:ADS458822 ANO458821:ANO458822 AXK458821:AXK458822 BHG458821:BHG458822 BRC458821:BRC458822 CAY458821:CAY458822 CKU458821:CKU458822 CUQ458821:CUQ458822 DEM458821:DEM458822 DOI458821:DOI458822 DYE458821:DYE458822 EIA458821:EIA458822 ERW458821:ERW458822 FBS458821:FBS458822 FLO458821:FLO458822 FVK458821:FVK458822 GFG458821:GFG458822 GPC458821:GPC458822 GYY458821:GYY458822 HIU458821:HIU458822 HSQ458821:HSQ458822 ICM458821:ICM458822 IMI458821:IMI458822 IWE458821:IWE458822 JGA458821:JGA458822 JPW458821:JPW458822 JZS458821:JZS458822 KJO458821:KJO458822 KTK458821:KTK458822 LDG458821:LDG458822 LNC458821:LNC458822 LWY458821:LWY458822 MGU458821:MGU458822 MQQ458821:MQQ458822 NAM458821:NAM458822 NKI458821:NKI458822 NUE458821:NUE458822 OEA458821:OEA458822 ONW458821:ONW458822 OXS458821:OXS458822 PHO458821:PHO458822 PRK458821:PRK458822 QBG458821:QBG458822 QLC458821:QLC458822 QUY458821:QUY458822 REU458821:REU458822 ROQ458821:ROQ458822 RYM458821:RYM458822 SII458821:SII458822 SSE458821:SSE458822 TCA458821:TCA458822 TLW458821:TLW458822 TVS458821:TVS458822 UFO458821:UFO458822 UPK458821:UPK458822 UZG458821:UZG458822 VJC458821:VJC458822 VSY458821:VSY458822 WCU458821:WCU458822 WMQ458821:WMQ458822 WWM458821:WWM458822 AF524357:AF524358 KA524357:KA524358 TW524357:TW524358 ADS524357:ADS524358 ANO524357:ANO524358 AXK524357:AXK524358 BHG524357:BHG524358 BRC524357:BRC524358 CAY524357:CAY524358 CKU524357:CKU524358 CUQ524357:CUQ524358 DEM524357:DEM524358 DOI524357:DOI524358 DYE524357:DYE524358 EIA524357:EIA524358 ERW524357:ERW524358 FBS524357:FBS524358 FLO524357:FLO524358 FVK524357:FVK524358 GFG524357:GFG524358 GPC524357:GPC524358 GYY524357:GYY524358 HIU524357:HIU524358 HSQ524357:HSQ524358 ICM524357:ICM524358 IMI524357:IMI524358 IWE524357:IWE524358 JGA524357:JGA524358 JPW524357:JPW524358 JZS524357:JZS524358 KJO524357:KJO524358 KTK524357:KTK524358 LDG524357:LDG524358 LNC524357:LNC524358 LWY524357:LWY524358 MGU524357:MGU524358 MQQ524357:MQQ524358 NAM524357:NAM524358 NKI524357:NKI524358 NUE524357:NUE524358 OEA524357:OEA524358 ONW524357:ONW524358 OXS524357:OXS524358 PHO524357:PHO524358 PRK524357:PRK524358 QBG524357:QBG524358 QLC524357:QLC524358 QUY524357:QUY524358 REU524357:REU524358 ROQ524357:ROQ524358 RYM524357:RYM524358 SII524357:SII524358 SSE524357:SSE524358 TCA524357:TCA524358 TLW524357:TLW524358 TVS524357:TVS524358 UFO524357:UFO524358 UPK524357:UPK524358 UZG524357:UZG524358 VJC524357:VJC524358 VSY524357:VSY524358 WCU524357:WCU524358 WMQ524357:WMQ524358 WWM524357:WWM524358 AF589893:AF589894 KA589893:KA589894 TW589893:TW589894 ADS589893:ADS589894 ANO589893:ANO589894 AXK589893:AXK589894 BHG589893:BHG589894 BRC589893:BRC589894 CAY589893:CAY589894 CKU589893:CKU589894 CUQ589893:CUQ589894 DEM589893:DEM589894 DOI589893:DOI589894 DYE589893:DYE589894 EIA589893:EIA589894 ERW589893:ERW589894 FBS589893:FBS589894 FLO589893:FLO589894 FVK589893:FVK589894 GFG589893:GFG589894 GPC589893:GPC589894 GYY589893:GYY589894 HIU589893:HIU589894 HSQ589893:HSQ589894 ICM589893:ICM589894 IMI589893:IMI589894 IWE589893:IWE589894 JGA589893:JGA589894 JPW589893:JPW589894 JZS589893:JZS589894 KJO589893:KJO589894 KTK589893:KTK589894 LDG589893:LDG589894 LNC589893:LNC589894 LWY589893:LWY589894 MGU589893:MGU589894 MQQ589893:MQQ589894 NAM589893:NAM589894 NKI589893:NKI589894 NUE589893:NUE589894 OEA589893:OEA589894 ONW589893:ONW589894 OXS589893:OXS589894 PHO589893:PHO589894 PRK589893:PRK589894 QBG589893:QBG589894 QLC589893:QLC589894 QUY589893:QUY589894 REU589893:REU589894 ROQ589893:ROQ589894 RYM589893:RYM589894 SII589893:SII589894 SSE589893:SSE589894 TCA589893:TCA589894 TLW589893:TLW589894 TVS589893:TVS589894 UFO589893:UFO589894 UPK589893:UPK589894 UZG589893:UZG589894 VJC589893:VJC589894 VSY589893:VSY589894 WCU589893:WCU589894 WMQ589893:WMQ589894 WWM589893:WWM589894 AF655429:AF655430 KA655429:KA655430 TW655429:TW655430 ADS655429:ADS655430 ANO655429:ANO655430 AXK655429:AXK655430 BHG655429:BHG655430 BRC655429:BRC655430 CAY655429:CAY655430 CKU655429:CKU655430 CUQ655429:CUQ655430 DEM655429:DEM655430 DOI655429:DOI655430 DYE655429:DYE655430 EIA655429:EIA655430 ERW655429:ERW655430 FBS655429:FBS655430 FLO655429:FLO655430 FVK655429:FVK655430 GFG655429:GFG655430 GPC655429:GPC655430 GYY655429:GYY655430 HIU655429:HIU655430 HSQ655429:HSQ655430 ICM655429:ICM655430 IMI655429:IMI655430 IWE655429:IWE655430 JGA655429:JGA655430 JPW655429:JPW655430 JZS655429:JZS655430 KJO655429:KJO655430 KTK655429:KTK655430 LDG655429:LDG655430 LNC655429:LNC655430 LWY655429:LWY655430 MGU655429:MGU655430 MQQ655429:MQQ655430 NAM655429:NAM655430 NKI655429:NKI655430 NUE655429:NUE655430 OEA655429:OEA655430 ONW655429:ONW655430 OXS655429:OXS655430 PHO655429:PHO655430 PRK655429:PRK655430 QBG655429:QBG655430 QLC655429:QLC655430 QUY655429:QUY655430 REU655429:REU655430 ROQ655429:ROQ655430 RYM655429:RYM655430 SII655429:SII655430 SSE655429:SSE655430 TCA655429:TCA655430 TLW655429:TLW655430 TVS655429:TVS655430 UFO655429:UFO655430 UPK655429:UPK655430 UZG655429:UZG655430 VJC655429:VJC655430 VSY655429:VSY655430 WCU655429:WCU655430 WMQ655429:WMQ655430 WWM655429:WWM655430 AF720965:AF720966 KA720965:KA720966 TW720965:TW720966 ADS720965:ADS720966 ANO720965:ANO720966 AXK720965:AXK720966 BHG720965:BHG720966 BRC720965:BRC720966 CAY720965:CAY720966 CKU720965:CKU720966 CUQ720965:CUQ720966 DEM720965:DEM720966 DOI720965:DOI720966 DYE720965:DYE720966 EIA720965:EIA720966 ERW720965:ERW720966 FBS720965:FBS720966 FLO720965:FLO720966 FVK720965:FVK720966 GFG720965:GFG720966 GPC720965:GPC720966 GYY720965:GYY720966 HIU720965:HIU720966 HSQ720965:HSQ720966 ICM720965:ICM720966 IMI720965:IMI720966 IWE720965:IWE720966 JGA720965:JGA720966 JPW720965:JPW720966 JZS720965:JZS720966 KJO720965:KJO720966 KTK720965:KTK720966 LDG720965:LDG720966 LNC720965:LNC720966 LWY720965:LWY720966 MGU720965:MGU720966 MQQ720965:MQQ720966 NAM720965:NAM720966 NKI720965:NKI720966 NUE720965:NUE720966 OEA720965:OEA720966 ONW720965:ONW720966 OXS720965:OXS720966 PHO720965:PHO720966 PRK720965:PRK720966 QBG720965:QBG720966 QLC720965:QLC720966 QUY720965:QUY720966 REU720965:REU720966 ROQ720965:ROQ720966 RYM720965:RYM720966 SII720965:SII720966 SSE720965:SSE720966 TCA720965:TCA720966 TLW720965:TLW720966 TVS720965:TVS720966 UFO720965:UFO720966 UPK720965:UPK720966 UZG720965:UZG720966 VJC720965:VJC720966 VSY720965:VSY720966 WCU720965:WCU720966 WMQ720965:WMQ720966 WWM720965:WWM720966 AF786501:AF786502 KA786501:KA786502 TW786501:TW786502 ADS786501:ADS786502 ANO786501:ANO786502 AXK786501:AXK786502 BHG786501:BHG786502 BRC786501:BRC786502 CAY786501:CAY786502 CKU786501:CKU786502 CUQ786501:CUQ786502 DEM786501:DEM786502 DOI786501:DOI786502 DYE786501:DYE786502 EIA786501:EIA786502 ERW786501:ERW786502 FBS786501:FBS786502 FLO786501:FLO786502 FVK786501:FVK786502 GFG786501:GFG786502 GPC786501:GPC786502 GYY786501:GYY786502 HIU786501:HIU786502 HSQ786501:HSQ786502 ICM786501:ICM786502 IMI786501:IMI786502 IWE786501:IWE786502 JGA786501:JGA786502 JPW786501:JPW786502 JZS786501:JZS786502 KJO786501:KJO786502 KTK786501:KTK786502 LDG786501:LDG786502 LNC786501:LNC786502 LWY786501:LWY786502 MGU786501:MGU786502 MQQ786501:MQQ786502 NAM786501:NAM786502 NKI786501:NKI786502 NUE786501:NUE786502 OEA786501:OEA786502 ONW786501:ONW786502 OXS786501:OXS786502 PHO786501:PHO786502 PRK786501:PRK786502 QBG786501:QBG786502 QLC786501:QLC786502 QUY786501:QUY786502 REU786501:REU786502 ROQ786501:ROQ786502 RYM786501:RYM786502 SII786501:SII786502 SSE786501:SSE786502 TCA786501:TCA786502 TLW786501:TLW786502 TVS786501:TVS786502 UFO786501:UFO786502 UPK786501:UPK786502 UZG786501:UZG786502 VJC786501:VJC786502 VSY786501:VSY786502 WCU786501:WCU786502 WMQ786501:WMQ786502 WWM786501:WWM786502 AF852037:AF852038 KA852037:KA852038 TW852037:TW852038 ADS852037:ADS852038 ANO852037:ANO852038 AXK852037:AXK852038 BHG852037:BHG852038 BRC852037:BRC852038 CAY852037:CAY852038 CKU852037:CKU852038 CUQ852037:CUQ852038 DEM852037:DEM852038 DOI852037:DOI852038 DYE852037:DYE852038 EIA852037:EIA852038 ERW852037:ERW852038 FBS852037:FBS852038 FLO852037:FLO852038 FVK852037:FVK852038 GFG852037:GFG852038 GPC852037:GPC852038 GYY852037:GYY852038 HIU852037:HIU852038 HSQ852037:HSQ852038 ICM852037:ICM852038 IMI852037:IMI852038 IWE852037:IWE852038 JGA852037:JGA852038 JPW852037:JPW852038 JZS852037:JZS852038 KJO852037:KJO852038 KTK852037:KTK852038 LDG852037:LDG852038 LNC852037:LNC852038 LWY852037:LWY852038 MGU852037:MGU852038 MQQ852037:MQQ852038 NAM852037:NAM852038 NKI852037:NKI852038 NUE852037:NUE852038 OEA852037:OEA852038 ONW852037:ONW852038 OXS852037:OXS852038 PHO852037:PHO852038 PRK852037:PRK852038 QBG852037:QBG852038 QLC852037:QLC852038 QUY852037:QUY852038 REU852037:REU852038 ROQ852037:ROQ852038 RYM852037:RYM852038 SII852037:SII852038 SSE852037:SSE852038 TCA852037:TCA852038 TLW852037:TLW852038 TVS852037:TVS852038 UFO852037:UFO852038 UPK852037:UPK852038 UZG852037:UZG852038 VJC852037:VJC852038 VSY852037:VSY852038 WCU852037:WCU852038 WMQ852037:WMQ852038 WWM852037:WWM852038 AF917573:AF917574 KA917573:KA917574 TW917573:TW917574 ADS917573:ADS917574 ANO917573:ANO917574 AXK917573:AXK917574 BHG917573:BHG917574 BRC917573:BRC917574 CAY917573:CAY917574 CKU917573:CKU917574 CUQ917573:CUQ917574 DEM917573:DEM917574 DOI917573:DOI917574 DYE917573:DYE917574 EIA917573:EIA917574 ERW917573:ERW917574 FBS917573:FBS917574 FLO917573:FLO917574 FVK917573:FVK917574 GFG917573:GFG917574 GPC917573:GPC917574 GYY917573:GYY917574 HIU917573:HIU917574 HSQ917573:HSQ917574 ICM917573:ICM917574 IMI917573:IMI917574 IWE917573:IWE917574 JGA917573:JGA917574 JPW917573:JPW917574 JZS917573:JZS917574 KJO917573:KJO917574 KTK917573:KTK917574 LDG917573:LDG917574 LNC917573:LNC917574 LWY917573:LWY917574 MGU917573:MGU917574 MQQ917573:MQQ917574 NAM917573:NAM917574 NKI917573:NKI917574 NUE917573:NUE917574 OEA917573:OEA917574 ONW917573:ONW917574 OXS917573:OXS917574 PHO917573:PHO917574 PRK917573:PRK917574 QBG917573:QBG917574 QLC917573:QLC917574 QUY917573:QUY917574 REU917573:REU917574 ROQ917573:ROQ917574 RYM917573:RYM917574 SII917573:SII917574 SSE917573:SSE917574 TCA917573:TCA917574 TLW917573:TLW917574 TVS917573:TVS917574 UFO917573:UFO917574 UPK917573:UPK917574 UZG917573:UZG917574 VJC917573:VJC917574 VSY917573:VSY917574 WCU917573:WCU917574 WMQ917573:WMQ917574 WWM917573:WWM917574 AF983109:AF983110 KA983109:KA983110 TW983109:TW983110 ADS983109:ADS983110 ANO983109:ANO983110 AXK983109:AXK983110 BHG983109:BHG983110 BRC983109:BRC983110 CAY983109:CAY983110 CKU983109:CKU983110 CUQ983109:CUQ983110 DEM983109:DEM983110 DOI983109:DOI983110 DYE983109:DYE983110 EIA983109:EIA983110 ERW983109:ERW983110 FBS983109:FBS983110 FLO983109:FLO983110 FVK983109:FVK983110 GFG983109:GFG983110 GPC983109:GPC983110 GYY983109:GYY983110 HIU983109:HIU983110 HSQ983109:HSQ983110 ICM983109:ICM983110 IMI983109:IMI983110 IWE983109:IWE983110 JGA983109:JGA983110 JPW983109:JPW983110 JZS983109:JZS983110 KJO983109:KJO983110 KTK983109:KTK983110 LDG983109:LDG983110 LNC983109:LNC983110 LWY983109:LWY983110 MGU983109:MGU983110 MQQ983109:MQQ983110 NAM983109:NAM983110 NKI983109:NKI983110 NUE983109:NUE983110 OEA983109:OEA983110 ONW983109:ONW983110 OXS983109:OXS983110 PHO983109:PHO983110 PRK983109:PRK983110 QBG983109:QBG983110 QLC983109:QLC983110 QUY983109:QUY983110 REU983109:REU983110 ROQ983109:ROQ983110 RYM983109:RYM983110 SII983109:SII983110 SSE983109:SSE983110 TCA983109:TCA983110 TLW983109:TLW983110 TVS983109:TVS983110 UFO983109:UFO983110 UPK983109:UPK983110 UZG983109:UZG983110 VJC983109:VJC983110 VSY983109:VSY983110 WCU983109:WCU983110 WMQ983109:WMQ983110 WWM983109:WWM983110 UYT15:UYT16 IG15:IG16 SC15:SC16 ABY15:ABY16 ALU15:ALU16 AVQ15:AVQ16 BFM15:BFM16 BPI15:BPI16 BZE15:BZE16 CJA15:CJA16 CSW15:CSW16 DCS15:DCS16 DMO15:DMO16 DWK15:DWK16 EGG15:EGG16 EQC15:EQC16 EZY15:EZY16 FJU15:FJU16 FTQ15:FTQ16 GDM15:GDM16 GNI15:GNI16 GXE15:GXE16 HHA15:HHA16 HQW15:HQW16 IAS15:IAS16 IKO15:IKO16 IUK15:IUK16 JEG15:JEG16 JOC15:JOC16 JXY15:JXY16 KHU15:KHU16 KRQ15:KRQ16 LBM15:LBM16 LLI15:LLI16 LVE15:LVE16 MFA15:MFA16 MOW15:MOW16 MYS15:MYS16 NIO15:NIO16 NSK15:NSK16 OCG15:OCG16 OMC15:OMC16 OVY15:OVY16 PFU15:PFU16 PPQ15:PPQ16 PZM15:PZM16 QJI15:QJI16 QTE15:QTE16 RDA15:RDA16 RMW15:RMW16 RWS15:RWS16 SGO15:SGO16 SQK15:SQK16 TAG15:TAG16 TKC15:TKC16 TTY15:TTY16 UDU15:UDU16 UNQ15:UNQ16 UXM15:UXM16 VHI15:VHI16 VRE15:VRE16 WBA15:WBA16 WKW15:WKW16 WUS15:WUS16 VIP15:VIP16 IJ15:IJ16 SF15:SF16 ACB15:ACB16 ALX15:ALX16 AVT15:AVT16 BFP15:BFP16 BPL15:BPL16 BZH15:BZH16 CJD15:CJD16 CSZ15:CSZ16 DCV15:DCV16 DMR15:DMR16 DWN15:DWN16 EGJ15:EGJ16 EQF15:EQF16 FAB15:FAB16 FJX15:FJX16 FTT15:FTT16 GDP15:GDP16 GNL15:GNL16 GXH15:GXH16 HHD15:HHD16 HQZ15:HQZ16 IAV15:IAV16 IKR15:IKR16 IUN15:IUN16 JEJ15:JEJ16 JOF15:JOF16 JYB15:JYB16 KHX15:KHX16 KRT15:KRT16 LBP15:LBP16 LLL15:LLL16 LVH15:LVH16 MFD15:MFD16 MOZ15:MOZ16 MYV15:MYV16 NIR15:NIR16 NSN15:NSN16 OCJ15:OCJ16 OMF15:OMF16 OWB15:OWB16 PFX15:PFX16 PPT15:PPT16 PZP15:PZP16 QJL15:QJL16 QTH15:QTH16 RDD15:RDD16 RMZ15:RMZ16 RWV15:RWV16 SGR15:SGR16 SQN15:SQN16 TAJ15:TAJ16 TKF15:TKF16 TUB15:TUB16 UDX15:UDX16 UNT15:UNT16 UXP15:UXP16 VHL15:VHL16 VRH15:VRH16 WBD15:WBD16 WKZ15:WKZ16 WUV15:WUV16 VSL15:VSL16 IM15:IM16 SI15:SI16 ACE15:ACE16 AMA15:AMA16 AVW15:AVW16 BFS15:BFS16 BPO15:BPO16 BZK15:BZK16 CJG15:CJG16 CTC15:CTC16 DCY15:DCY16 DMU15:DMU16 DWQ15:DWQ16 EGM15:EGM16 EQI15:EQI16 FAE15:FAE16 FKA15:FKA16 FTW15:FTW16 GDS15:GDS16 GNO15:GNO16 GXK15:GXK16 HHG15:HHG16 HRC15:HRC16 IAY15:IAY16 IKU15:IKU16 IUQ15:IUQ16 JEM15:JEM16 JOI15:JOI16 JYE15:JYE16 KIA15:KIA16 KRW15:KRW16 LBS15:LBS16 LLO15:LLO16 LVK15:LVK16 MFG15:MFG16 MPC15:MPC16 MYY15:MYY16 NIU15:NIU16 NSQ15:NSQ16 OCM15:OCM16 OMI15:OMI16 OWE15:OWE16 PGA15:PGA16 PPW15:PPW16 PZS15:PZS16 QJO15:QJO16 QTK15:QTK16 RDG15:RDG16 RNC15:RNC16 RWY15:RWY16 SGU15:SGU16 SQQ15:SQQ16 TAM15:TAM16 TKI15:TKI16 TUE15:TUE16 UEA15:UEA16 UNW15:UNW16 UXS15:UXS16 VHO15:VHO16 VRK15:VRK16 WBG15:WBG16 WLC15:WLC16 WUY15:WUY16 WCH15:WCH16 IP15:IP16 SL15:SL16 ACH15:ACH16 AMD15:AMD16 AVZ15:AVZ16 BFV15:BFV16 BPR15:BPR16 BZN15:BZN16 CJJ15:CJJ16 CTF15:CTF16 DDB15:DDB16 DMX15:DMX16 DWT15:DWT16 EGP15:EGP16 EQL15:EQL16 FAH15:FAH16 FKD15:FKD16 FTZ15:FTZ16 GDV15:GDV16 GNR15:GNR16 GXN15:GXN16 HHJ15:HHJ16 HRF15:HRF16 IBB15:IBB16 IKX15:IKX16 IUT15:IUT16 JEP15:JEP16 JOL15:JOL16 JYH15:JYH16 KID15:KID16 KRZ15:KRZ16 LBV15:LBV16 LLR15:LLR16 LVN15:LVN16 MFJ15:MFJ16 MPF15:MPF16 MZB15:MZB16 NIX15:NIX16 NST15:NST16 OCP15:OCP16 OML15:OML16 OWH15:OWH16 PGD15:PGD16 PPZ15:PPZ16 PZV15:PZV16 QJR15:QJR16 QTN15:QTN16 RDJ15:RDJ16 RNF15:RNF16 RXB15:RXB16 SGX15:SGX16 SQT15:SQT16 TAP15:TAP16 TKL15:TKL16 TUH15:TUH16 UED15:UED16 UNZ15:UNZ16 UXV15:UXV16 VHR15:VHR16 VRN15:VRN16 WBJ15:WBJ16 WLF15:WLF16 WVB15:WVB16 WMD15:WMD16 IS15:IS16 SO15:SO16 ACK15:ACK16 AMG15:AMG16 AWC15:AWC16 BFY15:BFY16 BPU15:BPU16 BZQ15:BZQ16 CJM15:CJM16 CTI15:CTI16 DDE15:DDE16 DNA15:DNA16 DWW15:DWW16 EGS15:EGS16 EQO15:EQO16 FAK15:FAK16 FKG15:FKG16 FUC15:FUC16 GDY15:GDY16 GNU15:GNU16 GXQ15:GXQ16 HHM15:HHM16 HRI15:HRI16 IBE15:IBE16 ILA15:ILA16 IUW15:IUW16 JES15:JES16 JOO15:JOO16 JYK15:JYK16 KIG15:KIG16 KSC15:KSC16 LBY15:LBY16 LLU15:LLU16 LVQ15:LVQ16 MFM15:MFM16 MPI15:MPI16 MZE15:MZE16 NJA15:NJA16 NSW15:NSW16 OCS15:OCS16 OMO15:OMO16 OWK15:OWK16 PGG15:PGG16 PQC15:PQC16 PZY15:PZY16 QJU15:QJU16 QTQ15:QTQ16 RDM15:RDM16 RNI15:RNI16 RXE15:RXE16 SHA15:SHA16 SQW15:SQW16 TAS15:TAS16 TKO15:TKO16 TUK15:TUK16 UEG15:UEG16 UOC15:UOC16 UXY15:UXY16 VHU15:VHU16 VRQ15:VRQ16 WBM15:WBM16 WLI15:WLI16 WVE15:WVE16 WVZ15:WVZ16 IV15:IV16 SR15:SR16 ACN15:ACN16 AMJ15:AMJ16 AWF15:AWF16 BGB15:BGB16 BPX15:BPX16 BZT15:BZT16 CJP15:CJP16 CTL15:CTL16 DDH15:DDH16 DND15:DND16 DWZ15:DWZ16 EGV15:EGV16 EQR15:EQR16 FAN15:FAN16 FKJ15:FKJ16 FUF15:FUF16 GEB15:GEB16 GNX15:GNX16 GXT15:GXT16 HHP15:HHP16 HRL15:HRL16 IBH15:IBH16 ILD15:ILD16 IUZ15:IUZ16 JEV15:JEV16 JOR15:JOR16 JYN15:JYN16 KIJ15:KIJ16 KSF15:KSF16 LCB15:LCB16 LLX15:LLX16 LVT15:LVT16 MFP15:MFP16 MPL15:MPL16 MZH15:MZH16 NJD15:NJD16 NSZ15:NSZ16 OCV15:OCV16 OMR15:OMR16 OWN15:OWN16 PGJ15:PGJ16 PQF15:PQF16 QAB15:QAB16 QJX15:QJX16 QTT15:QTT16 RDP15:RDP16 RNL15:RNL16 RXH15:RXH16 SHD15:SHD16 SQZ15:SQZ16 TAV15:TAV16 TKR15:TKR16 TUN15:TUN16 UEJ15:UEJ16 UOF15:UOF16 UYB15:UYB16 VHX15:VHX16 VRT15:VRT16 WBP15:WBP16 WLL15:WLL16 WVH15:WVH16 IY15:IY16 SU15:SU16 ACQ15:ACQ16 AMM15:AMM16 AWI15:AWI16 BGE15:BGE16 BQA15:BQA16 BZW15:BZW16 CJS15:CJS16 CTO15:CTO16 DDK15:DDK16 DNG15:DNG16 DXC15:DXC16 EGY15:EGY16 EQU15:EQU16 FAQ15:FAQ16 FKM15:FKM16 FUI15:FUI16 GEE15:GEE16 GOA15:GOA16 GXW15:GXW16 HHS15:HHS16 HRO15:HRO16 IBK15:IBK16 ILG15:ILG16 IVC15:IVC16 JEY15:JEY16 JOU15:JOU16 JYQ15:JYQ16 KIM15:KIM16 KSI15:KSI16 LCE15:LCE16 LMA15:LMA16 LVW15:LVW16 MFS15:MFS16 MPO15:MPO16 MZK15:MZK16 NJG15:NJG16 NTC15:NTC16 OCY15:OCY16 OMU15:OMU16 OWQ15:OWQ16 PGM15:PGM16 PQI15:PQI16 QAE15:QAE16 QKA15:QKA16 QTW15:QTW16 RDS15:RDS16 RNO15:RNO16 RXK15:RXK16 SHG15:SHG16 SRC15:SRC16 TAY15:TAY16 TKU15:TKU16 TUQ15:TUQ16 UEM15:UEM16 UOI15:UOI16 UYE15:UYE16 VIA15:VIA16 VRW15:VRW16 WBS15:WBS16 WLO15:WLO16 WVK15:WVK16 JB15:JB16 SX15:SX16 ACT15:ACT16 AMP15:AMP16 AWL15:AWL16 BGH15:BGH16 BQD15:BQD16 BZZ15:BZZ16 CJV15:CJV16 CTR15:CTR16 DDN15:DDN16 DNJ15:DNJ16 DXF15:DXF16 EHB15:EHB16 EQX15:EQX16 FAT15:FAT16 FKP15:FKP16 FUL15:FUL16 GEH15:GEH16 GOD15:GOD16 GXZ15:GXZ16 HHV15:HHV16 HRR15:HRR16 IBN15:IBN16 ILJ15:ILJ16 IVF15:IVF16 JFB15:JFB16 JOX15:JOX16 JYT15:JYT16 KIP15:KIP16 KSL15:KSL16 LCH15:LCH16 LMD15:LMD16 LVZ15:LVZ16 MFV15:MFV16 MPR15:MPR16 MZN15:MZN16 NJJ15:NJJ16 NTF15:NTF16 ODB15:ODB16 OMX15:OMX16 OWT15:OWT16 PGP15:PGP16 PQL15:PQL16 QAH15:QAH16 QKD15:QKD16 QTZ15:QTZ16 RDV15:RDV16 RNR15:RNR16 RXN15:RXN16 SHJ15:SHJ16 SRF15:SRF16 TBB15:TBB16 TKX15:TKX16 TUT15:TUT16 UEP15:UEP16 UOL15:UOL16 UYH15:UYH16 VID15:VID16 VRZ15:VRZ16 WBV15:WBV16 WLR15:WLR16 WVN15:WVN16 JE15:JE16 TA15:TA16 ACW15:ACW16 AMS15:AMS16 AWO15:AWO16 BGK15:BGK16 BQG15:BQG16 CAC15:CAC16 CJY15:CJY16 CTU15:CTU16 DDQ15:DDQ16 DNM15:DNM16 DXI15:DXI16 EHE15:EHE16 ERA15:ERA16 FAW15:FAW16 FKS15:FKS16 FUO15:FUO16 GEK15:GEK16 GOG15:GOG16 GYC15:GYC16 HHY15:HHY16 HRU15:HRU16 IBQ15:IBQ16 ILM15:ILM16 IVI15:IVI16 JFE15:JFE16 JPA15:JPA16 JYW15:JYW16 KIS15:KIS16 KSO15:KSO16 LCK15:LCK16 LMG15:LMG16 LWC15:LWC16 MFY15:MFY16 MPU15:MPU16 MZQ15:MZQ16 NJM15:NJM16 NTI15:NTI16 ODE15:ODE16 ONA15:ONA16 OWW15:OWW16 PGS15:PGS16 PQO15:PQO16 QAK15:QAK16 QKG15:QKG16 QUC15:QUC16 RDY15:RDY16 RNU15:RNU16 RXQ15:RXQ16 SHM15:SHM16 SRI15:SRI16 TBE15:TBE16 TLA15:TLA16 TUW15:TUW16 UES15:UES16 UOO15:UOO16 UYK15:UYK16 VIG15:VIG16 VSC15:VSC16 WBY15:WBY16 WLU15:WLU16 WVQ15:WVQ16 JH15:JH16 TD15:TD16 ACZ15:ACZ16 AMV15:AMV16 AWR15:AWR16 BGN15:BGN16 BQJ15:BQJ16 CAF15:CAF16 CKB15:CKB16 CTX15:CTX16 DDT15:DDT16 DNP15:DNP16 DXL15:DXL16 EHH15:EHH16 ERD15:ERD16 FAZ15:FAZ16 FKV15:FKV16 FUR15:FUR16 GEN15:GEN16 GOJ15:GOJ16 GYF15:GYF16 HIB15:HIB16 HRX15:HRX16 IBT15:IBT16 ILP15:ILP16 IVL15:IVL16 JFH15:JFH16 JPD15:JPD16 JYZ15:JYZ16 KIV15:KIV16 KSR15:KSR16 LCN15:LCN16 LMJ15:LMJ16 LWF15:LWF16 MGB15:MGB16 MPX15:MPX16 MZT15:MZT16 NJP15:NJP16 NTL15:NTL16 ODH15:ODH16 OND15:OND16 OWZ15:OWZ16 PGV15:PGV16 PQR15:PQR16 QAN15:QAN16 QKJ15:QKJ16 QUF15:QUF16 REB15:REB16 RNX15:RNX16 RXT15:RXT16 SHP15:SHP16 SRL15:SRL16 TBH15:TBH16 TLD15:TLD16 TUZ15:TUZ16 UEV15:UEV16 UOR15:UOR16 UYN15:UYN16 VIJ15:VIJ16 VSF15:VSF16 WCB15:WCB16 WLX15:WLX16 WVT15:WVT16 JK15:JK16 TG15:TG16 ADC15:ADC16 AMY15:AMY16 AWU15:AWU16 BGQ15:BGQ16 BQM15:BQM16 CAI15:CAI16 CKE15:CKE16 CUA15:CUA16 DDW15:DDW16 DNS15:DNS16 DXO15:DXO16 EHK15:EHK16 ERG15:ERG16 FBC15:FBC16 FKY15:FKY16 FUU15:FUU16 GEQ15:GEQ16 GOM15:GOM16 GYI15:GYI16 HIE15:HIE16 HSA15:HSA16 IBW15:IBW16 ILS15:ILS16 IVO15:IVO16 JFK15:JFK16 JPG15:JPG16 JZC15:JZC16 KIY15:KIY16 KSU15:KSU16 LCQ15:LCQ16 LMM15:LMM16 LWI15:LWI16 MGE15:MGE16 MQA15:MQA16 MZW15:MZW16 NJS15:NJS16 NTO15:NTO16 ODK15:ODK16 ONG15:ONG16 OXC15:OXC16 PGY15:PGY16 PQU15:PQU16 QAQ15:QAQ16 QKM15:QKM16 QUI15:QUI16 REE15:REE16 ROA15:ROA16 RXW15:RXW16 SHS15:SHS16 SRO15:SRO16 TBK15:TBK16 TLG15:TLG16 TVC15:TVC16 UEY15:UEY16 UOU15:UOU16 UYQ15:UYQ16 VIM15:VIM16 VSI15:VSI16 WCE15:WCE16 WMA15:WMA16 WVW15:WVW16 JN15:JN16 TJ15:TJ16 ADF15:ADF16 ANB15:ANB16 AWX15:AWX16 BGT15:BGT16 BQP15:BQP16 CAL15:CAL16 CKH15:CKH16 CUD15:CUD16 DDZ15:DDZ16 DNV15:DNV16 DXR15:DXR16 EHN15:EHN16 ERJ15:ERJ16 FBF15:FBF16 FLB15:FLB16 FUX15:FUX16 GET15:GET16 GOP15:GOP16 GYL15:GYL16 HIH15:HIH16 HSD15:HSD16 IBZ15:IBZ16 ILV15:ILV16 IVR15:IVR16 JFN15:JFN16 JPJ15:JPJ16 JZF15:JZF16 KJB15:KJB16 KSX15:KSX16 LCT15:LCT16 LMP15:LMP16 LWL15:LWL16 MGH15:MGH16 MQD15:MQD16 MZZ15:MZZ16 NJV15:NJV16 NTR15:NTR16 ODN15:ODN16 ONJ15:ONJ16 OXF15:OXF16 PHB15:PHB16 PQX15:PQX16 QAT15:QAT16 QKP15:QKP16 QUL15:QUL16 REH15:REH16 ROD15:ROD16 RXZ15:RXZ16 SHV15:SHV16 SRR15:SRR16 TBN15:TBN16 TLJ15:TLJ16 TVF15:TVF16 UFB15:UFB16 UOX21 UYT21 IG21 SC21 ABY21 ALU21 AVQ21 BFM21 BPI21 BZE21 CJA21 CSW21 DCS21 DMO21 DWK21 EGG21 EQC21 EZY21 FJU21 FTQ21 GDM21 GNI21 GXE21 HHA21 HQW21 IAS21 IKO21 IUK21 JEG21 JOC21 JXY21 KHU21 KRQ21 LBM21 LLI21 LVE21 MFA21 MOW21 MYS21 NIO21 NSK21 OCG21 OMC21 OVY21 PFU21 PPQ21 PZM21 QJI21 QTE21 RDA21 RMW21 RWS21 SGO21 SQK21 TAG21 TKC21 TTY21 UDU21 UNQ21 UXM21 VHI21 VRE21 WBA21 WKW21 WUS21 VIP21 IJ21 SF21 ACB21 ALX21 AVT21 BFP21 BPL21 BZH21 CJD21 CSZ21 DCV21 DMR21 DWN21 EGJ21 EQF21 FAB21 FJX21 FTT21 GDP21 GNL21 GXH21 HHD21 HQZ21 IAV21 IKR21 IUN21 JEJ21 JOF21 JYB21 KHX21 KRT21 LBP21 LLL21 LVH21 MFD21 MOZ21 MYV21 NIR21 NSN21 OCJ21 OMF21 OWB21 PFX21 PPT21 PZP21 QJL21 QTH21 RDD21 RMZ21 RWV21 SGR21 SQN21 TAJ21 TKF21 TUB21 UDX21 UNT21 UXP21 VHL21 VRH21 WBD21 WKZ21 WUV21 VSL21 IM21 SI21 ACE21 AMA21 AVW21 BFS21 BPO21 BZK21 CJG21 CTC21 DCY21 DMU21 DWQ21 EGM21 EQI21 FAE21 FKA21 FTW21 GDS21 GNO21 GXK21 HHG21 HRC21 IAY21 IKU21 IUQ21 JEM21 JOI21 JYE21 KIA21 KRW21 LBS21 LLO21 LVK21 MFG21 MPC21 MYY21 NIU21 NSQ21 OCM21 OMI21 OWE21 PGA21 PPW21 PZS21 QJO21 QTK21 RDG21 RNC21 RWY21 SGU21 SQQ21 TAM21 TKI21 TUE21 UEA21 UNW21 UXS21 VHO21 VRK21 WBG21 WLC21 WUY21 WCH21 IP21 SL21 ACH21 AMD21 AVZ21 BFV21 BPR21 BZN21 CJJ21 CTF21 DDB21 DMX21 DWT21 EGP21 EQL21 FAH21 FKD21 FTZ21 GDV21 GNR21 GXN21 HHJ21 HRF21 IBB21 IKX21 IUT21 JEP21 JOL21 JYH21 KID21 KRZ21 LBV21 LLR21 LVN21 MFJ21 MPF21 MZB21 NIX21 NST21 OCP21 OML21 OWH21 PGD21 PPZ21 PZV21 QJR21 QTN21 RDJ21 RNF21 RXB21 SGX21 SQT21 TAP21 TKL21 TUH21 UED21 UNZ21 UXV21 VHR21 VRN21 WBJ21 WLF21 WVB21 WMD21 IS21 SO21 ACK21 AMG21 AWC21 BFY21 BPU21 BZQ21 CJM21 CTI21 DDE21 DNA21 DWW21 EGS21 EQO21 FAK21 FKG21 FUC21 GDY21 GNU21 GXQ21 HHM21 HRI21 IBE21 ILA21 IUW21 JES21 JOO21 JYK21 KIG21 KSC21 LBY21 LLU21 LVQ21 MFM21 MPI21 MZE21 NJA21 NSW21 OCS21 OMO21 OWK21 PGG21 PQC21 PZY21 QJU21 QTQ21 RDM21 RNI21 RXE21 SHA21 SQW21 TAS21 TKO21 TUK21 UEG21 UOC21 UXY21 VHU21 VRQ21 WBM21 WLI21 WVE21 WVZ21 IV21 SR21 ACN21 AMJ21 AWF21 BGB21 BPX21 BZT21 CJP21 CTL21 DDH21 DND21 DWZ21 EGV21 EQR21 FAN21 FKJ21 FUF21 GEB21 GNX21 GXT21 HHP21 HRL21 IBH21 ILD21 IUZ21 JEV21 JOR21 JYN21 KIJ21 KSF21 LCB21 LLX21 LVT21 MFP21 MPL21 MZH21 NJD21 NSZ21 OCV21 OMR21 OWN21 PGJ21 PQF21 QAB21 QJX21 QTT21 RDP21 RNL21 RXH21 SHD21 SQZ21 TAV21 TKR21 TUN21 UEJ21 UOF21 UYB21 VHX21 VRT21 WBP21 WLL21 WVH21 IY21 SU21 ACQ21 AMM21 AWI21 BGE21 BQA21 BZW21 CJS21 CTO21 DDK21 DNG21 DXC21 EGY21 EQU21 FAQ21 FKM21 FUI21 GEE21 GOA21 GXW21 HHS21 HRO21 IBK21 ILG21 IVC21 JEY21 JOU21 JYQ21 KIM21 KSI21 LCE21 LMA21 LVW21 MFS21 MPO21 MZK21 NJG21 NTC21 OCY21 OMU21 OWQ21 PGM21 PQI21 QAE21 QKA21 QTW21 RDS21 RNO21 RXK21 SHG21 SRC21 TAY21 TKU21 TUQ21 UEM21 UOI21 UYE21 VIA21 VRW21 WBS21 WLO21 WVK21 JB21 SX21 ACT21 AMP21 AWL21 BGH21 BQD21 BZZ21 CJV21 CTR21 DDN21 DNJ21 DXF21 EHB21 EQX21 FAT21 FKP21 FUL21 GEH21 GOD21 GXZ21 HHV21 HRR21 IBN21 ILJ21 IVF21 JFB21 JOX21 JYT21 KIP21 KSL21 LCH21 LMD21 LVZ21 MFV21 MPR21 MZN21 NJJ21 NTF21 ODB21 OMX21 OWT21 PGP21 PQL21 QAH21 QKD21 QTZ21 RDV21 RNR21 RXN21 SHJ21 SRF21 TBB21 TKX21 TUT21 UEP21 UOL21 UYH21 VID21 VRZ21 WBV21 WLR21 WVN21 JE21 TA21 ACW21 AMS21 AWO21 BGK21 BQG21 CAC21 CJY21 CTU21 DDQ21 DNM21 DXI21 EHE21 ERA21 FAW21 FKS21 FUO21 GEK21 GOG21 GYC21 HHY21 HRU21 IBQ21 ILM21 IVI21 JFE21 JPA21 JYW21 KIS21 KSO21 LCK21 LMG21 LWC21 MFY21 MPU21 MZQ21 NJM21 NTI21 ODE21 ONA21 OWW21 PGS21 PQO21 QAK21 QKG21 QUC21 RDY21 RNU21 RXQ21 SHM21 SRI21 TBE21 TLA21 TUW21 UES21 UOO21 UYK21 VIG21 VSC21 WBY21 WLU21 WVQ21 JH21 TD21 ACZ21 AMV21 AWR21 BGN21 BQJ21 CAF21 CKB21 CTX21 DDT21 DNP21 DXL21 EHH21 ERD21 FAZ21 FKV21 FUR21 GEN21 GOJ21 GYF21 HIB21 HRX21 IBT21 ILP21 IVL21 JFH21 JPD21 JYZ21 KIV21 KSR21 LCN21 LMJ21 LWF21 MGB21 MPX21 MZT21 NJP21 NTL21 ODH21 OND21 OWZ21 PGV21 PQR21 QAN21 QKJ21 QUF21 REB21 RNX21 RXT21 SHP21 SRL21 TBH21 TLD21 TUZ21 UEV21 UOR21 UYN21 VIJ21 VSF21 WCB21 WLX21 WVT21 JK21 TG21 ADC21 AMY21 AWU21 BGQ21 BQM21 CAI21 CKE21 CUA21 DDW21 DNS21 DXO21 EHK21 ERG21 FBC21 FKY21 FUU21 GEQ21 GOM21 GYI21 HIE21 HSA21 IBW21 ILS21 IVO21 JFK21 JPG21 JZC21 KIY21 KSU21 LCQ21 LMM21 LWI21 MGE21 MQA21 MZW21 NJS21 NTO21 ODK21 ONG21 OXC21 PGY21 PQU21 QAQ21 QKM21 QUI21 REE21 ROA21 RXW21 SHS21 SRO21 TBK21 TLG21 TVC21 UEY21 UOU21 UYQ21 VIM21 VSI21 WCE21 WMA21 WVW21 JN21 TJ21 ADF21 ANB21 AWX21 BGT21 BQP21 CAL21 CKH21 CUD21 DDZ21 DNV21 DXR21 EHN21 ERJ21 FBF21 FLB21 FUX21 GET21 GOP21 GYL21 HIH21 HSD21 IBZ21 ILV21 IVR21 JFN21 JPJ21 JZF21 KJB21 KSX21 LCT21 LMP21 LWL21 MGH21 MQD21 MZZ21 NJV21 NTR21 ODN21 ONJ21 OXF21 PHB21 PQX21 QAT21 QKP21 QUL21 REH21 ROD21 RXZ21 SHV21 SRR21 TBN21 TLJ21 TVF21 UFB21 UOX26 UYT26 IG26 SC26 ABY26 ALU26 AVQ26 BFM26 BPI26 BZE26 CJA26 CSW26 DCS26 DMO26 DWK26 EGG26 EQC26 EZY26 FJU26 FTQ26 GDM26 GNI26 GXE26 HHA26 HQW26 IAS26 IKO26 IUK26 JEG26 JOC26 JXY26 KHU26 KRQ26 LBM26 LLI26 LVE26 MFA26 MOW26 MYS26 NIO26 NSK26 OCG26 OMC26 OVY26 PFU26 PPQ26 PZM26 QJI26 QTE26 RDA26 RMW26 RWS26 SGO26 SQK26 TAG26 TKC26 TTY26 UDU26 UNQ26 UXM26 VHI26 VRE26 WBA26 WKW26 WUS26 VIP26 IJ26 SF26 ACB26 ALX26 AVT26 BFP26 BPL26 BZH26 CJD26 CSZ26 DCV26 DMR26 DWN26 EGJ26 EQF26 FAB26 FJX26 FTT26 GDP26 GNL26 GXH26 HHD26 HQZ26 IAV26 IKR26 IUN26 JEJ26 JOF26 JYB26 KHX26 KRT26 LBP26 LLL26 LVH26 MFD26 MOZ26 MYV26 NIR26 NSN26 OCJ26 OMF26 OWB26 PFX26 PPT26 PZP26 QJL26 QTH26 RDD26 RMZ26 RWV26 SGR26 SQN26 TAJ26 TKF26 TUB26 UDX26 UNT26 UXP26 VHL26 VRH26 WBD26 WKZ26 WUV26 VSL26 IM26 SI26 ACE26 AMA26 AVW26 BFS26 BPO26 BZK26 CJG26 CTC26 DCY26 DMU26 DWQ26 EGM26 EQI26 FAE26 FKA26 FTW26 GDS26 GNO26 GXK26 HHG26 HRC26 IAY26 IKU26 IUQ26 JEM26 JOI26 JYE26 KIA26 KRW26 LBS26 LLO26 LVK26 MFG26 MPC26 MYY26 NIU26 NSQ26 OCM26 OMI26 OWE26 PGA26 PPW26 PZS26 QJO26 QTK26 RDG26 RNC26 RWY26 SGU26 SQQ26 TAM26 TKI26 TUE26 UEA26 UNW26 UXS26 VHO26 VRK26 WBG26 WLC26 WUY26 WCH26 IP26 SL26 ACH26 AMD26 AVZ26 BFV26 BPR26 BZN26 CJJ26 CTF26 DDB26 DMX26 DWT26 EGP26 EQL26 FAH26 FKD26 FTZ26 GDV26 GNR26 GXN26 HHJ26 HRF26 IBB26 IKX26 IUT26 JEP26 JOL26 JYH26 KID26 KRZ26 LBV26 LLR26 LVN26 MFJ26 MPF26 MZB26 NIX26 NST26 OCP26 OML26 OWH26 PGD26 PPZ26 PZV26 QJR26 QTN26 RDJ26 RNF26 RXB26 SGX26 SQT26 TAP26 TKL26 TUH26 UED26 UNZ26 UXV26 VHR26 VRN26 WBJ26 WLF26 WVB26 WMD26 IS26 SO26 ACK26 AMG26 AWC26 BFY26 BPU26 BZQ26 CJM26 CTI26 DDE26 DNA26 DWW26 EGS26 EQO26 FAK26 FKG26 FUC26 GDY26 GNU26 GXQ26 HHM26 HRI26 IBE26 ILA26 IUW26 JES26 JOO26 JYK26 KIG26 KSC26 LBY26 LLU26 LVQ26 MFM26 MPI26 MZE26 NJA26 NSW26 OCS26 OMO26 OWK26 PGG26 PQC26 PZY26 QJU26 QTQ26 RDM26 RNI26 RXE26 SHA26 SQW26 TAS26 TKO26 TUK26 UEG26 UOC26 UXY26 VHU26 VRQ26 WBM26 WLI26 WVE26 WVZ26 IV26 SR26 ACN26 AMJ26 AWF26 BGB26 BPX26 BZT26 CJP26 CTL26 DDH26 DND26 DWZ26 EGV26 EQR26 FAN26 FKJ26 FUF26 GEB26 GNX26 GXT26 HHP26 HRL26 IBH26 ILD26 IUZ26 JEV26 JOR26 JYN26 KIJ26 KSF26 LCB26 LLX26 LVT26 MFP26 MPL26 MZH26 NJD26 NSZ26 OCV26 OMR26 OWN26 PGJ26 PQF26 QAB26 QJX26 QTT26 RDP26 RNL26 RXH26 SHD26 SQZ26 TAV26 TKR26 TUN26 UEJ26 UOF26 UYB26 VHX26 VRT26 WBP26 WLL26 WVH26 IY26 SU26 ACQ26 AMM26 AWI26 BGE26 BQA26 BZW26 CJS26 CTO26 DDK26 DNG26 DXC26 EGY26 EQU26 FAQ26 FKM26 FUI26 GEE26 GOA26 GXW26 HHS26 HRO26 IBK26 ILG26 IVC26 JEY26 JOU26 JYQ26 KIM26 KSI26 LCE26 LMA26 LVW26 MFS26 MPO26 MZK26 NJG26 NTC26 OCY26 OMU26 OWQ26 PGM26 PQI26 QAE26 QKA26 QTW26 RDS26 RNO26 RXK26 SHG26 SRC26 TAY26 TKU26 TUQ26 UEM26 UOI26 UYE26 VIA26 VRW26 WBS26 WLO26 WVK26 JB26 SX26 ACT26 AMP26 AWL26 BGH26 BQD26 BZZ26 CJV26 CTR26 DDN26 DNJ26 DXF26 EHB26 EQX26 FAT26 FKP26 FUL26 GEH26 GOD26 GXZ26 HHV26 HRR26 IBN26 ILJ26 IVF26 JFB26 JOX26 JYT26 KIP26 KSL26 LCH26 LMD26 LVZ26 MFV26 MPR26 MZN26 NJJ26 NTF26 ODB26 OMX26 OWT26 PGP26 PQL26 QAH26 QKD26 QTZ26 RDV26 RNR26 RXN26 SHJ26 SRF26 TBB26 TKX26 TUT26 UEP26 UOL26 UYH26 VID26 VRZ26 WBV26 WLR26 WVN26 JE26 TA26 ACW26 AMS26 AWO26 BGK26 BQG26 CAC26 CJY26 CTU26 DDQ26 DNM26 DXI26 EHE26 ERA26 FAW26 FKS26 FUO26 GEK26 GOG26 GYC26 HHY26 HRU26 IBQ26 ILM26 IVI26 JFE26 JPA26 JYW26 KIS26 KSO26 LCK26 LMG26 LWC26 MFY26 MPU26 MZQ26 NJM26 NTI26 ODE26 ONA26 OWW26 PGS26 PQO26 QAK26 QKG26 QUC26 RDY26 RNU26 RXQ26 SHM26 SRI26 TBE26 TLA26 TUW26 UES26 UOO26 UYK26 VIG26 VSC26 WBY26 WLU26 WVQ26 JH26 TD26 ACZ26 AMV26 AWR26 BGN26 BQJ26 CAF26 CKB26 CTX26 DDT26 DNP26 DXL26 EHH26 ERD26 FAZ26 FKV26 FUR26 GEN26 GOJ26 GYF26 HIB26 HRX26 IBT26 ILP26 IVL26 JFH26 JPD26 JYZ26 KIV26 KSR26 LCN26 LMJ26 LWF26 MGB26 MPX26 MZT26 NJP26 NTL26 ODH26 OND26 OWZ26 PGV26 PQR26 QAN26 QKJ26 QUF26 REB26 RNX26 RXT26 SHP26 SRL26 TBH26 TLD26 TUZ26 UEV26 UOR26 UYN26 VIJ26 VSF26 WCB26 WLX26 WVT26 JK26 TG26 ADC26 AMY26 AWU26 BGQ26 BQM26 CAI26 CKE26 CUA26 DDW26 DNS26 DXO26 EHK26 ERG26 FBC26 FKY26 FUU26 GEQ26 GOM26 GYI26 HIE26 HSA26 IBW26 ILS26 IVO26 JFK26 JPG26 JZC26 KIY26 KSU26 LCQ26 LMM26 LWI26 MGE26 MQA26 MZW26 NJS26 NTO26 ODK26 ONG26 OXC26 PGY26 PQU26 QAQ26 QKM26 QUI26 REE26 ROA26 RXW26 SHS26 SRO26 TBK26 TLG26 TVC26 UEY26 UOU26 UYQ26 VIM26 VSI26 WCE26 WMA26 WVW26 JN26 TJ26 ADF26 ANB26 AWX26 BGT26 BQP26 CAL26 CKH26 CUD26 DDZ26 DNV26 DXR26 EHN26 ERJ26 FBF26 FLB26 FUX26 GET26 GOP26 GYL26 HIH26 HSD26 IBZ26 ILV26 IVR26 JFN26 JPJ26 JZF26 KJB26 KSX26 LCT26 LMP26 LWL26 MGH26 MQD26 MZZ26 NJV26 NTR26 ODN26 ONJ26 OXF26 PHB26 PQX26 QAT26 QKP26 QUL26 REH26 ROD26 RXZ26 SHV26 SRR26 TBN26 TLJ26 TVF26 UFB26 UOX31 UYT31 IG31 SC31 ABY31 ALU31 AVQ31 BFM31 BPI31 BZE31 CJA31 CSW31 DCS31 DMO31 DWK31 EGG31 EQC31 EZY31 FJU31 FTQ31 GDM31 GNI31 GXE31 HHA31 HQW31 IAS31 IKO31 IUK31 JEG31 JOC31 JXY31 KHU31 KRQ31 LBM31 LLI31 LVE31 MFA31 MOW31 MYS31 NIO31 NSK31 OCG31 OMC31 OVY31 PFU31 PPQ31 PZM31 QJI31 QTE31 RDA31 RMW31 RWS31 SGO31 SQK31 TAG31 TKC31 TTY31 UDU31 UNQ31 UXM31 VHI31 VRE31 WBA31 WKW31 WUS31 VIP31 IJ31 SF31 ACB31 ALX31 AVT31 BFP31 BPL31 BZH31 CJD31 CSZ31 DCV31 DMR31 DWN31 EGJ31 EQF31 FAB31 FJX31 FTT31 GDP31 GNL31 GXH31 HHD31 HQZ31 IAV31 IKR31 IUN31 JEJ31 JOF31 JYB31 KHX31 KRT31 LBP31 LLL31 LVH31 MFD31 MOZ31 MYV31 NIR31 NSN31 OCJ31 OMF31 OWB31 PFX31 PPT31 PZP31 QJL31 QTH31 RDD31 RMZ31 RWV31 SGR31 SQN31 TAJ31 TKF31 TUB31 UDX31 UNT31 UXP31 VHL31 VRH31 WBD31 WKZ31 WUV31 VSL31 IM31 SI31 ACE31 AMA31 AVW31 BFS31 BPO31 BZK31 CJG31 CTC31 DCY31 DMU31 DWQ31 EGM31 EQI31 FAE31 FKA31 FTW31 GDS31 GNO31 GXK31 HHG31 HRC31 IAY31 IKU31 IUQ31 JEM31 JOI31 JYE31 KIA31 KRW31 LBS31 LLO31 LVK31 MFG31 MPC31 MYY31 NIU31 NSQ31 OCM31 OMI31 OWE31 PGA31 PPW31 PZS31 QJO31 QTK31 RDG31 RNC31 RWY31 SGU31 SQQ31 TAM31 TKI31 TUE31 UEA31 UNW31 UXS31 VHO31 VRK31 WBG31 WLC31 WUY31 WCH31 IP31 SL31 ACH31 AMD31 AVZ31 BFV31 BPR31 BZN31 CJJ31 CTF31 DDB31 DMX31 DWT31 EGP31 EQL31 FAH31 FKD31 FTZ31 GDV31 GNR31 GXN31 HHJ31 HRF31 IBB31 IKX31 IUT31 JEP31 JOL31 JYH31 KID31 KRZ31 LBV31 LLR31 LVN31 MFJ31 MPF31 MZB31 NIX31 NST31 OCP31 OML31 OWH31 PGD31 PPZ31 PZV31 QJR31 QTN31 RDJ31 RNF31 RXB31 SGX31 SQT31 TAP31 TKL31 TUH31 UED31 UNZ31 UXV31 VHR31 VRN31 WBJ31 WLF31 WVB31 WMD31 IS31 SO31 ACK31 AMG31 AWC31 BFY31 BPU31 BZQ31 CJM31 CTI31 DDE31 DNA31 DWW31 EGS31 EQO31 FAK31 FKG31 FUC31 GDY31 GNU31 GXQ31 HHM31 HRI31 IBE31 ILA31 IUW31 JES31 JOO31 JYK31 KIG31 KSC31 LBY31 LLU31 LVQ31 MFM31 MPI31 MZE31 NJA31 NSW31 OCS31 OMO31 OWK31 PGG31 PQC31 PZY31 QJU31 QTQ31 RDM31 RNI31 RXE31 SHA31 SQW31 TAS31 TKO31 TUK31 UEG31 UOC31 UXY31 VHU31 VRQ31 WBM31 WLI31 WVE31 WVZ31 IV31 SR31 ACN31 AMJ31 AWF31 BGB31 BPX31 BZT31 CJP31 CTL31 DDH31 DND31 DWZ31 EGV31 EQR31 FAN31 FKJ31 FUF31 GEB31 GNX31 GXT31 HHP31 HRL31 IBH31 ILD31 IUZ31 JEV31 JOR31 JYN31 KIJ31 KSF31 LCB31 LLX31 LVT31 MFP31 MPL31 MZH31 NJD31 NSZ31 OCV31 OMR31 OWN31 PGJ31 PQF31 QAB31 QJX31 QTT31 RDP31 RNL31 RXH31 SHD31 SQZ31 TAV31 TKR31 TUN31 UEJ31 UOF31 UYB31 VHX31 VRT31 WBP31 WLL31 WVH31 IY31 SU31 ACQ31 AMM31 AWI31 BGE31 BQA31 BZW31 CJS31 CTO31 DDK31 DNG31 DXC31 EGY31 EQU31 FAQ31 FKM31 FUI31 GEE31 GOA31 GXW31 HHS31 HRO31 IBK31 ILG31 IVC31 JEY31 JOU31 JYQ31 KIM31 KSI31 LCE31 LMA31 LVW31 MFS31 MPO31 MZK31 NJG31 NTC31 OCY31 OMU31 OWQ31 PGM31 PQI31 QAE31 QKA31 QTW31 RDS31 RNO31 RXK31 SHG31 SRC31 TAY31 TKU31 TUQ31 UEM31 UOI31 UYE31 VIA31 VRW31 WBS31 WLO31 WVK31 JB31 SX31 ACT31 AMP31 AWL31 BGH31 BQD31 BZZ31 CJV31 CTR31 DDN31 DNJ31 DXF31 EHB31 EQX31 FAT31 FKP31 FUL31 GEH31 GOD31 GXZ31 HHV31 HRR31 IBN31 ILJ31 IVF31 JFB31 JOX31 JYT31 KIP31 KSL31 LCH31 LMD31 LVZ31 MFV31 MPR31 MZN31 NJJ31 NTF31 ODB31 OMX31 OWT31 PGP31 PQL31 QAH31 QKD31 QTZ31 RDV31 RNR31 RXN31 SHJ31 SRF31 TBB31 TKX31 TUT31 UEP31 UOL31 UYH31 VID31 VRZ31 WBV31 WLR31 WVN31 JE31 TA31 ACW31 AMS31 AWO31 BGK31 BQG31 CAC31 CJY31 CTU31 DDQ31 DNM31 DXI31 EHE31 ERA31 FAW31 FKS31 FUO31 GEK31 GOG31 GYC31 HHY31 HRU31 IBQ31 ILM31 IVI31 JFE31 JPA31 JYW31 KIS31 KSO31 LCK31 LMG31 LWC31 MFY31 MPU31 MZQ31 NJM31 NTI31 ODE31 ONA31 OWW31 PGS31 PQO31 QAK31 QKG31 QUC31 RDY31 RNU31 RXQ31 SHM31 SRI31 TBE31 TLA31 TUW31 UES31 UOO31 UYK31 VIG31 VSC31 WBY31 WLU31 WVQ31 JH31 TD31 ACZ31 AMV31 AWR31 BGN31 BQJ31 CAF31 CKB31 CTX31 DDT31 DNP31 DXL31 EHH31 ERD31 FAZ31 FKV31 FUR31 GEN31 GOJ31 GYF31 HIB31 HRX31 IBT31 ILP31 IVL31 JFH31 JPD31 JYZ31 KIV31 KSR31 LCN31 LMJ31 LWF31 MGB31 MPX31 MZT31 NJP31 NTL31 ODH31 OND31 OWZ31 PGV31 PQR31 QAN31 QKJ31 QUF31 REB31 RNX31 RXT31 SHP31 SRL31 TBH31 TLD31 TUZ31 UEV31 UOR31 UYN31 VIJ31 VSF31 WCB31 WLX31 WVT31 JK31 TG31 ADC31 AMY31 AWU31 BGQ31 BQM31 CAI31 CKE31 CUA31 DDW31 DNS31 DXO31 EHK31 ERG31 FBC31 FKY31 FUU31 GEQ31 GOM31 GYI31 HIE31 HSA31 IBW31 ILS31 IVO31 JFK31 JPG31 JZC31 KIY31 KSU31 LCQ31 LMM31 LWI31 MGE31 MQA31 MZW31 NJS31 NTO31 ODK31 ONG31 OXC31 PGY31 PQU31 QAQ31 QKM31 QUI31 REE31 ROA31 RXW31 SHS31 SRO31 TBK31 TLG31 TVC31 UEY31 UOU31 UYQ31 VIM31 VSI31 WCE31 WMA31 WVW31 JN31 TJ31 ADF31 ANB31 AWX31 BGT31 BQP31 CAL31 CKH31 CUD31 DDZ31 DNV31 DXR31 EHN31 ERJ31 FBF31 FLB31 FUX31 GET31 GOP31 GYL31 HIH31 HSD31 IBZ31 ILV31 IVR31 JFN31 JPJ31 JZF31 KJB31 KSX31 LCT31 LMP31 LWL31 MGH31 MQD31 MZZ31 NJV31 NTR31 ODN31 ONJ31 OXF31 PHB31 PQX31 QAT31 QKP31 QUL31 REH31 ROD31 RXZ31 SHV31 SRR31 TBN31 TLJ31 TVF31 UFB31 UOX36 UYT36 IG36 SC36 ABY36 ALU36 AVQ36 BFM36 BPI36 BZE36 CJA36 CSW36 DCS36 DMO36 DWK36 EGG36 EQC36 EZY36 FJU36 FTQ36 GDM36 GNI36 GXE36 HHA36 HQW36 IAS36 IKO36 IUK36 JEG36 JOC36 JXY36 KHU36 KRQ36 LBM36 LLI36 LVE36 MFA36 MOW36 MYS36 NIO36 NSK36 OCG36 OMC36 OVY36 PFU36 PPQ36 PZM36 QJI36 QTE36 RDA36 RMW36 RWS36 SGO36 SQK36 TAG36 TKC36 TTY36 UDU36 UNQ36 UXM36 VHI36 VRE36 WBA36 WKW36 WUS36 VIP36 IJ36 SF36 ACB36 ALX36 AVT36 BFP36 BPL36 BZH36 CJD36 CSZ36 DCV36 DMR36 DWN36 EGJ36 EQF36 FAB36 FJX36 FTT36 GDP36 GNL36 GXH36 HHD36 HQZ36 IAV36 IKR36 IUN36 JEJ36 JOF36 JYB36 KHX36 KRT36 LBP36 LLL36 LVH36 MFD36 MOZ36 MYV36 NIR36 NSN36 OCJ36 OMF36 OWB36 PFX36 PPT36 PZP36 QJL36 QTH36 RDD36 RMZ36 RWV36 SGR36 SQN36 TAJ36 TKF36 TUB36 UDX36 UNT36 UXP36 VHL36 VRH36 WBD36 WKZ36 WUV36 VSL36 IM36 SI36 ACE36 AMA36 AVW36 BFS36 BPO36 BZK36 CJG36 CTC36 DCY36 DMU36 DWQ36 EGM36 EQI36 FAE36 FKA36 FTW36 GDS36 GNO36 GXK36 HHG36 HRC36 IAY36 IKU36 IUQ36 JEM36 JOI36 JYE36 KIA36 KRW36 LBS36 LLO36 LVK36 MFG36 MPC36 MYY36 NIU36 NSQ36 OCM36 OMI36 OWE36 PGA36 PPW36 PZS36 QJO36 QTK36 RDG36 RNC36 RWY36 SGU36 SQQ36 TAM36 TKI36 TUE36 UEA36 UNW36 UXS36 VHO36 VRK36 WBG36 WLC36 WUY36 WCH36 IP36 SL36 ACH36 AMD36 AVZ36 BFV36 BPR36 BZN36 CJJ36 CTF36 DDB36 DMX36 DWT36 EGP36 EQL36 FAH36 FKD36 FTZ36 GDV36 GNR36 GXN36 HHJ36 HRF36 IBB36 IKX36 IUT36 JEP36 JOL36 JYH36 KID36 KRZ36 LBV36 LLR36 LVN36 MFJ36 MPF36 MZB36 NIX36 NST36 OCP36 OML36 OWH36 PGD36 PPZ36 PZV36 QJR36 QTN36 RDJ36 RNF36 RXB36 SGX36 SQT36 TAP36 TKL36 TUH36 UED36 UNZ36 UXV36 VHR36 VRN36 WBJ36 WLF36 WVB36 WMD36 IS36 SO36 ACK36 AMG36 AWC36 BFY36 BPU36 BZQ36 CJM36 CTI36 DDE36 DNA36 DWW36 EGS36 EQO36 FAK36 FKG36 FUC36 GDY36 GNU36 GXQ36 HHM36 HRI36 IBE36 ILA36 IUW36 JES36 JOO36 JYK36 KIG36 KSC36 LBY36 LLU36 LVQ36 MFM36 MPI36 MZE36 NJA36 NSW36 OCS36 OMO36 OWK36 PGG36 PQC36 PZY36 QJU36 QTQ36 RDM36 RNI36 RXE36 SHA36 SQW36 TAS36 TKO36 TUK36 UEG36 UOC36 UXY36 VHU36 VRQ36 WBM36 WLI36 WVE36 WVZ36 IV36 SR36 ACN36 AMJ36 AWF36 BGB36 BPX36 BZT36 CJP36 CTL36 DDH36 DND36 DWZ36 EGV36 EQR36 FAN36 FKJ36 FUF36 GEB36 GNX36 GXT36 HHP36 HRL36 IBH36 ILD36 IUZ36 JEV36 JOR36 JYN36 KIJ36 KSF36 LCB36 LLX36 LVT36 MFP36 MPL36 MZH36 NJD36 NSZ36 OCV36 OMR36 OWN36 PGJ36 PQF36 QAB36 QJX36 QTT36 RDP36 RNL36 RXH36 SHD36 SQZ36 TAV36 TKR36 TUN36 UEJ36 UOF36 UYB36 VHX36 VRT36 WBP36 WLL36 WVH36 IY36 SU36 ACQ36 AMM36 AWI36 BGE36 BQA36 BZW36 CJS36 CTO36 DDK36 DNG36 DXC36 EGY36 EQU36 FAQ36 FKM36 FUI36 GEE36 GOA36 GXW36 HHS36 HRO36 IBK36 ILG36 IVC36 JEY36 JOU36 JYQ36 KIM36 KSI36 LCE36 LMA36 LVW36 MFS36 MPO36 MZK36 NJG36 NTC36 OCY36 OMU36 OWQ36 PGM36 PQI36 QAE36 QKA36 QTW36 RDS36 RNO36 RXK36 SHG36 SRC36 TAY36 TKU36 TUQ36 UEM36 UOI36 UYE36 VIA36 VRW36 WBS36 WLO36 WVK36 JB36 SX36 ACT36 AMP36 AWL36 BGH36 BQD36 BZZ36 CJV36 CTR36 DDN36 DNJ36 DXF36 EHB36 EQX36 FAT36 FKP36 FUL36 GEH36 GOD36 GXZ36 HHV36 HRR36 IBN36 ILJ36 IVF36 JFB36 JOX36 JYT36 KIP36 KSL36 LCH36 LMD36 LVZ36 MFV36 MPR36 MZN36 NJJ36 NTF36 ODB36 OMX36 OWT36 PGP36 PQL36 QAH36 QKD36 QTZ36 RDV36 RNR36 RXN36 SHJ36 SRF36 TBB36 TKX36 TUT36 UEP36 UOL36 UYH36 VID36 VRZ36 WBV36 WLR36 WVN36 JE36 TA36 ACW36 AMS36 AWO36 BGK36 BQG36 CAC36 CJY36 CTU36 DDQ36 DNM36 DXI36 EHE36 ERA36 FAW36 FKS36 FUO36 GEK36 GOG36 GYC36 HHY36 HRU36 IBQ36 ILM36 IVI36 JFE36 JPA36 JYW36 KIS36 KSO36 LCK36 LMG36 LWC36 MFY36 MPU36 MZQ36 NJM36 NTI36 ODE36 ONA36 OWW36 PGS36 PQO36 QAK36 QKG36 QUC36 RDY36 RNU36 RXQ36 SHM36 SRI36 TBE36 TLA36 TUW36 UES36 UOO36 UYK36 VIG36 VSC36 WBY36 WLU36 WVQ36 JH36 TD36 ACZ36 AMV36 AWR36 BGN36 BQJ36 CAF36 CKB36 CTX36 DDT36 DNP36 DXL36 EHH36 ERD36 FAZ36 FKV36 FUR36 GEN36 GOJ36 GYF36 HIB36 HRX36 IBT36 ILP36 IVL36 JFH36 JPD36 JYZ36 KIV36 KSR36 LCN36 LMJ36 LWF36 MGB36 MPX36 MZT36 NJP36 NTL36 ODH36 OND36 OWZ36 PGV36 PQR36 QAN36 QKJ36 QUF36 REB36 RNX36 RXT36 SHP36 SRL36 TBH36 TLD36 TUZ36 UEV36 UOR36 UYN36 VIJ36 VSF36 WCB36 WLX36 WVT36 JK36 TG36 ADC36 AMY36 AWU36 BGQ36 BQM36 CAI36 CKE36 CUA36 DDW36 DNS36 DXO36 EHK36 ERG36 FBC36 FKY36 FUU36 GEQ36 GOM36 GYI36 HIE36 HSA36 IBW36 ILS36 IVO36 JFK36 JPG36 JZC36 KIY36 KSU36 LCQ36 LMM36 LWI36 MGE36 MQA36 MZW36 NJS36 NTO36 ODK36 ONG36 OXC36 PGY36 PQU36 QAQ36 QKM36 QUI36 REE36 ROA36 RXW36 SHS36 SRO36 TBK36 TLG36 TVC36 UEY36 UOU36 UYQ36 VIM36 VSI36 WCE36 WMA36 WVW36 JN36 TJ36 ADF36 ANB36 AWX36 BGT36 BQP36 CAL36 CKH36 CUD36 DDZ36 DNV36 DXR36 EHN36 ERJ36 FBF36 FLB36 FUX36 GET36 GOP36 GYL36 HIH36 HSD36 IBZ36 ILV36 IVR36 JFN36 JPJ36 JZF36 KJB36 KSX36 LCT36 LMP36 LWL36 MGH36 MQD36 MZZ36 NJV36 NTR36 ODN36 ONJ36 OXF36 PHB36 PQX36 QAT36 QKP36 QUL36 REH36 ROD36 RXZ36 SHV36 SRR36 TBN36 TLJ36 TVF36 UFB36 UOX41 UYT41 IG41 SC41 ABY41 ALU41 AVQ41 BFM41 BPI41 BZE41 CJA41 CSW41 DCS41 DMO41 DWK41 EGG41 EQC41 EZY41 FJU41 FTQ41 GDM41 GNI41 GXE41 HHA41 HQW41 IAS41 IKO41 IUK41 JEG41 JOC41 JXY41 KHU41 KRQ41 LBM41 LLI41 LVE41 MFA41 MOW41 MYS41 NIO41 NSK41 OCG41 OMC41 OVY41 PFU41 PPQ41 PZM41 QJI41 QTE41 RDA41 RMW41 RWS41 SGO41 SQK41 TAG41 TKC41 TTY41 UDU41 UNQ41 UXM41 VHI41 VRE41 WBA41 WKW41 WUS41 VIP41 IJ41 SF41 ACB41 ALX41 AVT41 BFP41 BPL41 BZH41 CJD41 CSZ41 DCV41 DMR41 DWN41 EGJ41 EQF41 FAB41 FJX41 FTT41 GDP41 GNL41 GXH41 HHD41 HQZ41 IAV41 IKR41 IUN41 JEJ41 JOF41 JYB41 KHX41 KRT41 LBP41 LLL41 LVH41 MFD41 MOZ41 MYV41 NIR41 NSN41 OCJ41 OMF41 OWB41 PFX41 PPT41 PZP41 QJL41 QTH41 RDD41 RMZ41 RWV41 SGR41 SQN41 TAJ41 TKF41 TUB41 UDX41 UNT41 UXP41 VHL41 VRH41 WBD41 WKZ41 WUV41 VSL41 IM41 SI41 ACE41 AMA41 AVW41 BFS41 BPO41 BZK41 CJG41 CTC41 DCY41 DMU41 DWQ41 EGM41 EQI41 FAE41 FKA41 FTW41 GDS41 GNO41 GXK41 HHG41 HRC41 IAY41 IKU41 IUQ41 JEM41 JOI41 JYE41 KIA41 KRW41 LBS41 LLO41 LVK41 MFG41 MPC41 MYY41 NIU41 NSQ41 OCM41 OMI41 OWE41 PGA41 PPW41 PZS41 QJO41 QTK41 RDG41 RNC41 RWY41 SGU41 SQQ41 TAM41 TKI41 TUE41 UEA41 UNW41 UXS41 VHO41 VRK41 WBG41 WLC41 WUY41 WCH41 IP41 SL41 ACH41 AMD41 AVZ41 BFV41 BPR41 BZN41 CJJ41 CTF41 DDB41 DMX41 DWT41 EGP41 EQL41 FAH41 FKD41 FTZ41 GDV41 GNR41 GXN41 HHJ41 HRF41 IBB41 IKX41 IUT41 JEP41 JOL41 JYH41 KID41 KRZ41 LBV41 LLR41 LVN41 MFJ41 MPF41 MZB41 NIX41 NST41 OCP41 OML41 OWH41 PGD41 PPZ41 PZV41 QJR41 QTN41 RDJ41 RNF41 RXB41 SGX41 SQT41 TAP41 TKL41 TUH41 UED41 UNZ41 UXV41 VHR41 VRN41 WBJ41 WLF41 WVB41 WMD41 IS41 SO41 ACK41 AMG41 AWC41 BFY41 BPU41 BZQ41 CJM41 CTI41 DDE41 DNA41 DWW41 EGS41 EQO41 FAK41 FKG41 FUC41 GDY41 GNU41 GXQ41 HHM41 HRI41 IBE41 ILA41 IUW41 JES41 JOO41 JYK41 KIG41 KSC41 LBY41 LLU41 LVQ41 MFM41 MPI41 MZE41 NJA41 NSW41 OCS41 OMO41 OWK41 PGG41 PQC41 PZY41 QJU41 QTQ41 RDM41 RNI41 RXE41 SHA41 SQW41 TAS41 TKO41 TUK41 UEG41 UOC41 UXY41 VHU41 VRQ41 WBM41 WLI41 WVE41 WVZ41 IV41 SR41 ACN41 AMJ41 AWF41 BGB41 BPX41 BZT41 CJP41 CTL41 DDH41 DND41 DWZ41 EGV41 EQR41 FAN41 FKJ41 FUF41 GEB41 GNX41 GXT41 HHP41 HRL41 IBH41 ILD41 IUZ41 JEV41 JOR41 JYN41 KIJ41 KSF41 LCB41 LLX41 LVT41 MFP41 MPL41 MZH41 NJD41 NSZ41 OCV41 OMR41 OWN41 PGJ41 PQF41 QAB41 QJX41 QTT41 RDP41 RNL41 RXH41 SHD41 SQZ41 TAV41 TKR41 TUN41 UEJ41 UOF41 UYB41 VHX41 VRT41 WBP41 WLL41 WVH41 IY41 SU41 ACQ41 AMM41 AWI41 BGE41 BQA41 BZW41 CJS41 CTO41 DDK41 DNG41 DXC41 EGY41 EQU41 FAQ41 FKM41 FUI41 GEE41 GOA41 GXW41 HHS41 HRO41 IBK41 ILG41 IVC41 JEY41 JOU41 JYQ41 KIM41 KSI41 LCE41 LMA41 LVW41 MFS41 MPO41 MZK41 NJG41 NTC41 OCY41 OMU41 OWQ41 PGM41 PQI41 QAE41 QKA41 QTW41 RDS41 RNO41 RXK41 SHG41 SRC41 TAY41 TKU41 TUQ41 UEM41 UOI41 UYE41 VIA41 VRW41 WBS41 WLO41 WVK41 JB41 SX41 ACT41 AMP41 AWL41 BGH41 BQD41 BZZ41 CJV41 CTR41 DDN41 DNJ41 DXF41 EHB41 EQX41 FAT41 FKP41 FUL41 GEH41 GOD41 GXZ41 HHV41 HRR41 IBN41 ILJ41 IVF41 JFB41 JOX41 JYT41 KIP41 KSL41 LCH41 LMD41 LVZ41 MFV41 MPR41 MZN41 NJJ41 NTF41 ODB41 OMX41 OWT41 PGP41 PQL41 QAH41 QKD41 QTZ41 RDV41 RNR41 RXN41 SHJ41 SRF41 TBB41 TKX41 TUT41 UEP41 UOL41 UYH41 VID41 VRZ41 WBV41 WLR41 WVN41 JE41 TA41 ACW41 AMS41 AWO41 BGK41 BQG41 CAC41 CJY41 CTU41 DDQ41 DNM41 DXI41 EHE41 ERA41 FAW41 FKS41 FUO41 GEK41 GOG41 GYC41 HHY41 HRU41 IBQ41 ILM41 IVI41 JFE41 JPA41 JYW41 KIS41 KSO41 LCK41 LMG41 LWC41 MFY41 MPU41 MZQ41 NJM41 NTI41 ODE41 ONA41 OWW41 PGS41 PQO41 QAK41 QKG41 QUC41 RDY41 RNU41 RXQ41 SHM41 SRI41 TBE41 TLA41 TUW41 UES41 UOO41 UYK41 VIG41 VSC41 WBY41 WLU41 WVQ41 JH41 TD41 ACZ41 AMV41 AWR41 BGN41 BQJ41 CAF41 CKB41 CTX41 DDT41 DNP41 DXL41 EHH41 ERD41 FAZ41 FKV41 FUR41 GEN41 GOJ41 GYF41 HIB41 HRX41 IBT41 ILP41 IVL41 JFH41 JPD41 JYZ41 KIV41 KSR41 LCN41 LMJ41 LWF41 MGB41 MPX41 MZT41 NJP41 NTL41 ODH41 OND41 OWZ41 PGV41 PQR41 QAN41 QKJ41 QUF41 REB41 RNX41 RXT41 SHP41 SRL41 TBH41 TLD41 TUZ41 UEV41 UOR41 UYN41 VIJ41 VSF41 WCB41 WLX41 WVT41 JK41 TG41 ADC41 AMY41 AWU41 BGQ41 BQM41 CAI41 CKE41 CUA41 DDW41 DNS41 DXO41 EHK41 ERG41 FBC41 FKY41 FUU41 GEQ41 GOM41 GYI41 HIE41 HSA41 IBW41 ILS41 IVO41 JFK41 JPG41 JZC41 KIY41 KSU41 LCQ41 LMM41 LWI41 MGE41 MQA41 MZW41 NJS41 NTO41 ODK41 ONG41 OXC41 PGY41 PQU41 QAQ41 QKM41 QUI41 REE41 ROA41 RXW41 SHS41 SRO41 TBK41 TLG41 TVC41 UEY41 UOU41 UYQ41 VIM41 VSI41 WCE41 WMA41 WVW41 JN41 TJ41 ADF41 ANB41 AWX41 BGT41 BQP41 CAL41 CKH41 CUD41 DDZ41 DNV41 DXR41 EHN41 ERJ41 FBF41 FLB41 FUX41 GET41 GOP41 GYL41 HIH41 HSD41 IBZ41 ILV41 IVR41 JFN41 JPJ41 JZF41 KJB41 KSX41 LCT41 LMP41 LWL41 MGH41 MQD41 MZZ41 NJV41 NTR41 ODN41 ONJ41 OXF41 PHB41 PQX41 QAT41 QKP41 QUL41 REH41 ROD41 RXZ41 SHV41 SRR41 TBN41 TLJ41 TVF41 UFB41 UOX46 UYT46 IG46 SC46 ABY46 ALU46 AVQ46 BFM46 BPI46 BZE46 CJA46 CSW46 DCS46 DMO46 DWK46 EGG46 EQC46 EZY46 FJU46 FTQ46 GDM46 GNI46 GXE46 HHA46 HQW46 IAS46 IKO46 IUK46 JEG46 JOC46 JXY46 KHU46 KRQ46 LBM46 LLI46 LVE46 MFA46 MOW46 MYS46 NIO46 NSK46 OCG46 OMC46 OVY46 PFU46 PPQ46 PZM46 QJI46 QTE46 RDA46 RMW46 RWS46 SGO46 SQK46 TAG46 TKC46 TTY46 UDU46 UNQ46 UXM46 VHI46 VRE46 WBA46 WKW46 WUS46 VIP46 IJ46 SF46 ACB46 ALX46 AVT46 BFP46 BPL46 BZH46 CJD46 CSZ46 DCV46 DMR46 DWN46 EGJ46 EQF46 FAB46 FJX46 FTT46 GDP46 GNL46 GXH46 HHD46 HQZ46 IAV46 IKR46 IUN46 JEJ46 JOF46 JYB46 KHX46 KRT46 LBP46 LLL46 LVH46 MFD46 MOZ46 MYV46 NIR46 NSN46 OCJ46 OMF46 OWB46 PFX46 PPT46 PZP46 QJL46 QTH46 RDD46 RMZ46 RWV46 SGR46 SQN46 TAJ46 TKF46 TUB46 UDX46 UNT46 UXP46 VHL46 VRH46 WBD46 WKZ46 WUV46 VSL46 IM46 SI46 ACE46 AMA46 AVW46 BFS46 BPO46 BZK46 CJG46 CTC46 DCY46 DMU46 DWQ46 EGM46 EQI46 FAE46 FKA46 FTW46 GDS46 GNO46 GXK46 HHG46 HRC46 IAY46 IKU46 IUQ46 JEM46 JOI46 JYE46 KIA46 KRW46 LBS46 LLO46 LVK46 MFG46 MPC46 MYY46 NIU46 NSQ46 OCM46 OMI46 OWE46 PGA46 PPW46 PZS46 QJO46 QTK46 RDG46 RNC46 RWY46 SGU46 SQQ46 TAM46 TKI46 TUE46 UEA46 UNW46 UXS46 VHO46 VRK46 WBG46 WLC46 WUY46 WCH46 IP46 SL46 ACH46 AMD46 AVZ46 BFV46 BPR46 BZN46 CJJ46 CTF46 DDB46 DMX46 DWT46 EGP46 EQL46 FAH46 FKD46 FTZ46 GDV46 GNR46 GXN46 HHJ46 HRF46 IBB46 IKX46 IUT46 JEP46 JOL46 JYH46 KID46 KRZ46 LBV46 LLR46 LVN46 MFJ46 MPF46 MZB46 NIX46 NST46 OCP46 OML46 OWH46 PGD46 PPZ46 PZV46 QJR46 QTN46 RDJ46 RNF46 RXB46 SGX46 SQT46 TAP46 TKL46 TUH46 UED46 UNZ46 UXV46 VHR46 VRN46 WBJ46 WLF46 WVB46 WMD46 IS46 SO46 ACK46 AMG46 AWC46 BFY46 BPU46 BZQ46 CJM46 CTI46 DDE46 DNA46 DWW46 EGS46 EQO46 FAK46 FKG46 FUC46 GDY46 GNU46 GXQ46 HHM46 HRI46 IBE46 ILA46 IUW46 JES46 JOO46 JYK46 KIG46 KSC46 LBY46 LLU46 LVQ46 MFM46 MPI46 MZE46 NJA46 NSW46 OCS46 OMO46 OWK46 PGG46 PQC46 PZY46 QJU46 QTQ46 RDM46 RNI46 RXE46 SHA46 SQW46 TAS46 TKO46 TUK46 UEG46 UOC46 UXY46 VHU46 VRQ46 WBM46 WLI46 WVE46 WVZ46 IV46 SR46 ACN46 AMJ46 AWF46 BGB46 BPX46 BZT46 CJP46 CTL46 DDH46 DND46 DWZ46 EGV46 EQR46 FAN46 FKJ46 FUF46 GEB46 GNX46 GXT46 HHP46 HRL46 IBH46 ILD46 IUZ46 JEV46 JOR46 JYN46 KIJ46 KSF46 LCB46 LLX46 LVT46 MFP46 MPL46 MZH46 NJD46 NSZ46 OCV46 OMR46 OWN46 PGJ46 PQF46 QAB46 QJX46 QTT46 RDP46 RNL46 RXH46 SHD46 SQZ46 TAV46 TKR46 TUN46 UEJ46 UOF46 UYB46 VHX46 VRT46 WBP46 WLL46 WVH46 IY46 SU46 ACQ46 AMM46 AWI46 BGE46 BQA46 BZW46 CJS46 CTO46 DDK46 DNG46 DXC46 EGY46 EQU46 FAQ46 FKM46 FUI46 GEE46 GOA46 GXW46 HHS46 HRO46 IBK46 ILG46 IVC46 JEY46 JOU46 JYQ46 KIM46 KSI46 LCE46 LMA46 LVW46 MFS46 MPO46 MZK46 NJG46 NTC46 OCY46 OMU46 OWQ46 PGM46 PQI46 QAE46 QKA46 QTW46 RDS46 RNO46 RXK46 SHG46 SRC46 TAY46 TKU46 TUQ46 UEM46 UOI46 UYE46 VIA46 VRW46 WBS46 WLO46 WVK46 JB46 SX46 ACT46 AMP46 AWL46 BGH46 BQD46 BZZ46 CJV46 CTR46 DDN46 DNJ46 DXF46 EHB46 EQX46 FAT46 FKP46 FUL46 GEH46 GOD46 GXZ46 HHV46 HRR46 IBN46 ILJ46 IVF46 JFB46 JOX46 JYT46 KIP46 KSL46 LCH46 LMD46 LVZ46 MFV46 MPR46 MZN46 NJJ46 NTF46 ODB46 OMX46 OWT46 PGP46 PQL46 QAH46 QKD46 QTZ46 RDV46 RNR46 RXN46 SHJ46 SRF46 TBB46 TKX46 TUT46 UEP46 UOL46 UYH46 VID46 VRZ46 WBV46 WLR46 WVN46 JE46 TA46 ACW46 AMS46 AWO46 BGK46 BQG46 CAC46 CJY46 CTU46 DDQ46 DNM46 DXI46 EHE46 ERA46 FAW46 FKS46 FUO46 GEK46 GOG46 GYC46 HHY46 HRU46 IBQ46 ILM46 IVI46 JFE46 JPA46 JYW46 KIS46 KSO46 LCK46 LMG46 LWC46 MFY46 MPU46 MZQ46 NJM46 NTI46 ODE46 ONA46 OWW46 PGS46 PQO46 QAK46 QKG46 QUC46 RDY46 RNU46 RXQ46 SHM46 SRI46 TBE46 TLA46 TUW46 UES46 UOO46 UYK46 VIG46 VSC46 WBY46 WLU46 WVQ46 JH46 TD46 ACZ46 AMV46 AWR46 BGN46 BQJ46 CAF46 CKB46 CTX46 DDT46 DNP46 DXL46 EHH46 ERD46 FAZ46 FKV46 FUR46 GEN46 GOJ46 GYF46 HIB46 HRX46 IBT46 ILP46 IVL46 JFH46 JPD46 JYZ46 KIV46 KSR46 LCN46 LMJ46 LWF46 MGB46 MPX46 MZT46 NJP46 NTL46 ODH46 OND46 OWZ46 PGV46 PQR46 QAN46 QKJ46 QUF46 REB46 RNX46 RXT46 SHP46 SRL46 TBH46 TLD46 TUZ46 UEV46 UOR46 UYN46 VIJ46 VSF46 WCB46 WLX46 WVT46 JK46 TG46 ADC46 AMY46 AWU46 BGQ46 BQM46 CAI46 CKE46 CUA46 DDW46 DNS46 DXO46 EHK46 ERG46 FBC46 FKY46 FUU46 GEQ46 GOM46 GYI46 HIE46 HSA46 IBW46 ILS46 IVO46 JFK46 JPG46 JZC46 KIY46 KSU46 LCQ46 LMM46 LWI46 MGE46 MQA46 MZW46 NJS46 NTO46 ODK46 ONG46 OXC46 PGY46 PQU46 QAQ46 QKM46 QUI46 REE46 ROA46 RXW46 SHS46 SRO46 TBK46 TLG46 TVC46 UEY46 UOU46 UYQ46 VIM46 VSI46 WCE46 WMA46 WVW46 JN46 TJ46 ADF46 ANB46 AWX46 BGT46 BQP46 CAL46 CKH46 CUD46 DDZ46 DNV46 DXR46 EHN46 ERJ46 FBF46 FLB46 FUX46 GET46 GOP46 GYL46 HIH46 HSD46 IBZ46 ILV46 IVR46 JFN46 JPJ46 JZF46 KJB46 KSX46 LCT46 LMP46 LWL46 MGH46 MQD46 MZZ46 NJV46 NTR46 ODN46 ONJ46 OXF46 PHB46 PQX46 QAT46 QKP46 QUL46 REH46 ROD46 RXZ46 SHV46 SRR46 TBN46 TLJ46 TVF46 UFB46 J5:J10 WWM5:WWM10 WMQ5:WMQ10 WCU5:WCU10 VSY5:VSY10 VJC5:VJC10 UZG5:UZG10 UPK5:UPK10 UFO5:UFO10 TVS5:TVS10 TLW5:TLW10 TCA5:TCA10 SSE5:SSE10 SII5:SII10 RYM5:RYM10 ROQ5:ROQ10 REU5:REU10 QUY5:QUY10 QLC5:QLC10 QBG5:QBG10 PRK5:PRK10 PHO5:PHO10 OXS5:OXS10 ONW5:ONW10 OEA5:OEA10 NUE5:NUE10 NKI5:NKI10 NAM5:NAM10 MQQ5:MQQ10 MGU5:MGU10 LWY5:LWY10 LNC5:LNC10 LDG5:LDG10 KTK5:KTK10 KJO5:KJO10 JZS5:JZS10 JPW5:JPW10 JGA5:JGA10 IWE5:IWE10 IMI5:IMI10 ICM5:ICM10 HSQ5:HSQ10 HIU5:HIU10 GYY5:GYY10 GPC5:GPC10 GFG5:GFG10 FVK5:FVK10 FLO5:FLO10 FBS5:FBS10 ERW5:ERW10 EIA5:EIA10 DYE5:DYE10 DOI5:DOI10 DEM5:DEM10 CUQ5:CUQ10 CKU5:CKU10 CAY5:CAY10 BRC5:BRC10 BHG5:BHG10 AXK5:AXK10 ANO5:ANO10 ADS5:ADS10 TW5:TW10 KA5:KA10 AF5:AF10 WWJ5:WWJ10 WMN5:WMN10 WCR5:WCR10 VSV5:VSV10 VIZ5:VIZ10 UZD5:UZD10 UPH5:UPH10 UFL5:UFL10 TVP5:TVP10 TLT5:TLT10 TBX5:TBX10 SSB5:SSB10 SIF5:SIF10 RYJ5:RYJ10 RON5:RON10 RER5:RER10 QUV5:QUV10 QKZ5:QKZ10 QBD5:QBD10 PRH5:PRH10 PHL5:PHL10 OXP5:OXP10 ONT5:ONT10 ODX5:ODX10 NUB5:NUB10 NKF5:NKF10 NAJ5:NAJ10 MQN5:MQN10 MGR5:MGR10 LWV5:LWV10 LMZ5:LMZ10 LDD5:LDD10 KTH5:KTH10 KJL5:KJL10 JZP5:JZP10 JPT5:JPT10 JFX5:JFX10 IWB5:IWB10 IMF5:IMF10 ICJ5:ICJ10 HSN5:HSN10 HIR5:HIR10 GYV5:GYV10 GOZ5:GOZ10 GFD5:GFD10 FVH5:FVH10 FLL5:FLL10 FBP5:FBP10 ERT5:ERT10 EHX5:EHX10 DYB5:DYB10 DOF5:DOF10 DEJ5:DEJ10 CUN5:CUN10 CKR5:CKR10 CAV5:CAV10 BQZ5:BQZ10 BHD5:BHD10 AXH5:AXH10 ANL5:ANL10 ADP5:ADP10 TT5:TT10 JX5:JX10 AD5:AD10 WWG5:WWG10 WMK5:WMK10 WCO5:WCO10 VSS5:VSS10 VIW5:VIW10 UZA5:UZA10 UPE5:UPE10 UFI5:UFI10 TVM5:TVM10 TLQ5:TLQ10 TBU5:TBU10 SRY5:SRY10 SIC5:SIC10 RYG5:RYG10 ROK5:ROK10 REO5:REO10 QUS5:QUS10 QKW5:QKW10 QBA5:QBA10 PRE5:PRE10 PHI5:PHI10 OXM5:OXM10 ONQ5:ONQ10 ODU5:ODU10 NTY5:NTY10 NKC5:NKC10 NAG5:NAG10 MQK5:MQK10 MGO5:MGO10 LWS5:LWS10 LMW5:LMW10 LDA5:LDA10 KTE5:KTE10 KJI5:KJI10 JZM5:JZM10 JPQ5:JPQ10 JFU5:JFU10 IVY5:IVY10 IMC5:IMC10 ICG5:ICG10 HSK5:HSK10 HIO5:HIO10 GYS5:GYS10 GOW5:GOW10 GFA5:GFA10 FVE5:FVE10 FLI5:FLI10 FBM5:FBM10 ERQ5:ERQ10 EHU5:EHU10 DXY5:DXY10 DOC5:DOC10 DEG5:DEG10 CUK5:CUK10 CKO5:CKO10 CAS5:CAS10 BQW5:BQW10 BHA5:BHA10 AXE5:AXE10 ANI5:ANI10 ADM5:ADM10 TQ5:TQ10 JU5:JU10 AB5:AB10 WWD5:WWD10 WMH5:WMH10 WCL5:WCL10 VSP5:VSP10 VIT5:VIT10 UYX5:UYX10 UPB5:UPB10 UFF5:UFF10 TVJ5:TVJ10 TLN5:TLN10 TBR5:TBR10 SRV5:SRV10 SHZ5:SHZ10 RYD5:RYD10 ROH5:ROH10 REL5:REL10 QUP5:QUP10 QKT5:QKT10 QAX5:QAX10 PRB5:PRB10 PHF5:PHF10 OXJ5:OXJ10 ONN5:ONN10 ODR5:ODR10 NTV5:NTV10 NJZ5:NJZ10 NAD5:NAD10 MQH5:MQH10 MGL5:MGL10 LWP5:LWP10 LMT5:LMT10 LCX5:LCX10 KTB5:KTB10 KJF5:KJF10 JZJ5:JZJ10 JPN5:JPN10 JFR5:JFR10 IVV5:IVV10 ILZ5:ILZ10 ICD5:ICD10 HSH5:HSH10 HIL5:HIL10 GYP5:GYP10 GOT5:GOT10 GEX5:GEX10 FVB5:FVB10 FLF5:FLF10 FBJ5:FBJ10 ERN5:ERN10 EHR5:EHR10 DXV5:DXV10 DNZ5:DNZ10 DED5:DED10 CUH5:CUH10 CKL5:CKL10 CAP5:CAP10 BQT5:BQT10 BGX5:BGX10 AXB5:AXB10 ANF5:ANF10 ADJ5:ADJ10 TN5:TN10 JR5:JR10 Z5:Z10 WWA5:WWA10 WME5:WME10 WCI5:WCI10 VSM5:VSM10 VIQ5:VIQ10 UYU5:UYU10 UOY5:UOY10 UFC5:UFC10 TVG5:TVG10 TLK5:TLK10 TBO5:TBO10 SRS5:SRS10 SHW5:SHW10 RYA5:RYA10 ROE5:ROE10 REI5:REI10 QUM5:QUM10 QKQ5:QKQ10 QAU5:QAU10 PQY5:PQY10 PHC5:PHC10 OXG5:OXG10 ONK5:ONK10 ODO5:ODO10 NTS5:NTS10 NJW5:NJW10 NAA5:NAA10 MQE5:MQE10 MGI5:MGI10 LWM5:LWM10 LMQ5:LMQ10 LCU5:LCU10 KSY5:KSY10 KJC5:KJC10 JZG5:JZG10 JPK5:JPK10 JFO5:JFO10 IVS5:IVS10 ILW5:ILW10 ICA5:ICA10 HSE5:HSE10 HII5:HII10 GYM5:GYM10 GOQ5:GOQ10 GEU5:GEU10 FUY5:FUY10 FLC5:FLC10 FBG5:FBG10 ERK5:ERK10 EHO5:EHO10 DXS5:DXS10 DNW5:DNW10 DEA5:DEA10 CUE5:CUE10 CKI5:CKI10 CAM5:CAM10 BQQ5:BQQ10 BGU5:BGU10 AWY5:AWY10 ANC5:ANC10 ADG5:ADG10 TK5:TK10 JO5:JO10 X5:X10 WVX5:WVX10 WMB5:WMB10 WCF5:WCF10 VSJ5:VSJ10 VIN5:VIN10 UYR5:UYR10 UOV5:UOV10 UEZ5:UEZ10 TVD5:TVD10 TLH5:TLH10 TBL5:TBL10 SRP5:SRP10 SHT5:SHT10 RXX5:RXX10 ROB5:ROB10 REF5:REF10 QUJ5:QUJ10 QKN5:QKN10 QAR5:QAR10 PQV5:PQV10 PGZ5:PGZ10 OXD5:OXD10 ONH5:ONH10 ODL5:ODL10 NTP5:NTP10 NJT5:NJT10 MZX5:MZX10 MQB5:MQB10 MGF5:MGF10 LWJ5:LWJ10 LMN5:LMN10 LCR5:LCR10 KSV5:KSV10 KIZ5:KIZ10 JZD5:JZD10 JPH5:JPH10 JFL5:JFL10 IVP5:IVP10 ILT5:ILT10 IBX5:IBX10 HSB5:HSB10 HIF5:HIF10 GYJ5:GYJ10 GON5:GON10 GER5:GER10 FUV5:FUV10 FKZ5:FKZ10 FBD5:FBD10 ERH5:ERH10 EHL5:EHL10 DXP5:DXP10 DNT5:DNT10 DDX5:DDX10 CUB5:CUB10 CKF5:CKF10 CAJ5:CAJ10 BQN5:BQN10 BGR5:BGR10 AWV5:AWV10 AMZ5:AMZ10 ADD5:ADD10 TH5:TH10 JL5:JL10 V5:V10 WVU5:WVU10 WLY5:WLY10 WCC5:WCC10 VSG5:VSG10 VIK5:VIK10 UYO5:UYO10 UOS5:UOS10 UEW5:UEW10 TVA5:TVA10 TLE5:TLE10 TBI5:TBI10 SRM5:SRM10 SHQ5:SHQ10 RXU5:RXU10 RNY5:RNY10 REC5:REC10 QUG5:QUG10 QKK5:QKK10 QAO5:QAO10 PQS5:PQS10 PGW5:PGW10 OXA5:OXA10 ONE5:ONE10 ODI5:ODI10 NTM5:NTM10 NJQ5:NJQ10 MZU5:MZU10 MPY5:MPY10 MGC5:MGC10 LWG5:LWG10 LMK5:LMK10 LCO5:LCO10 KSS5:KSS10 KIW5:KIW10 JZA5:JZA10 JPE5:JPE10 JFI5:JFI10 IVM5:IVM10 ILQ5:ILQ10 IBU5:IBU10 HRY5:HRY10 HIC5:HIC10 GYG5:GYG10 GOK5:GOK10 GEO5:GEO10 FUS5:FUS10 FKW5:FKW10 FBA5:FBA10 ERE5:ERE10 EHI5:EHI10 DXM5:DXM10 DNQ5:DNQ10 DDU5:DDU10 CTY5:CTY10 CKC5:CKC10 CAG5:CAG10 BQK5:BQK10 BGO5:BGO10 AWS5:AWS10 AMW5:AMW10 ADA5:ADA10 TE5:TE10 JI5:JI10 T5:T10 WVR5:WVR10 WLV5:WLV10 WBZ5:WBZ10 VSD5:VSD10 VIH5:VIH10 UYL5:UYL10 UOP5:UOP10 UET5:UET10 TUX5:TUX10 TLB5:TLB10 TBF5:TBF10 SRJ5:SRJ10 SHN5:SHN10 RXR5:RXR10 RNV5:RNV10 RDZ5:RDZ10 QUD5:QUD10 QKH5:QKH10 QAL5:QAL10 PQP5:PQP10 PGT5:PGT10 OWX5:OWX10 ONB5:ONB10 ODF5:ODF10 NTJ5:NTJ10 NJN5:NJN10 MZR5:MZR10 MPV5:MPV10 MFZ5:MFZ10 LWD5:LWD10 LMH5:LMH10 LCL5:LCL10 KSP5:KSP10 KIT5:KIT10 JYX5:JYX10 JPB5:JPB10 JFF5:JFF10 IVJ5:IVJ10 ILN5:ILN10 IBR5:IBR10 HRV5:HRV10 HHZ5:HHZ10 GYD5:GYD10 GOH5:GOH10 GEL5:GEL10 FUP5:FUP10 FKT5:FKT10 FAX5:FAX10 ERB5:ERB10 EHF5:EHF10 DXJ5:DXJ10 DNN5:DNN10 DDR5:DDR10 CTV5:CTV10 CJZ5:CJZ10 CAD5:CAD10 BQH5:BQH10 BGL5:BGL10 AWP5:AWP10 AMT5:AMT10 ACX5:ACX10 TB5:TB10 JF5:JF10 R5:R10 WVO5:WVO10 WLS5:WLS10 WBW5:WBW10 VSA5:VSA10 VIE5:VIE10 UYI5:UYI10 UOM5:UOM10 UEQ5:UEQ10 TUU5:TUU10 TKY5:TKY10 TBC5:TBC10 SRG5:SRG10 SHK5:SHK10 RXO5:RXO10 RNS5:RNS10 RDW5:RDW10 QUA5:QUA10 QKE5:QKE10 QAI5:QAI10 PQM5:PQM10 PGQ5:PGQ10 OWU5:OWU10 OMY5:OMY10 ODC5:ODC10 NTG5:NTG10 NJK5:NJK10 MZO5:MZO10 MPS5:MPS10 MFW5:MFW10 LWA5:LWA10 LME5:LME10 LCI5:LCI10 KSM5:KSM10 KIQ5:KIQ10 JYU5:JYU10 JOY5:JOY10 JFC5:JFC10 IVG5:IVG10 ILK5:ILK10 IBO5:IBO10 HRS5:HRS10 HHW5:HHW10 GYA5:GYA10 GOE5:GOE10 GEI5:GEI10 FUM5:FUM10 FKQ5:FKQ10 FAU5:FAU10 EQY5:EQY10 EHC5:EHC10 DXG5:DXG10 DNK5:DNK10 DDO5:DDO10 CTS5:CTS10 CJW5:CJW10 CAA5:CAA10 BQE5:BQE10 BGI5:BGI10 AWM5:AWM10 AMQ5:AMQ10 ACU5:ACU10 SY5:SY10 JC5:JC10 P5:P10 WVL5:WVL10 WLP5:WLP10 WBT5:WBT10 VRX5:VRX10 VIB5:VIB10 UYF5:UYF10 UOJ5:UOJ10 UEN5:UEN10 TUR5:TUR10 TKV5:TKV10 TAZ5:TAZ10 SRD5:SRD10 SHH5:SHH10 RXL5:RXL10 RNP5:RNP10 RDT5:RDT10 QTX5:QTX10 QKB5:QKB10 QAF5:QAF10 PQJ5:PQJ10 PGN5:PGN10 OWR5:OWR10 OMV5:OMV10 OCZ5:OCZ10 NTD5:NTD10 NJH5:NJH10 MZL5:MZL10 MPP5:MPP10 MFT5:MFT10 LVX5:LVX10 LMB5:LMB10 LCF5:LCF10 KSJ5:KSJ10 KIN5:KIN10 JYR5:JYR10 JOV5:JOV10 JEZ5:JEZ10 IVD5:IVD10 ILH5:ILH10 IBL5:IBL10 HRP5:HRP10 HHT5:HHT10 GXX5:GXX10 GOB5:GOB10 GEF5:GEF10 FUJ5:FUJ10 FKN5:FKN10 FAR5:FAR10 EQV5:EQV10 EGZ5:EGZ10 DXD5:DXD10 DNH5:DNH10 DDL5:DDL10 CTP5:CTP10 CJT5:CJT10 BZX5:BZX10 BQB5:BQB10 BGF5:BGF10 AWJ5:AWJ10 AMN5:AMN10 ACR5:ACR10 SV5:SV10 IZ5:IZ10 N5:N10 WVI5:WVI10 WLM5:WLM10 WBQ5:WBQ10 VRU5:VRU10 VHY5:VHY10 UYC5:UYC10 UOG5:UOG10 UEK5:UEK10 TUO5:TUO10 TKS5:TKS10 TAW5:TAW10 SRA5:SRA10 SHE5:SHE10 RXI5:RXI10 RNM5:RNM10 RDQ5:RDQ10 QTU5:QTU10 QJY5:QJY10 QAC5:QAC10 PQG5:PQG10 PGK5:PGK10 OWO5:OWO10 OMS5:OMS10 OCW5:OCW10 NTA5:NTA10 NJE5:NJE10 MZI5:MZI10 MPM5:MPM10 MFQ5:MFQ10 LVU5:LVU10 LLY5:LLY10 LCC5:LCC10 KSG5:KSG10 KIK5:KIK10 JYO5:JYO10 JOS5:JOS10 JEW5:JEW10 IVA5:IVA10 ILE5:ILE10 IBI5:IBI10 HRM5:HRM10 HHQ5:HHQ10 GXU5:GXU10 GNY5:GNY10 GEC5:GEC10 FUG5:FUG10 FKK5:FKK10 FAO5:FAO10 EQS5:EQS10 EGW5:EGW10 DXA5:DXA10 DNE5:DNE10 DDI5:DDI10 CTM5:CTM10 CJQ5:CJQ10 BZU5:BZU10 BPY5:BPY10 BGC5:BGC10 AWG5:AWG10 AMK5:AMK10 ACO5:ACO10 SS5:SS10 IW5:IW10 L5:L10 WVF5:WVF10 WLJ5:WLJ10 WBN5:WBN10 VRR5:VRR10 VHV5:VHV10 UXZ5:UXZ10 UOD5:UOD10 UEH5:UEH10 TUL5:TUL10 TKP5:TKP10 TAT5:TAT10 SQX5:SQX10 SHB5:SHB10 RXF5:RXF10 RNJ5:RNJ10 RDN5:RDN10 QTR5:QTR10 QJV5:QJV10 PZZ5:PZZ10 PQD5:PQD10 PGH5:PGH10 OWL5:OWL10 OMP5:OMP10 OCT5:OCT10 NSX5:NSX10 NJB5:NJB10 MZF5:MZF10 MPJ5:MPJ10 MFN5:MFN10 LVR5:LVR10 LLV5:LLV10 LBZ5:LBZ10 KSD5:KSD10 KIH5:KIH10 JYL5:JYL10 JOP5:JOP10 JET5:JET10 IUX5:IUX10 ILB5:ILB10 IBF5:IBF10 HRJ5:HRJ10 HHN5:HHN10 GXR5:GXR10 GNV5:GNV10 GDZ5:GDZ10 FUD5:FUD10 FKH5:FKH10 FAL5:FAL10 EQP5:EQP10 EGT5:EGT10 DWX5:DWX10 DNB5:DNB10 DDF5:DDF10 CTJ5:CTJ10 CJN5:CJN10 BZR5:BZR10 BPV5:BPV10 BFZ5:BFZ10 AWD5:AWD10 AMH5:AMH10 ACL5:ACL10 SP5:SP10 IT5:IT10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51C05-5789-4997-9909-52985A802A21}">
  <sheetPr codeName="Sheet23">
    <tabColor theme="3" tint="-0.499984740745262"/>
  </sheetPr>
  <dimension ref="A1:AD52"/>
  <sheetViews>
    <sheetView topLeftCell="A28" workbookViewId="0">
      <selection activeCell="E27" sqref="E27"/>
    </sheetView>
  </sheetViews>
  <sheetFormatPr defaultRowHeight="12.75"/>
  <cols>
    <col min="1" max="1" width="3" style="366" customWidth="1"/>
    <col min="2" max="2" width="3.5703125" style="367" customWidth="1"/>
    <col min="3" max="3" width="10.140625" style="367" bestFit="1" customWidth="1"/>
    <col min="4" max="4" width="30.7109375" style="367" customWidth="1"/>
    <col min="5" max="5" width="12.140625" style="367" customWidth="1"/>
    <col min="6" max="6" width="15.5703125" style="367" customWidth="1"/>
    <col min="7" max="7" width="6.42578125" style="367" customWidth="1"/>
    <col min="8" max="8" width="12.140625" style="367" customWidth="1"/>
    <col min="9" max="9" width="6.42578125" style="367" customWidth="1"/>
    <col min="10" max="10" width="12.140625" style="367" customWidth="1"/>
    <col min="11" max="11" width="6.42578125" style="367" customWidth="1"/>
    <col min="12" max="12" width="12.140625" style="367" customWidth="1"/>
    <col min="13" max="13" width="6.42578125" style="367" customWidth="1"/>
    <col min="14" max="14" width="12.140625" style="367" customWidth="1"/>
    <col min="15" max="15" width="6.42578125" style="367" customWidth="1"/>
    <col min="16" max="16" width="12.140625" style="367" customWidth="1"/>
    <col min="17" max="17" width="6.42578125" style="367" customWidth="1"/>
    <col min="18" max="18" width="12.140625" style="367" customWidth="1"/>
    <col min="19" max="19" width="6.42578125" style="367" customWidth="1"/>
    <col min="20" max="20" width="12.140625" style="367" customWidth="1"/>
    <col min="21" max="21" width="6.42578125" style="367" customWidth="1"/>
    <col min="22" max="22" width="12.140625" style="367" customWidth="1"/>
    <col min="23" max="23" width="6.42578125" style="367" customWidth="1"/>
    <col min="24" max="24" width="12.140625" style="367" customWidth="1"/>
    <col min="25" max="25" width="6.42578125" style="367" customWidth="1"/>
    <col min="26" max="26" width="12.140625" style="367" customWidth="1"/>
    <col min="27" max="27" width="6.42578125" style="367" customWidth="1"/>
    <col min="28" max="28" width="12.140625" style="367" customWidth="1"/>
    <col min="29" max="29" width="6.42578125" style="367" customWidth="1"/>
    <col min="30" max="30" width="12.140625" style="367" customWidth="1"/>
    <col min="31" max="232" width="9.140625" style="367"/>
    <col min="233" max="233" width="1.7109375" style="367" customWidth="1"/>
    <col min="234" max="234" width="3.5703125" style="367" customWidth="1"/>
    <col min="235" max="235" width="11" style="367" customWidth="1"/>
    <col min="236" max="236" width="20.7109375" style="367" customWidth="1"/>
    <col min="237" max="238" width="11.7109375" style="367" customWidth="1"/>
    <col min="239" max="239" width="9.7109375" style="367" customWidth="1"/>
    <col min="240" max="240" width="10.140625" style="367" bestFit="1" customWidth="1"/>
    <col min="241" max="242" width="7.7109375" style="367" customWidth="1"/>
    <col min="243" max="243" width="4" style="367" customWidth="1"/>
    <col min="244" max="244" width="9.7109375" style="367" customWidth="1"/>
    <col min="245" max="245" width="15.140625" style="367" customWidth="1"/>
    <col min="246" max="246" width="5.140625" style="367" customWidth="1"/>
    <col min="247" max="247" width="9.7109375" style="367" customWidth="1"/>
    <col min="248" max="248" width="13.7109375" style="367" customWidth="1"/>
    <col min="249" max="249" width="5.140625" style="367" customWidth="1"/>
    <col min="250" max="250" width="9.7109375" style="367" customWidth="1"/>
    <col min="251" max="251" width="12.5703125" style="367" customWidth="1"/>
    <col min="252" max="252" width="5.140625" style="367" customWidth="1"/>
    <col min="253" max="253" width="9.7109375" style="367" customWidth="1"/>
    <col min="254" max="254" width="12.7109375" style="367" customWidth="1"/>
    <col min="255" max="255" width="5.140625" style="367" customWidth="1"/>
    <col min="256" max="256" width="9.7109375" style="367" customWidth="1"/>
    <col min="257" max="257" width="12.7109375" style="367" customWidth="1"/>
    <col min="258" max="258" width="5.140625" style="367" customWidth="1"/>
    <col min="259" max="259" width="9.7109375" style="367" customWidth="1"/>
    <col min="260" max="260" width="12.7109375" style="367" customWidth="1"/>
    <col min="261" max="261" width="5.140625" style="367" customWidth="1"/>
    <col min="262" max="262" width="9.7109375" style="367" customWidth="1"/>
    <col min="263" max="263" width="12.7109375" style="367" customWidth="1"/>
    <col min="264" max="264" width="5.140625" style="367" customWidth="1"/>
    <col min="265" max="265" width="9.7109375" style="367" customWidth="1"/>
    <col min="266" max="266" width="12.7109375" style="367" customWidth="1"/>
    <col min="267" max="267" width="5.140625" style="367" customWidth="1"/>
    <col min="268" max="268" width="9.7109375" style="367" customWidth="1"/>
    <col min="269" max="269" width="12.7109375" style="367" customWidth="1"/>
    <col min="270" max="270" width="5.140625" style="367" customWidth="1"/>
    <col min="271" max="271" width="9.7109375" style="367" customWidth="1"/>
    <col min="272" max="272" width="12.7109375" style="367" customWidth="1"/>
    <col min="273" max="273" width="5.140625" style="367" customWidth="1"/>
    <col min="274" max="274" width="9.7109375" style="367" customWidth="1"/>
    <col min="275" max="275" width="12.7109375" style="367" customWidth="1"/>
    <col min="276" max="276" width="5.140625" style="367" customWidth="1"/>
    <col min="277" max="277" width="9.7109375" style="367" customWidth="1"/>
    <col min="278" max="278" width="12.7109375" style="367" customWidth="1"/>
    <col min="279" max="279" width="5.140625" style="367" customWidth="1"/>
    <col min="280" max="280" width="9.7109375" style="367" customWidth="1"/>
    <col min="281" max="281" width="12.7109375" style="367" customWidth="1"/>
    <col min="282" max="282" width="5.140625" style="367" customWidth="1"/>
    <col min="283" max="283" width="9.7109375" style="367" customWidth="1"/>
    <col min="284" max="284" width="12.7109375" style="367" customWidth="1"/>
    <col min="285" max="285" width="37.7109375" style="367" customWidth="1"/>
    <col min="286" max="488" width="9.140625" style="367"/>
    <col min="489" max="489" width="1.7109375" style="367" customWidth="1"/>
    <col min="490" max="490" width="3.5703125" style="367" customWidth="1"/>
    <col min="491" max="491" width="11" style="367" customWidth="1"/>
    <col min="492" max="492" width="20.7109375" style="367" customWidth="1"/>
    <col min="493" max="494" width="11.7109375" style="367" customWidth="1"/>
    <col min="495" max="495" width="9.7109375" style="367" customWidth="1"/>
    <col min="496" max="496" width="10.140625" style="367" bestFit="1" customWidth="1"/>
    <col min="497" max="498" width="7.7109375" style="367" customWidth="1"/>
    <col min="499" max="499" width="4" style="367" customWidth="1"/>
    <col min="500" max="500" width="9.7109375" style="367" customWidth="1"/>
    <col min="501" max="501" width="15.140625" style="367" customWidth="1"/>
    <col min="502" max="502" width="5.140625" style="367" customWidth="1"/>
    <col min="503" max="503" width="9.7109375" style="367" customWidth="1"/>
    <col min="504" max="504" width="13.7109375" style="367" customWidth="1"/>
    <col min="505" max="505" width="5.140625" style="367" customWidth="1"/>
    <col min="506" max="506" width="9.7109375" style="367" customWidth="1"/>
    <col min="507" max="507" width="12.5703125" style="367" customWidth="1"/>
    <col min="508" max="508" width="5.140625" style="367" customWidth="1"/>
    <col min="509" max="509" width="9.7109375" style="367" customWidth="1"/>
    <col min="510" max="510" width="12.7109375" style="367" customWidth="1"/>
    <col min="511" max="511" width="5.140625" style="367" customWidth="1"/>
    <col min="512" max="512" width="9.7109375" style="367" customWidth="1"/>
    <col min="513" max="513" width="12.7109375" style="367" customWidth="1"/>
    <col min="514" max="514" width="5.140625" style="367" customWidth="1"/>
    <col min="515" max="515" width="9.7109375" style="367" customWidth="1"/>
    <col min="516" max="516" width="12.7109375" style="367" customWidth="1"/>
    <col min="517" max="517" width="5.140625" style="367" customWidth="1"/>
    <col min="518" max="518" width="9.7109375" style="367" customWidth="1"/>
    <col min="519" max="519" width="12.7109375" style="367" customWidth="1"/>
    <col min="520" max="520" width="5.140625" style="367" customWidth="1"/>
    <col min="521" max="521" width="9.7109375" style="367" customWidth="1"/>
    <col min="522" max="522" width="12.7109375" style="367" customWidth="1"/>
    <col min="523" max="523" width="5.140625" style="367" customWidth="1"/>
    <col min="524" max="524" width="9.7109375" style="367" customWidth="1"/>
    <col min="525" max="525" width="12.7109375" style="367" customWidth="1"/>
    <col min="526" max="526" width="5.140625" style="367" customWidth="1"/>
    <col min="527" max="527" width="9.7109375" style="367" customWidth="1"/>
    <col min="528" max="528" width="12.7109375" style="367" customWidth="1"/>
    <col min="529" max="529" width="5.140625" style="367" customWidth="1"/>
    <col min="530" max="530" width="9.7109375" style="367" customWidth="1"/>
    <col min="531" max="531" width="12.7109375" style="367" customWidth="1"/>
    <col min="532" max="532" width="5.140625" style="367" customWidth="1"/>
    <col min="533" max="533" width="9.7109375" style="367" customWidth="1"/>
    <col min="534" max="534" width="12.7109375" style="367" customWidth="1"/>
    <col min="535" max="535" width="5.140625" style="367" customWidth="1"/>
    <col min="536" max="536" width="9.7109375" style="367" customWidth="1"/>
    <col min="537" max="537" width="12.7109375" style="367" customWidth="1"/>
    <col min="538" max="538" width="5.140625" style="367" customWidth="1"/>
    <col min="539" max="539" width="9.7109375" style="367" customWidth="1"/>
    <col min="540" max="540" width="12.7109375" style="367" customWidth="1"/>
    <col min="541" max="541" width="37.7109375" style="367" customWidth="1"/>
    <col min="542" max="744" width="9.140625" style="367"/>
    <col min="745" max="745" width="1.7109375" style="367" customWidth="1"/>
    <col min="746" max="746" width="3.5703125" style="367" customWidth="1"/>
    <col min="747" max="747" width="11" style="367" customWidth="1"/>
    <col min="748" max="748" width="20.7109375" style="367" customWidth="1"/>
    <col min="749" max="750" width="11.7109375" style="367" customWidth="1"/>
    <col min="751" max="751" width="9.7109375" style="367" customWidth="1"/>
    <col min="752" max="752" width="10.140625" style="367" bestFit="1" customWidth="1"/>
    <col min="753" max="754" width="7.7109375" style="367" customWidth="1"/>
    <col min="755" max="755" width="4" style="367" customWidth="1"/>
    <col min="756" max="756" width="9.7109375" style="367" customWidth="1"/>
    <col min="757" max="757" width="15.140625" style="367" customWidth="1"/>
    <col min="758" max="758" width="5.140625" style="367" customWidth="1"/>
    <col min="759" max="759" width="9.7109375" style="367" customWidth="1"/>
    <col min="760" max="760" width="13.7109375" style="367" customWidth="1"/>
    <col min="761" max="761" width="5.140625" style="367" customWidth="1"/>
    <col min="762" max="762" width="9.7109375" style="367" customWidth="1"/>
    <col min="763" max="763" width="12.5703125" style="367" customWidth="1"/>
    <col min="764" max="764" width="5.140625" style="367" customWidth="1"/>
    <col min="765" max="765" width="9.7109375" style="367" customWidth="1"/>
    <col min="766" max="766" width="12.7109375" style="367" customWidth="1"/>
    <col min="767" max="767" width="5.140625" style="367" customWidth="1"/>
    <col min="768" max="768" width="9.7109375" style="367" customWidth="1"/>
    <col min="769" max="769" width="12.7109375" style="367" customWidth="1"/>
    <col min="770" max="770" width="5.140625" style="367" customWidth="1"/>
    <col min="771" max="771" width="9.7109375" style="367" customWidth="1"/>
    <col min="772" max="772" width="12.7109375" style="367" customWidth="1"/>
    <col min="773" max="773" width="5.140625" style="367" customWidth="1"/>
    <col min="774" max="774" width="9.7109375" style="367" customWidth="1"/>
    <col min="775" max="775" width="12.7109375" style="367" customWidth="1"/>
    <col min="776" max="776" width="5.140625" style="367" customWidth="1"/>
    <col min="777" max="777" width="9.7109375" style="367" customWidth="1"/>
    <col min="778" max="778" width="12.7109375" style="367" customWidth="1"/>
    <col min="779" max="779" width="5.140625" style="367" customWidth="1"/>
    <col min="780" max="780" width="9.7109375" style="367" customWidth="1"/>
    <col min="781" max="781" width="12.7109375" style="367" customWidth="1"/>
    <col min="782" max="782" width="5.140625" style="367" customWidth="1"/>
    <col min="783" max="783" width="9.7109375" style="367" customWidth="1"/>
    <col min="784" max="784" width="12.7109375" style="367" customWidth="1"/>
    <col min="785" max="785" width="5.140625" style="367" customWidth="1"/>
    <col min="786" max="786" width="9.7109375" style="367" customWidth="1"/>
    <col min="787" max="787" width="12.7109375" style="367" customWidth="1"/>
    <col min="788" max="788" width="5.140625" style="367" customWidth="1"/>
    <col min="789" max="789" width="9.7109375" style="367" customWidth="1"/>
    <col min="790" max="790" width="12.7109375" style="367" customWidth="1"/>
    <col min="791" max="791" width="5.140625" style="367" customWidth="1"/>
    <col min="792" max="792" width="9.7109375" style="367" customWidth="1"/>
    <col min="793" max="793" width="12.7109375" style="367" customWidth="1"/>
    <col min="794" max="794" width="5.140625" style="367" customWidth="1"/>
    <col min="795" max="795" width="9.7109375" style="367" customWidth="1"/>
    <col min="796" max="796" width="12.7109375" style="367" customWidth="1"/>
    <col min="797" max="797" width="37.7109375" style="367" customWidth="1"/>
    <col min="798" max="1000" width="9.140625" style="367"/>
    <col min="1001" max="1001" width="1.7109375" style="367" customWidth="1"/>
    <col min="1002" max="1002" width="3.5703125" style="367" customWidth="1"/>
    <col min="1003" max="1003" width="11" style="367" customWidth="1"/>
    <col min="1004" max="1004" width="20.7109375" style="367" customWidth="1"/>
    <col min="1005" max="1006" width="11.7109375" style="367" customWidth="1"/>
    <col min="1007" max="1007" width="9.7109375" style="367" customWidth="1"/>
    <col min="1008" max="1008" width="10.140625" style="367" bestFit="1" customWidth="1"/>
    <col min="1009" max="1010" width="7.7109375" style="367" customWidth="1"/>
    <col min="1011" max="1011" width="4" style="367" customWidth="1"/>
    <col min="1012" max="1012" width="9.7109375" style="367" customWidth="1"/>
    <col min="1013" max="1013" width="15.140625" style="367" customWidth="1"/>
    <col min="1014" max="1014" width="5.140625" style="367" customWidth="1"/>
    <col min="1015" max="1015" width="9.7109375" style="367" customWidth="1"/>
    <col min="1016" max="1016" width="13.7109375" style="367" customWidth="1"/>
    <col min="1017" max="1017" width="5.140625" style="367" customWidth="1"/>
    <col min="1018" max="1018" width="9.7109375" style="367" customWidth="1"/>
    <col min="1019" max="1019" width="12.5703125" style="367" customWidth="1"/>
    <col min="1020" max="1020" width="5.140625" style="367" customWidth="1"/>
    <col min="1021" max="1021" width="9.7109375" style="367" customWidth="1"/>
    <col min="1022" max="1022" width="12.7109375" style="367" customWidth="1"/>
    <col min="1023" max="1023" width="5.140625" style="367" customWidth="1"/>
    <col min="1024" max="1024" width="9.7109375" style="367" customWidth="1"/>
    <col min="1025" max="1025" width="12.7109375" style="367" customWidth="1"/>
    <col min="1026" max="1026" width="5.140625" style="367" customWidth="1"/>
    <col min="1027" max="1027" width="9.7109375" style="367" customWidth="1"/>
    <col min="1028" max="1028" width="12.7109375" style="367" customWidth="1"/>
    <col min="1029" max="1029" width="5.140625" style="367" customWidth="1"/>
    <col min="1030" max="1030" width="9.7109375" style="367" customWidth="1"/>
    <col min="1031" max="1031" width="12.7109375" style="367" customWidth="1"/>
    <col min="1032" max="1032" width="5.140625" style="367" customWidth="1"/>
    <col min="1033" max="1033" width="9.7109375" style="367" customWidth="1"/>
    <col min="1034" max="1034" width="12.7109375" style="367" customWidth="1"/>
    <col min="1035" max="1035" width="5.140625" style="367" customWidth="1"/>
    <col min="1036" max="1036" width="9.7109375" style="367" customWidth="1"/>
    <col min="1037" max="1037" width="12.7109375" style="367" customWidth="1"/>
    <col min="1038" max="1038" width="5.140625" style="367" customWidth="1"/>
    <col min="1039" max="1039" width="9.7109375" style="367" customWidth="1"/>
    <col min="1040" max="1040" width="12.7109375" style="367" customWidth="1"/>
    <col min="1041" max="1041" width="5.140625" style="367" customWidth="1"/>
    <col min="1042" max="1042" width="9.7109375" style="367" customWidth="1"/>
    <col min="1043" max="1043" width="12.7109375" style="367" customWidth="1"/>
    <col min="1044" max="1044" width="5.140625" style="367" customWidth="1"/>
    <col min="1045" max="1045" width="9.7109375" style="367" customWidth="1"/>
    <col min="1046" max="1046" width="12.7109375" style="367" customWidth="1"/>
    <col min="1047" max="1047" width="5.140625" style="367" customWidth="1"/>
    <col min="1048" max="1048" width="9.7109375" style="367" customWidth="1"/>
    <col min="1049" max="1049" width="12.7109375" style="367" customWidth="1"/>
    <col min="1050" max="1050" width="5.140625" style="367" customWidth="1"/>
    <col min="1051" max="1051" width="9.7109375" style="367" customWidth="1"/>
    <col min="1052" max="1052" width="12.7109375" style="367" customWidth="1"/>
    <col min="1053" max="1053" width="37.7109375" style="367" customWidth="1"/>
    <col min="1054" max="1256" width="9.140625" style="367"/>
    <col min="1257" max="1257" width="1.7109375" style="367" customWidth="1"/>
    <col min="1258" max="1258" width="3.5703125" style="367" customWidth="1"/>
    <col min="1259" max="1259" width="11" style="367" customWidth="1"/>
    <col min="1260" max="1260" width="20.7109375" style="367" customWidth="1"/>
    <col min="1261" max="1262" width="11.7109375" style="367" customWidth="1"/>
    <col min="1263" max="1263" width="9.7109375" style="367" customWidth="1"/>
    <col min="1264" max="1264" width="10.140625" style="367" bestFit="1" customWidth="1"/>
    <col min="1265" max="1266" width="7.7109375" style="367" customWidth="1"/>
    <col min="1267" max="1267" width="4" style="367" customWidth="1"/>
    <col min="1268" max="1268" width="9.7109375" style="367" customWidth="1"/>
    <col min="1269" max="1269" width="15.140625" style="367" customWidth="1"/>
    <col min="1270" max="1270" width="5.140625" style="367" customWidth="1"/>
    <col min="1271" max="1271" width="9.7109375" style="367" customWidth="1"/>
    <col min="1272" max="1272" width="13.7109375" style="367" customWidth="1"/>
    <col min="1273" max="1273" width="5.140625" style="367" customWidth="1"/>
    <col min="1274" max="1274" width="9.7109375" style="367" customWidth="1"/>
    <col min="1275" max="1275" width="12.5703125" style="367" customWidth="1"/>
    <col min="1276" max="1276" width="5.140625" style="367" customWidth="1"/>
    <col min="1277" max="1277" width="9.7109375" style="367" customWidth="1"/>
    <col min="1278" max="1278" width="12.7109375" style="367" customWidth="1"/>
    <col min="1279" max="1279" width="5.140625" style="367" customWidth="1"/>
    <col min="1280" max="1280" width="9.7109375" style="367" customWidth="1"/>
    <col min="1281" max="1281" width="12.7109375" style="367" customWidth="1"/>
    <col min="1282" max="1282" width="5.140625" style="367" customWidth="1"/>
    <col min="1283" max="1283" width="9.7109375" style="367" customWidth="1"/>
    <col min="1284" max="1284" width="12.7109375" style="367" customWidth="1"/>
    <col min="1285" max="1285" width="5.140625" style="367" customWidth="1"/>
    <col min="1286" max="1286" width="9.7109375" style="367" customWidth="1"/>
    <col min="1287" max="1287" width="12.7109375" style="367" customWidth="1"/>
    <col min="1288" max="1288" width="5.140625" style="367" customWidth="1"/>
    <col min="1289" max="1289" width="9.7109375" style="367" customWidth="1"/>
    <col min="1290" max="1290" width="12.7109375" style="367" customWidth="1"/>
    <col min="1291" max="1291" width="5.140625" style="367" customWidth="1"/>
    <col min="1292" max="1292" width="9.7109375" style="367" customWidth="1"/>
    <col min="1293" max="1293" width="12.7109375" style="367" customWidth="1"/>
    <col min="1294" max="1294" width="5.140625" style="367" customWidth="1"/>
    <col min="1295" max="1295" width="9.7109375" style="367" customWidth="1"/>
    <col min="1296" max="1296" width="12.7109375" style="367" customWidth="1"/>
    <col min="1297" max="1297" width="5.140625" style="367" customWidth="1"/>
    <col min="1298" max="1298" width="9.7109375" style="367" customWidth="1"/>
    <col min="1299" max="1299" width="12.7109375" style="367" customWidth="1"/>
    <col min="1300" max="1300" width="5.140625" style="367" customWidth="1"/>
    <col min="1301" max="1301" width="9.7109375" style="367" customWidth="1"/>
    <col min="1302" max="1302" width="12.7109375" style="367" customWidth="1"/>
    <col min="1303" max="1303" width="5.140625" style="367" customWidth="1"/>
    <col min="1304" max="1304" width="9.7109375" style="367" customWidth="1"/>
    <col min="1305" max="1305" width="12.7109375" style="367" customWidth="1"/>
    <col min="1306" max="1306" width="5.140625" style="367" customWidth="1"/>
    <col min="1307" max="1307" width="9.7109375" style="367" customWidth="1"/>
    <col min="1308" max="1308" width="12.7109375" style="367" customWidth="1"/>
    <col min="1309" max="1309" width="37.7109375" style="367" customWidth="1"/>
    <col min="1310" max="1512" width="9.140625" style="367"/>
    <col min="1513" max="1513" width="1.7109375" style="367" customWidth="1"/>
    <col min="1514" max="1514" width="3.5703125" style="367" customWidth="1"/>
    <col min="1515" max="1515" width="11" style="367" customWidth="1"/>
    <col min="1516" max="1516" width="20.7109375" style="367" customWidth="1"/>
    <col min="1517" max="1518" width="11.7109375" style="367" customWidth="1"/>
    <col min="1519" max="1519" width="9.7109375" style="367" customWidth="1"/>
    <col min="1520" max="1520" width="10.140625" style="367" bestFit="1" customWidth="1"/>
    <col min="1521" max="1522" width="7.7109375" style="367" customWidth="1"/>
    <col min="1523" max="1523" width="4" style="367" customWidth="1"/>
    <col min="1524" max="1524" width="9.7109375" style="367" customWidth="1"/>
    <col min="1525" max="1525" width="15.140625" style="367" customWidth="1"/>
    <col min="1526" max="1526" width="5.140625" style="367" customWidth="1"/>
    <col min="1527" max="1527" width="9.7109375" style="367" customWidth="1"/>
    <col min="1528" max="1528" width="13.7109375" style="367" customWidth="1"/>
    <col min="1529" max="1529" width="5.140625" style="367" customWidth="1"/>
    <col min="1530" max="1530" width="9.7109375" style="367" customWidth="1"/>
    <col min="1531" max="1531" width="12.5703125" style="367" customWidth="1"/>
    <col min="1532" max="1532" width="5.140625" style="367" customWidth="1"/>
    <col min="1533" max="1533" width="9.7109375" style="367" customWidth="1"/>
    <col min="1534" max="1534" width="12.7109375" style="367" customWidth="1"/>
    <col min="1535" max="1535" width="5.140625" style="367" customWidth="1"/>
    <col min="1536" max="1536" width="9.7109375" style="367" customWidth="1"/>
    <col min="1537" max="1537" width="12.7109375" style="367" customWidth="1"/>
    <col min="1538" max="1538" width="5.140625" style="367" customWidth="1"/>
    <col min="1539" max="1539" width="9.7109375" style="367" customWidth="1"/>
    <col min="1540" max="1540" width="12.7109375" style="367" customWidth="1"/>
    <col min="1541" max="1541" width="5.140625" style="367" customWidth="1"/>
    <col min="1542" max="1542" width="9.7109375" style="367" customWidth="1"/>
    <col min="1543" max="1543" width="12.7109375" style="367" customWidth="1"/>
    <col min="1544" max="1544" width="5.140625" style="367" customWidth="1"/>
    <col min="1545" max="1545" width="9.7109375" style="367" customWidth="1"/>
    <col min="1546" max="1546" width="12.7109375" style="367" customWidth="1"/>
    <col min="1547" max="1547" width="5.140625" style="367" customWidth="1"/>
    <col min="1548" max="1548" width="9.7109375" style="367" customWidth="1"/>
    <col min="1549" max="1549" width="12.7109375" style="367" customWidth="1"/>
    <col min="1550" max="1550" width="5.140625" style="367" customWidth="1"/>
    <col min="1551" max="1551" width="9.7109375" style="367" customWidth="1"/>
    <col min="1552" max="1552" width="12.7109375" style="367" customWidth="1"/>
    <col min="1553" max="1553" width="5.140625" style="367" customWidth="1"/>
    <col min="1554" max="1554" width="9.7109375" style="367" customWidth="1"/>
    <col min="1555" max="1555" width="12.7109375" style="367" customWidth="1"/>
    <col min="1556" max="1556" width="5.140625" style="367" customWidth="1"/>
    <col min="1557" max="1557" width="9.7109375" style="367" customWidth="1"/>
    <col min="1558" max="1558" width="12.7109375" style="367" customWidth="1"/>
    <col min="1559" max="1559" width="5.140625" style="367" customWidth="1"/>
    <col min="1560" max="1560" width="9.7109375" style="367" customWidth="1"/>
    <col min="1561" max="1561" width="12.7109375" style="367" customWidth="1"/>
    <col min="1562" max="1562" width="5.140625" style="367" customWidth="1"/>
    <col min="1563" max="1563" width="9.7109375" style="367" customWidth="1"/>
    <col min="1564" max="1564" width="12.7109375" style="367" customWidth="1"/>
    <col min="1565" max="1565" width="37.7109375" style="367" customWidth="1"/>
    <col min="1566" max="1768" width="9.140625" style="367"/>
    <col min="1769" max="1769" width="1.7109375" style="367" customWidth="1"/>
    <col min="1770" max="1770" width="3.5703125" style="367" customWidth="1"/>
    <col min="1771" max="1771" width="11" style="367" customWidth="1"/>
    <col min="1772" max="1772" width="20.7109375" style="367" customWidth="1"/>
    <col min="1773" max="1774" width="11.7109375" style="367" customWidth="1"/>
    <col min="1775" max="1775" width="9.7109375" style="367" customWidth="1"/>
    <col min="1776" max="1776" width="10.140625" style="367" bestFit="1" customWidth="1"/>
    <col min="1777" max="1778" width="7.7109375" style="367" customWidth="1"/>
    <col min="1779" max="1779" width="4" style="367" customWidth="1"/>
    <col min="1780" max="1780" width="9.7109375" style="367" customWidth="1"/>
    <col min="1781" max="1781" width="15.140625" style="367" customWidth="1"/>
    <col min="1782" max="1782" width="5.140625" style="367" customWidth="1"/>
    <col min="1783" max="1783" width="9.7109375" style="367" customWidth="1"/>
    <col min="1784" max="1784" width="13.7109375" style="367" customWidth="1"/>
    <col min="1785" max="1785" width="5.140625" style="367" customWidth="1"/>
    <col min="1786" max="1786" width="9.7109375" style="367" customWidth="1"/>
    <col min="1787" max="1787" width="12.5703125" style="367" customWidth="1"/>
    <col min="1788" max="1788" width="5.140625" style="367" customWidth="1"/>
    <col min="1789" max="1789" width="9.7109375" style="367" customWidth="1"/>
    <col min="1790" max="1790" width="12.7109375" style="367" customWidth="1"/>
    <col min="1791" max="1791" width="5.140625" style="367" customWidth="1"/>
    <col min="1792" max="1792" width="9.7109375" style="367" customWidth="1"/>
    <col min="1793" max="1793" width="12.7109375" style="367" customWidth="1"/>
    <col min="1794" max="1794" width="5.140625" style="367" customWidth="1"/>
    <col min="1795" max="1795" width="9.7109375" style="367" customWidth="1"/>
    <col min="1796" max="1796" width="12.7109375" style="367" customWidth="1"/>
    <col min="1797" max="1797" width="5.140625" style="367" customWidth="1"/>
    <col min="1798" max="1798" width="9.7109375" style="367" customWidth="1"/>
    <col min="1799" max="1799" width="12.7109375" style="367" customWidth="1"/>
    <col min="1800" max="1800" width="5.140625" style="367" customWidth="1"/>
    <col min="1801" max="1801" width="9.7109375" style="367" customWidth="1"/>
    <col min="1802" max="1802" width="12.7109375" style="367" customWidth="1"/>
    <col min="1803" max="1803" width="5.140625" style="367" customWidth="1"/>
    <col min="1804" max="1804" width="9.7109375" style="367" customWidth="1"/>
    <col min="1805" max="1805" width="12.7109375" style="367" customWidth="1"/>
    <col min="1806" max="1806" width="5.140625" style="367" customWidth="1"/>
    <col min="1807" max="1807" width="9.7109375" style="367" customWidth="1"/>
    <col min="1808" max="1808" width="12.7109375" style="367" customWidth="1"/>
    <col min="1809" max="1809" width="5.140625" style="367" customWidth="1"/>
    <col min="1810" max="1810" width="9.7109375" style="367" customWidth="1"/>
    <col min="1811" max="1811" width="12.7109375" style="367" customWidth="1"/>
    <col min="1812" max="1812" width="5.140625" style="367" customWidth="1"/>
    <col min="1813" max="1813" width="9.7109375" style="367" customWidth="1"/>
    <col min="1814" max="1814" width="12.7109375" style="367" customWidth="1"/>
    <col min="1815" max="1815" width="5.140625" style="367" customWidth="1"/>
    <col min="1816" max="1816" width="9.7109375" style="367" customWidth="1"/>
    <col min="1817" max="1817" width="12.7109375" style="367" customWidth="1"/>
    <col min="1818" max="1818" width="5.140625" style="367" customWidth="1"/>
    <col min="1819" max="1819" width="9.7109375" style="367" customWidth="1"/>
    <col min="1820" max="1820" width="12.7109375" style="367" customWidth="1"/>
    <col min="1821" max="1821" width="37.7109375" style="367" customWidth="1"/>
    <col min="1822" max="2024" width="9.140625" style="367"/>
    <col min="2025" max="2025" width="1.7109375" style="367" customWidth="1"/>
    <col min="2026" max="2026" width="3.5703125" style="367" customWidth="1"/>
    <col min="2027" max="2027" width="11" style="367" customWidth="1"/>
    <col min="2028" max="2028" width="20.7109375" style="367" customWidth="1"/>
    <col min="2029" max="2030" width="11.7109375" style="367" customWidth="1"/>
    <col min="2031" max="2031" width="9.7109375" style="367" customWidth="1"/>
    <col min="2032" max="2032" width="10.140625" style="367" bestFit="1" customWidth="1"/>
    <col min="2033" max="2034" width="7.7109375" style="367" customWidth="1"/>
    <col min="2035" max="2035" width="4" style="367" customWidth="1"/>
    <col min="2036" max="2036" width="9.7109375" style="367" customWidth="1"/>
    <col min="2037" max="2037" width="15.140625" style="367" customWidth="1"/>
    <col min="2038" max="2038" width="5.140625" style="367" customWidth="1"/>
    <col min="2039" max="2039" width="9.7109375" style="367" customWidth="1"/>
    <col min="2040" max="2040" width="13.7109375" style="367" customWidth="1"/>
    <col min="2041" max="2041" width="5.140625" style="367" customWidth="1"/>
    <col min="2042" max="2042" width="9.7109375" style="367" customWidth="1"/>
    <col min="2043" max="2043" width="12.5703125" style="367" customWidth="1"/>
    <col min="2044" max="2044" width="5.140625" style="367" customWidth="1"/>
    <col min="2045" max="2045" width="9.7109375" style="367" customWidth="1"/>
    <col min="2046" max="2046" width="12.7109375" style="367" customWidth="1"/>
    <col min="2047" max="2047" width="5.140625" style="367" customWidth="1"/>
    <col min="2048" max="2048" width="9.7109375" style="367" customWidth="1"/>
    <col min="2049" max="2049" width="12.7109375" style="367" customWidth="1"/>
    <col min="2050" max="2050" width="5.140625" style="367" customWidth="1"/>
    <col min="2051" max="2051" width="9.7109375" style="367" customWidth="1"/>
    <col min="2052" max="2052" width="12.7109375" style="367" customWidth="1"/>
    <col min="2053" max="2053" width="5.140625" style="367" customWidth="1"/>
    <col min="2054" max="2054" width="9.7109375" style="367" customWidth="1"/>
    <col min="2055" max="2055" width="12.7109375" style="367" customWidth="1"/>
    <col min="2056" max="2056" width="5.140625" style="367" customWidth="1"/>
    <col min="2057" max="2057" width="9.7109375" style="367" customWidth="1"/>
    <col min="2058" max="2058" width="12.7109375" style="367" customWidth="1"/>
    <col min="2059" max="2059" width="5.140625" style="367" customWidth="1"/>
    <col min="2060" max="2060" width="9.7109375" style="367" customWidth="1"/>
    <col min="2061" max="2061" width="12.7109375" style="367" customWidth="1"/>
    <col min="2062" max="2062" width="5.140625" style="367" customWidth="1"/>
    <col min="2063" max="2063" width="9.7109375" style="367" customWidth="1"/>
    <col min="2064" max="2064" width="12.7109375" style="367" customWidth="1"/>
    <col min="2065" max="2065" width="5.140625" style="367" customWidth="1"/>
    <col min="2066" max="2066" width="9.7109375" style="367" customWidth="1"/>
    <col min="2067" max="2067" width="12.7109375" style="367" customWidth="1"/>
    <col min="2068" max="2068" width="5.140625" style="367" customWidth="1"/>
    <col min="2069" max="2069" width="9.7109375" style="367" customWidth="1"/>
    <col min="2070" max="2070" width="12.7109375" style="367" customWidth="1"/>
    <col min="2071" max="2071" width="5.140625" style="367" customWidth="1"/>
    <col min="2072" max="2072" width="9.7109375" style="367" customWidth="1"/>
    <col min="2073" max="2073" width="12.7109375" style="367" customWidth="1"/>
    <col min="2074" max="2074" width="5.140625" style="367" customWidth="1"/>
    <col min="2075" max="2075" width="9.7109375" style="367" customWidth="1"/>
    <col min="2076" max="2076" width="12.7109375" style="367" customWidth="1"/>
    <col min="2077" max="2077" width="37.7109375" style="367" customWidth="1"/>
    <col min="2078" max="2280" width="9.140625" style="367"/>
    <col min="2281" max="2281" width="1.7109375" style="367" customWidth="1"/>
    <col min="2282" max="2282" width="3.5703125" style="367" customWidth="1"/>
    <col min="2283" max="2283" width="11" style="367" customWidth="1"/>
    <col min="2284" max="2284" width="20.7109375" style="367" customWidth="1"/>
    <col min="2285" max="2286" width="11.7109375" style="367" customWidth="1"/>
    <col min="2287" max="2287" width="9.7109375" style="367" customWidth="1"/>
    <col min="2288" max="2288" width="10.140625" style="367" bestFit="1" customWidth="1"/>
    <col min="2289" max="2290" width="7.7109375" style="367" customWidth="1"/>
    <col min="2291" max="2291" width="4" style="367" customWidth="1"/>
    <col min="2292" max="2292" width="9.7109375" style="367" customWidth="1"/>
    <col min="2293" max="2293" width="15.140625" style="367" customWidth="1"/>
    <col min="2294" max="2294" width="5.140625" style="367" customWidth="1"/>
    <col min="2295" max="2295" width="9.7109375" style="367" customWidth="1"/>
    <col min="2296" max="2296" width="13.7109375" style="367" customWidth="1"/>
    <col min="2297" max="2297" width="5.140625" style="367" customWidth="1"/>
    <col min="2298" max="2298" width="9.7109375" style="367" customWidth="1"/>
    <col min="2299" max="2299" width="12.5703125" style="367" customWidth="1"/>
    <col min="2300" max="2300" width="5.140625" style="367" customWidth="1"/>
    <col min="2301" max="2301" width="9.7109375" style="367" customWidth="1"/>
    <col min="2302" max="2302" width="12.7109375" style="367" customWidth="1"/>
    <col min="2303" max="2303" width="5.140625" style="367" customWidth="1"/>
    <col min="2304" max="2304" width="9.7109375" style="367" customWidth="1"/>
    <col min="2305" max="2305" width="12.7109375" style="367" customWidth="1"/>
    <col min="2306" max="2306" width="5.140625" style="367" customWidth="1"/>
    <col min="2307" max="2307" width="9.7109375" style="367" customWidth="1"/>
    <col min="2308" max="2308" width="12.7109375" style="367" customWidth="1"/>
    <col min="2309" max="2309" width="5.140625" style="367" customWidth="1"/>
    <col min="2310" max="2310" width="9.7109375" style="367" customWidth="1"/>
    <col min="2311" max="2311" width="12.7109375" style="367" customWidth="1"/>
    <col min="2312" max="2312" width="5.140625" style="367" customWidth="1"/>
    <col min="2313" max="2313" width="9.7109375" style="367" customWidth="1"/>
    <col min="2314" max="2314" width="12.7109375" style="367" customWidth="1"/>
    <col min="2315" max="2315" width="5.140625" style="367" customWidth="1"/>
    <col min="2316" max="2316" width="9.7109375" style="367" customWidth="1"/>
    <col min="2317" max="2317" width="12.7109375" style="367" customWidth="1"/>
    <col min="2318" max="2318" width="5.140625" style="367" customWidth="1"/>
    <col min="2319" max="2319" width="9.7109375" style="367" customWidth="1"/>
    <col min="2320" max="2320" width="12.7109375" style="367" customWidth="1"/>
    <col min="2321" max="2321" width="5.140625" style="367" customWidth="1"/>
    <col min="2322" max="2322" width="9.7109375" style="367" customWidth="1"/>
    <col min="2323" max="2323" width="12.7109375" style="367" customWidth="1"/>
    <col min="2324" max="2324" width="5.140625" style="367" customWidth="1"/>
    <col min="2325" max="2325" width="9.7109375" style="367" customWidth="1"/>
    <col min="2326" max="2326" width="12.7109375" style="367" customWidth="1"/>
    <col min="2327" max="2327" width="5.140625" style="367" customWidth="1"/>
    <col min="2328" max="2328" width="9.7109375" style="367" customWidth="1"/>
    <col min="2329" max="2329" width="12.7109375" style="367" customWidth="1"/>
    <col min="2330" max="2330" width="5.140625" style="367" customWidth="1"/>
    <col min="2331" max="2331" width="9.7109375" style="367" customWidth="1"/>
    <col min="2332" max="2332" width="12.7109375" style="367" customWidth="1"/>
    <col min="2333" max="2333" width="37.7109375" style="367" customWidth="1"/>
    <col min="2334" max="2536" width="9.140625" style="367"/>
    <col min="2537" max="2537" width="1.7109375" style="367" customWidth="1"/>
    <col min="2538" max="2538" width="3.5703125" style="367" customWidth="1"/>
    <col min="2539" max="2539" width="11" style="367" customWidth="1"/>
    <col min="2540" max="2540" width="20.7109375" style="367" customWidth="1"/>
    <col min="2541" max="2542" width="11.7109375" style="367" customWidth="1"/>
    <col min="2543" max="2543" width="9.7109375" style="367" customWidth="1"/>
    <col min="2544" max="2544" width="10.140625" style="367" bestFit="1" customWidth="1"/>
    <col min="2545" max="2546" width="7.7109375" style="367" customWidth="1"/>
    <col min="2547" max="2547" width="4" style="367" customWidth="1"/>
    <col min="2548" max="2548" width="9.7109375" style="367" customWidth="1"/>
    <col min="2549" max="2549" width="15.140625" style="367" customWidth="1"/>
    <col min="2550" max="2550" width="5.140625" style="367" customWidth="1"/>
    <col min="2551" max="2551" width="9.7109375" style="367" customWidth="1"/>
    <col min="2552" max="2552" width="13.7109375" style="367" customWidth="1"/>
    <col min="2553" max="2553" width="5.140625" style="367" customWidth="1"/>
    <col min="2554" max="2554" width="9.7109375" style="367" customWidth="1"/>
    <col min="2555" max="2555" width="12.5703125" style="367" customWidth="1"/>
    <col min="2556" max="2556" width="5.140625" style="367" customWidth="1"/>
    <col min="2557" max="2557" width="9.7109375" style="367" customWidth="1"/>
    <col min="2558" max="2558" width="12.7109375" style="367" customWidth="1"/>
    <col min="2559" max="2559" width="5.140625" style="367" customWidth="1"/>
    <col min="2560" max="2560" width="9.7109375" style="367" customWidth="1"/>
    <col min="2561" max="2561" width="12.7109375" style="367" customWidth="1"/>
    <col min="2562" max="2562" width="5.140625" style="367" customWidth="1"/>
    <col min="2563" max="2563" width="9.7109375" style="367" customWidth="1"/>
    <col min="2564" max="2564" width="12.7109375" style="367" customWidth="1"/>
    <col min="2565" max="2565" width="5.140625" style="367" customWidth="1"/>
    <col min="2566" max="2566" width="9.7109375" style="367" customWidth="1"/>
    <col min="2567" max="2567" width="12.7109375" style="367" customWidth="1"/>
    <col min="2568" max="2568" width="5.140625" style="367" customWidth="1"/>
    <col min="2569" max="2569" width="9.7109375" style="367" customWidth="1"/>
    <col min="2570" max="2570" width="12.7109375" style="367" customWidth="1"/>
    <col min="2571" max="2571" width="5.140625" style="367" customWidth="1"/>
    <col min="2572" max="2572" width="9.7109375" style="367" customWidth="1"/>
    <col min="2573" max="2573" width="12.7109375" style="367" customWidth="1"/>
    <col min="2574" max="2574" width="5.140625" style="367" customWidth="1"/>
    <col min="2575" max="2575" width="9.7109375" style="367" customWidth="1"/>
    <col min="2576" max="2576" width="12.7109375" style="367" customWidth="1"/>
    <col min="2577" max="2577" width="5.140625" style="367" customWidth="1"/>
    <col min="2578" max="2578" width="9.7109375" style="367" customWidth="1"/>
    <col min="2579" max="2579" width="12.7109375" style="367" customWidth="1"/>
    <col min="2580" max="2580" width="5.140625" style="367" customWidth="1"/>
    <col min="2581" max="2581" width="9.7109375" style="367" customWidth="1"/>
    <col min="2582" max="2582" width="12.7109375" style="367" customWidth="1"/>
    <col min="2583" max="2583" width="5.140625" style="367" customWidth="1"/>
    <col min="2584" max="2584" width="9.7109375" style="367" customWidth="1"/>
    <col min="2585" max="2585" width="12.7109375" style="367" customWidth="1"/>
    <col min="2586" max="2586" width="5.140625" style="367" customWidth="1"/>
    <col min="2587" max="2587" width="9.7109375" style="367" customWidth="1"/>
    <col min="2588" max="2588" width="12.7109375" style="367" customWidth="1"/>
    <col min="2589" max="2589" width="37.7109375" style="367" customWidth="1"/>
    <col min="2590" max="2792" width="9.140625" style="367"/>
    <col min="2793" max="2793" width="1.7109375" style="367" customWidth="1"/>
    <col min="2794" max="2794" width="3.5703125" style="367" customWidth="1"/>
    <col min="2795" max="2795" width="11" style="367" customWidth="1"/>
    <col min="2796" max="2796" width="20.7109375" style="367" customWidth="1"/>
    <col min="2797" max="2798" width="11.7109375" style="367" customWidth="1"/>
    <col min="2799" max="2799" width="9.7109375" style="367" customWidth="1"/>
    <col min="2800" max="2800" width="10.140625" style="367" bestFit="1" customWidth="1"/>
    <col min="2801" max="2802" width="7.7109375" style="367" customWidth="1"/>
    <col min="2803" max="2803" width="4" style="367" customWidth="1"/>
    <col min="2804" max="2804" width="9.7109375" style="367" customWidth="1"/>
    <col min="2805" max="2805" width="15.140625" style="367" customWidth="1"/>
    <col min="2806" max="2806" width="5.140625" style="367" customWidth="1"/>
    <col min="2807" max="2807" width="9.7109375" style="367" customWidth="1"/>
    <col min="2808" max="2808" width="13.7109375" style="367" customWidth="1"/>
    <col min="2809" max="2809" width="5.140625" style="367" customWidth="1"/>
    <col min="2810" max="2810" width="9.7109375" style="367" customWidth="1"/>
    <col min="2811" max="2811" width="12.5703125" style="367" customWidth="1"/>
    <col min="2812" max="2812" width="5.140625" style="367" customWidth="1"/>
    <col min="2813" max="2813" width="9.7109375" style="367" customWidth="1"/>
    <col min="2814" max="2814" width="12.7109375" style="367" customWidth="1"/>
    <col min="2815" max="2815" width="5.140625" style="367" customWidth="1"/>
    <col min="2816" max="2816" width="9.7109375" style="367" customWidth="1"/>
    <col min="2817" max="2817" width="12.7109375" style="367" customWidth="1"/>
    <col min="2818" max="2818" width="5.140625" style="367" customWidth="1"/>
    <col min="2819" max="2819" width="9.7109375" style="367" customWidth="1"/>
    <col min="2820" max="2820" width="12.7109375" style="367" customWidth="1"/>
    <col min="2821" max="2821" width="5.140625" style="367" customWidth="1"/>
    <col min="2822" max="2822" width="9.7109375" style="367" customWidth="1"/>
    <col min="2823" max="2823" width="12.7109375" style="367" customWidth="1"/>
    <col min="2824" max="2824" width="5.140625" style="367" customWidth="1"/>
    <col min="2825" max="2825" width="9.7109375" style="367" customWidth="1"/>
    <col min="2826" max="2826" width="12.7109375" style="367" customWidth="1"/>
    <col min="2827" max="2827" width="5.140625" style="367" customWidth="1"/>
    <col min="2828" max="2828" width="9.7109375" style="367" customWidth="1"/>
    <col min="2829" max="2829" width="12.7109375" style="367" customWidth="1"/>
    <col min="2830" max="2830" width="5.140625" style="367" customWidth="1"/>
    <col min="2831" max="2831" width="9.7109375" style="367" customWidth="1"/>
    <col min="2832" max="2832" width="12.7109375" style="367" customWidth="1"/>
    <col min="2833" max="2833" width="5.140625" style="367" customWidth="1"/>
    <col min="2834" max="2834" width="9.7109375" style="367" customWidth="1"/>
    <col min="2835" max="2835" width="12.7109375" style="367" customWidth="1"/>
    <col min="2836" max="2836" width="5.140625" style="367" customWidth="1"/>
    <col min="2837" max="2837" width="9.7109375" style="367" customWidth="1"/>
    <col min="2838" max="2838" width="12.7109375" style="367" customWidth="1"/>
    <col min="2839" max="2839" width="5.140625" style="367" customWidth="1"/>
    <col min="2840" max="2840" width="9.7109375" style="367" customWidth="1"/>
    <col min="2841" max="2841" width="12.7109375" style="367" customWidth="1"/>
    <col min="2842" max="2842" width="5.140625" style="367" customWidth="1"/>
    <col min="2843" max="2843" width="9.7109375" style="367" customWidth="1"/>
    <col min="2844" max="2844" width="12.7109375" style="367" customWidth="1"/>
    <col min="2845" max="2845" width="37.7109375" style="367" customWidth="1"/>
    <col min="2846" max="3048" width="9.140625" style="367"/>
    <col min="3049" max="3049" width="1.7109375" style="367" customWidth="1"/>
    <col min="3050" max="3050" width="3.5703125" style="367" customWidth="1"/>
    <col min="3051" max="3051" width="11" style="367" customWidth="1"/>
    <col min="3052" max="3052" width="20.7109375" style="367" customWidth="1"/>
    <col min="3053" max="3054" width="11.7109375" style="367" customWidth="1"/>
    <col min="3055" max="3055" width="9.7109375" style="367" customWidth="1"/>
    <col min="3056" max="3056" width="10.140625" style="367" bestFit="1" customWidth="1"/>
    <col min="3057" max="3058" width="7.7109375" style="367" customWidth="1"/>
    <col min="3059" max="3059" width="4" style="367" customWidth="1"/>
    <col min="3060" max="3060" width="9.7109375" style="367" customWidth="1"/>
    <col min="3061" max="3061" width="15.140625" style="367" customWidth="1"/>
    <col min="3062" max="3062" width="5.140625" style="367" customWidth="1"/>
    <col min="3063" max="3063" width="9.7109375" style="367" customWidth="1"/>
    <col min="3064" max="3064" width="13.7109375" style="367" customWidth="1"/>
    <col min="3065" max="3065" width="5.140625" style="367" customWidth="1"/>
    <col min="3066" max="3066" width="9.7109375" style="367" customWidth="1"/>
    <col min="3067" max="3067" width="12.5703125" style="367" customWidth="1"/>
    <col min="3068" max="3068" width="5.140625" style="367" customWidth="1"/>
    <col min="3069" max="3069" width="9.7109375" style="367" customWidth="1"/>
    <col min="3070" max="3070" width="12.7109375" style="367" customWidth="1"/>
    <col min="3071" max="3071" width="5.140625" style="367" customWidth="1"/>
    <col min="3072" max="3072" width="9.7109375" style="367" customWidth="1"/>
    <col min="3073" max="3073" width="12.7109375" style="367" customWidth="1"/>
    <col min="3074" max="3074" width="5.140625" style="367" customWidth="1"/>
    <col min="3075" max="3075" width="9.7109375" style="367" customWidth="1"/>
    <col min="3076" max="3076" width="12.7109375" style="367" customWidth="1"/>
    <col min="3077" max="3077" width="5.140625" style="367" customWidth="1"/>
    <col min="3078" max="3078" width="9.7109375" style="367" customWidth="1"/>
    <col min="3079" max="3079" width="12.7109375" style="367" customWidth="1"/>
    <col min="3080" max="3080" width="5.140625" style="367" customWidth="1"/>
    <col min="3081" max="3081" width="9.7109375" style="367" customWidth="1"/>
    <col min="3082" max="3082" width="12.7109375" style="367" customWidth="1"/>
    <col min="3083" max="3083" width="5.140625" style="367" customWidth="1"/>
    <col min="3084" max="3084" width="9.7109375" style="367" customWidth="1"/>
    <col min="3085" max="3085" width="12.7109375" style="367" customWidth="1"/>
    <col min="3086" max="3086" width="5.140625" style="367" customWidth="1"/>
    <col min="3087" max="3087" width="9.7109375" style="367" customWidth="1"/>
    <col min="3088" max="3088" width="12.7109375" style="367" customWidth="1"/>
    <col min="3089" max="3089" width="5.140625" style="367" customWidth="1"/>
    <col min="3090" max="3090" width="9.7109375" style="367" customWidth="1"/>
    <col min="3091" max="3091" width="12.7109375" style="367" customWidth="1"/>
    <col min="3092" max="3092" width="5.140625" style="367" customWidth="1"/>
    <col min="3093" max="3093" width="9.7109375" style="367" customWidth="1"/>
    <col min="3094" max="3094" width="12.7109375" style="367" customWidth="1"/>
    <col min="3095" max="3095" width="5.140625" style="367" customWidth="1"/>
    <col min="3096" max="3096" width="9.7109375" style="367" customWidth="1"/>
    <col min="3097" max="3097" width="12.7109375" style="367" customWidth="1"/>
    <col min="3098" max="3098" width="5.140625" style="367" customWidth="1"/>
    <col min="3099" max="3099" width="9.7109375" style="367" customWidth="1"/>
    <col min="3100" max="3100" width="12.7109375" style="367" customWidth="1"/>
    <col min="3101" max="3101" width="37.7109375" style="367" customWidth="1"/>
    <col min="3102" max="3304" width="9.140625" style="367"/>
    <col min="3305" max="3305" width="1.7109375" style="367" customWidth="1"/>
    <col min="3306" max="3306" width="3.5703125" style="367" customWidth="1"/>
    <col min="3307" max="3307" width="11" style="367" customWidth="1"/>
    <col min="3308" max="3308" width="20.7109375" style="367" customWidth="1"/>
    <col min="3309" max="3310" width="11.7109375" style="367" customWidth="1"/>
    <col min="3311" max="3311" width="9.7109375" style="367" customWidth="1"/>
    <col min="3312" max="3312" width="10.140625" style="367" bestFit="1" customWidth="1"/>
    <col min="3313" max="3314" width="7.7109375" style="367" customWidth="1"/>
    <col min="3315" max="3315" width="4" style="367" customWidth="1"/>
    <col min="3316" max="3316" width="9.7109375" style="367" customWidth="1"/>
    <col min="3317" max="3317" width="15.140625" style="367" customWidth="1"/>
    <col min="3318" max="3318" width="5.140625" style="367" customWidth="1"/>
    <col min="3319" max="3319" width="9.7109375" style="367" customWidth="1"/>
    <col min="3320" max="3320" width="13.7109375" style="367" customWidth="1"/>
    <col min="3321" max="3321" width="5.140625" style="367" customWidth="1"/>
    <col min="3322" max="3322" width="9.7109375" style="367" customWidth="1"/>
    <col min="3323" max="3323" width="12.5703125" style="367" customWidth="1"/>
    <col min="3324" max="3324" width="5.140625" style="367" customWidth="1"/>
    <col min="3325" max="3325" width="9.7109375" style="367" customWidth="1"/>
    <col min="3326" max="3326" width="12.7109375" style="367" customWidth="1"/>
    <col min="3327" max="3327" width="5.140625" style="367" customWidth="1"/>
    <col min="3328" max="3328" width="9.7109375" style="367" customWidth="1"/>
    <col min="3329" max="3329" width="12.7109375" style="367" customWidth="1"/>
    <col min="3330" max="3330" width="5.140625" style="367" customWidth="1"/>
    <col min="3331" max="3331" width="9.7109375" style="367" customWidth="1"/>
    <col min="3332" max="3332" width="12.7109375" style="367" customWidth="1"/>
    <col min="3333" max="3333" width="5.140625" style="367" customWidth="1"/>
    <col min="3334" max="3334" width="9.7109375" style="367" customWidth="1"/>
    <col min="3335" max="3335" width="12.7109375" style="367" customWidth="1"/>
    <col min="3336" max="3336" width="5.140625" style="367" customWidth="1"/>
    <col min="3337" max="3337" width="9.7109375" style="367" customWidth="1"/>
    <col min="3338" max="3338" width="12.7109375" style="367" customWidth="1"/>
    <col min="3339" max="3339" width="5.140625" style="367" customWidth="1"/>
    <col min="3340" max="3340" width="9.7109375" style="367" customWidth="1"/>
    <col min="3341" max="3341" width="12.7109375" style="367" customWidth="1"/>
    <col min="3342" max="3342" width="5.140625" style="367" customWidth="1"/>
    <col min="3343" max="3343" width="9.7109375" style="367" customWidth="1"/>
    <col min="3344" max="3344" width="12.7109375" style="367" customWidth="1"/>
    <col min="3345" max="3345" width="5.140625" style="367" customWidth="1"/>
    <col min="3346" max="3346" width="9.7109375" style="367" customWidth="1"/>
    <col min="3347" max="3347" width="12.7109375" style="367" customWidth="1"/>
    <col min="3348" max="3348" width="5.140625" style="367" customWidth="1"/>
    <col min="3349" max="3349" width="9.7109375" style="367" customWidth="1"/>
    <col min="3350" max="3350" width="12.7109375" style="367" customWidth="1"/>
    <col min="3351" max="3351" width="5.140625" style="367" customWidth="1"/>
    <col min="3352" max="3352" width="9.7109375" style="367" customWidth="1"/>
    <col min="3353" max="3353" width="12.7109375" style="367" customWidth="1"/>
    <col min="3354" max="3354" width="5.140625" style="367" customWidth="1"/>
    <col min="3355" max="3355" width="9.7109375" style="367" customWidth="1"/>
    <col min="3356" max="3356" width="12.7109375" style="367" customWidth="1"/>
    <col min="3357" max="3357" width="37.7109375" style="367" customWidth="1"/>
    <col min="3358" max="3560" width="9.140625" style="367"/>
    <col min="3561" max="3561" width="1.7109375" style="367" customWidth="1"/>
    <col min="3562" max="3562" width="3.5703125" style="367" customWidth="1"/>
    <col min="3563" max="3563" width="11" style="367" customWidth="1"/>
    <col min="3564" max="3564" width="20.7109375" style="367" customWidth="1"/>
    <col min="3565" max="3566" width="11.7109375" style="367" customWidth="1"/>
    <col min="3567" max="3567" width="9.7109375" style="367" customWidth="1"/>
    <col min="3568" max="3568" width="10.140625" style="367" bestFit="1" customWidth="1"/>
    <col min="3569" max="3570" width="7.7109375" style="367" customWidth="1"/>
    <col min="3571" max="3571" width="4" style="367" customWidth="1"/>
    <col min="3572" max="3572" width="9.7109375" style="367" customWidth="1"/>
    <col min="3573" max="3573" width="15.140625" style="367" customWidth="1"/>
    <col min="3574" max="3574" width="5.140625" style="367" customWidth="1"/>
    <col min="3575" max="3575" width="9.7109375" style="367" customWidth="1"/>
    <col min="3576" max="3576" width="13.7109375" style="367" customWidth="1"/>
    <col min="3577" max="3577" width="5.140625" style="367" customWidth="1"/>
    <col min="3578" max="3578" width="9.7109375" style="367" customWidth="1"/>
    <col min="3579" max="3579" width="12.5703125" style="367" customWidth="1"/>
    <col min="3580" max="3580" width="5.140625" style="367" customWidth="1"/>
    <col min="3581" max="3581" width="9.7109375" style="367" customWidth="1"/>
    <col min="3582" max="3582" width="12.7109375" style="367" customWidth="1"/>
    <col min="3583" max="3583" width="5.140625" style="367" customWidth="1"/>
    <col min="3584" max="3584" width="9.7109375" style="367" customWidth="1"/>
    <col min="3585" max="3585" width="12.7109375" style="367" customWidth="1"/>
    <col min="3586" max="3586" width="5.140625" style="367" customWidth="1"/>
    <col min="3587" max="3587" width="9.7109375" style="367" customWidth="1"/>
    <col min="3588" max="3588" width="12.7109375" style="367" customWidth="1"/>
    <col min="3589" max="3589" width="5.140625" style="367" customWidth="1"/>
    <col min="3590" max="3590" width="9.7109375" style="367" customWidth="1"/>
    <col min="3591" max="3591" width="12.7109375" style="367" customWidth="1"/>
    <col min="3592" max="3592" width="5.140625" style="367" customWidth="1"/>
    <col min="3593" max="3593" width="9.7109375" style="367" customWidth="1"/>
    <col min="3594" max="3594" width="12.7109375" style="367" customWidth="1"/>
    <col min="3595" max="3595" width="5.140625" style="367" customWidth="1"/>
    <col min="3596" max="3596" width="9.7109375" style="367" customWidth="1"/>
    <col min="3597" max="3597" width="12.7109375" style="367" customWidth="1"/>
    <col min="3598" max="3598" width="5.140625" style="367" customWidth="1"/>
    <col min="3599" max="3599" width="9.7109375" style="367" customWidth="1"/>
    <col min="3600" max="3600" width="12.7109375" style="367" customWidth="1"/>
    <col min="3601" max="3601" width="5.140625" style="367" customWidth="1"/>
    <col min="3602" max="3602" width="9.7109375" style="367" customWidth="1"/>
    <col min="3603" max="3603" width="12.7109375" style="367" customWidth="1"/>
    <col min="3604" max="3604" width="5.140625" style="367" customWidth="1"/>
    <col min="3605" max="3605" width="9.7109375" style="367" customWidth="1"/>
    <col min="3606" max="3606" width="12.7109375" style="367" customWidth="1"/>
    <col min="3607" max="3607" width="5.140625" style="367" customWidth="1"/>
    <col min="3608" max="3608" width="9.7109375" style="367" customWidth="1"/>
    <col min="3609" max="3609" width="12.7109375" style="367" customWidth="1"/>
    <col min="3610" max="3610" width="5.140625" style="367" customWidth="1"/>
    <col min="3611" max="3611" width="9.7109375" style="367" customWidth="1"/>
    <col min="3612" max="3612" width="12.7109375" style="367" customWidth="1"/>
    <col min="3613" max="3613" width="37.7109375" style="367" customWidth="1"/>
    <col min="3614" max="3816" width="9.140625" style="367"/>
    <col min="3817" max="3817" width="1.7109375" style="367" customWidth="1"/>
    <col min="3818" max="3818" width="3.5703125" style="367" customWidth="1"/>
    <col min="3819" max="3819" width="11" style="367" customWidth="1"/>
    <col min="3820" max="3820" width="20.7109375" style="367" customWidth="1"/>
    <col min="3821" max="3822" width="11.7109375" style="367" customWidth="1"/>
    <col min="3823" max="3823" width="9.7109375" style="367" customWidth="1"/>
    <col min="3824" max="3824" width="10.140625" style="367" bestFit="1" customWidth="1"/>
    <col min="3825" max="3826" width="7.7109375" style="367" customWidth="1"/>
    <col min="3827" max="3827" width="4" style="367" customWidth="1"/>
    <col min="3828" max="3828" width="9.7109375" style="367" customWidth="1"/>
    <col min="3829" max="3829" width="15.140625" style="367" customWidth="1"/>
    <col min="3830" max="3830" width="5.140625" style="367" customWidth="1"/>
    <col min="3831" max="3831" width="9.7109375" style="367" customWidth="1"/>
    <col min="3832" max="3832" width="13.7109375" style="367" customWidth="1"/>
    <col min="3833" max="3833" width="5.140625" style="367" customWidth="1"/>
    <col min="3834" max="3834" width="9.7109375" style="367" customWidth="1"/>
    <col min="3835" max="3835" width="12.5703125" style="367" customWidth="1"/>
    <col min="3836" max="3836" width="5.140625" style="367" customWidth="1"/>
    <col min="3837" max="3837" width="9.7109375" style="367" customWidth="1"/>
    <col min="3838" max="3838" width="12.7109375" style="367" customWidth="1"/>
    <col min="3839" max="3839" width="5.140625" style="367" customWidth="1"/>
    <col min="3840" max="3840" width="9.7109375" style="367" customWidth="1"/>
    <col min="3841" max="3841" width="12.7109375" style="367" customWidth="1"/>
    <col min="3842" max="3842" width="5.140625" style="367" customWidth="1"/>
    <col min="3843" max="3843" width="9.7109375" style="367" customWidth="1"/>
    <col min="3844" max="3844" width="12.7109375" style="367" customWidth="1"/>
    <col min="3845" max="3845" width="5.140625" style="367" customWidth="1"/>
    <col min="3846" max="3846" width="9.7109375" style="367" customWidth="1"/>
    <col min="3847" max="3847" width="12.7109375" style="367" customWidth="1"/>
    <col min="3848" max="3848" width="5.140625" style="367" customWidth="1"/>
    <col min="3849" max="3849" width="9.7109375" style="367" customWidth="1"/>
    <col min="3850" max="3850" width="12.7109375" style="367" customWidth="1"/>
    <col min="3851" max="3851" width="5.140625" style="367" customWidth="1"/>
    <col min="3852" max="3852" width="9.7109375" style="367" customWidth="1"/>
    <col min="3853" max="3853" width="12.7109375" style="367" customWidth="1"/>
    <col min="3854" max="3854" width="5.140625" style="367" customWidth="1"/>
    <col min="3855" max="3855" width="9.7109375" style="367" customWidth="1"/>
    <col min="3856" max="3856" width="12.7109375" style="367" customWidth="1"/>
    <col min="3857" max="3857" width="5.140625" style="367" customWidth="1"/>
    <col min="3858" max="3858" width="9.7109375" style="367" customWidth="1"/>
    <col min="3859" max="3859" width="12.7109375" style="367" customWidth="1"/>
    <col min="3860" max="3860" width="5.140625" style="367" customWidth="1"/>
    <col min="3861" max="3861" width="9.7109375" style="367" customWidth="1"/>
    <col min="3862" max="3862" width="12.7109375" style="367" customWidth="1"/>
    <col min="3863" max="3863" width="5.140625" style="367" customWidth="1"/>
    <col min="3864" max="3864" width="9.7109375" style="367" customWidth="1"/>
    <col min="3865" max="3865" width="12.7109375" style="367" customWidth="1"/>
    <col min="3866" max="3866" width="5.140625" style="367" customWidth="1"/>
    <col min="3867" max="3867" width="9.7109375" style="367" customWidth="1"/>
    <col min="3868" max="3868" width="12.7109375" style="367" customWidth="1"/>
    <col min="3869" max="3869" width="37.7109375" style="367" customWidth="1"/>
    <col min="3870" max="4072" width="9.140625" style="367"/>
    <col min="4073" max="4073" width="1.7109375" style="367" customWidth="1"/>
    <col min="4074" max="4074" width="3.5703125" style="367" customWidth="1"/>
    <col min="4075" max="4075" width="11" style="367" customWidth="1"/>
    <col min="4076" max="4076" width="20.7109375" style="367" customWidth="1"/>
    <col min="4077" max="4078" width="11.7109375" style="367" customWidth="1"/>
    <col min="4079" max="4079" width="9.7109375" style="367" customWidth="1"/>
    <col min="4080" max="4080" width="10.140625" style="367" bestFit="1" customWidth="1"/>
    <col min="4081" max="4082" width="7.7109375" style="367" customWidth="1"/>
    <col min="4083" max="4083" width="4" style="367" customWidth="1"/>
    <col min="4084" max="4084" width="9.7109375" style="367" customWidth="1"/>
    <col min="4085" max="4085" width="15.140625" style="367" customWidth="1"/>
    <col min="4086" max="4086" width="5.140625" style="367" customWidth="1"/>
    <col min="4087" max="4087" width="9.7109375" style="367" customWidth="1"/>
    <col min="4088" max="4088" width="13.7109375" style="367" customWidth="1"/>
    <col min="4089" max="4089" width="5.140625" style="367" customWidth="1"/>
    <col min="4090" max="4090" width="9.7109375" style="367" customWidth="1"/>
    <col min="4091" max="4091" width="12.5703125" style="367" customWidth="1"/>
    <col min="4092" max="4092" width="5.140625" style="367" customWidth="1"/>
    <col min="4093" max="4093" width="9.7109375" style="367" customWidth="1"/>
    <col min="4094" max="4094" width="12.7109375" style="367" customWidth="1"/>
    <col min="4095" max="4095" width="5.140625" style="367" customWidth="1"/>
    <col min="4096" max="4096" width="9.7109375" style="367" customWidth="1"/>
    <col min="4097" max="4097" width="12.7109375" style="367" customWidth="1"/>
    <col min="4098" max="4098" width="5.140625" style="367" customWidth="1"/>
    <col min="4099" max="4099" width="9.7109375" style="367" customWidth="1"/>
    <col min="4100" max="4100" width="12.7109375" style="367" customWidth="1"/>
    <col min="4101" max="4101" width="5.140625" style="367" customWidth="1"/>
    <col min="4102" max="4102" width="9.7109375" style="367" customWidth="1"/>
    <col min="4103" max="4103" width="12.7109375" style="367" customWidth="1"/>
    <col min="4104" max="4104" width="5.140625" style="367" customWidth="1"/>
    <col min="4105" max="4105" width="9.7109375" style="367" customWidth="1"/>
    <col min="4106" max="4106" width="12.7109375" style="367" customWidth="1"/>
    <col min="4107" max="4107" width="5.140625" style="367" customWidth="1"/>
    <col min="4108" max="4108" width="9.7109375" style="367" customWidth="1"/>
    <col min="4109" max="4109" width="12.7109375" style="367" customWidth="1"/>
    <col min="4110" max="4110" width="5.140625" style="367" customWidth="1"/>
    <col min="4111" max="4111" width="9.7109375" style="367" customWidth="1"/>
    <col min="4112" max="4112" width="12.7109375" style="367" customWidth="1"/>
    <col min="4113" max="4113" width="5.140625" style="367" customWidth="1"/>
    <col min="4114" max="4114" width="9.7109375" style="367" customWidth="1"/>
    <col min="4115" max="4115" width="12.7109375" style="367" customWidth="1"/>
    <col min="4116" max="4116" width="5.140625" style="367" customWidth="1"/>
    <col min="4117" max="4117" width="9.7109375" style="367" customWidth="1"/>
    <col min="4118" max="4118" width="12.7109375" style="367" customWidth="1"/>
    <col min="4119" max="4119" width="5.140625" style="367" customWidth="1"/>
    <col min="4120" max="4120" width="9.7109375" style="367" customWidth="1"/>
    <col min="4121" max="4121" width="12.7109375" style="367" customWidth="1"/>
    <col min="4122" max="4122" width="5.140625" style="367" customWidth="1"/>
    <col min="4123" max="4123" width="9.7109375" style="367" customWidth="1"/>
    <col min="4124" max="4124" width="12.7109375" style="367" customWidth="1"/>
    <col min="4125" max="4125" width="37.7109375" style="367" customWidth="1"/>
    <col min="4126" max="4328" width="9.140625" style="367"/>
    <col min="4329" max="4329" width="1.7109375" style="367" customWidth="1"/>
    <col min="4330" max="4330" width="3.5703125" style="367" customWidth="1"/>
    <col min="4331" max="4331" width="11" style="367" customWidth="1"/>
    <col min="4332" max="4332" width="20.7109375" style="367" customWidth="1"/>
    <col min="4333" max="4334" width="11.7109375" style="367" customWidth="1"/>
    <col min="4335" max="4335" width="9.7109375" style="367" customWidth="1"/>
    <col min="4336" max="4336" width="10.140625" style="367" bestFit="1" customWidth="1"/>
    <col min="4337" max="4338" width="7.7109375" style="367" customWidth="1"/>
    <col min="4339" max="4339" width="4" style="367" customWidth="1"/>
    <col min="4340" max="4340" width="9.7109375" style="367" customWidth="1"/>
    <col min="4341" max="4341" width="15.140625" style="367" customWidth="1"/>
    <col min="4342" max="4342" width="5.140625" style="367" customWidth="1"/>
    <col min="4343" max="4343" width="9.7109375" style="367" customWidth="1"/>
    <col min="4344" max="4344" width="13.7109375" style="367" customWidth="1"/>
    <col min="4345" max="4345" width="5.140625" style="367" customWidth="1"/>
    <col min="4346" max="4346" width="9.7109375" style="367" customWidth="1"/>
    <col min="4347" max="4347" width="12.5703125" style="367" customWidth="1"/>
    <col min="4348" max="4348" width="5.140625" style="367" customWidth="1"/>
    <col min="4349" max="4349" width="9.7109375" style="367" customWidth="1"/>
    <col min="4350" max="4350" width="12.7109375" style="367" customWidth="1"/>
    <col min="4351" max="4351" width="5.140625" style="367" customWidth="1"/>
    <col min="4352" max="4352" width="9.7109375" style="367" customWidth="1"/>
    <col min="4353" max="4353" width="12.7109375" style="367" customWidth="1"/>
    <col min="4354" max="4354" width="5.140625" style="367" customWidth="1"/>
    <col min="4355" max="4355" width="9.7109375" style="367" customWidth="1"/>
    <col min="4356" max="4356" width="12.7109375" style="367" customWidth="1"/>
    <col min="4357" max="4357" width="5.140625" style="367" customWidth="1"/>
    <col min="4358" max="4358" width="9.7109375" style="367" customWidth="1"/>
    <col min="4359" max="4359" width="12.7109375" style="367" customWidth="1"/>
    <col min="4360" max="4360" width="5.140625" style="367" customWidth="1"/>
    <col min="4361" max="4361" width="9.7109375" style="367" customWidth="1"/>
    <col min="4362" max="4362" width="12.7109375" style="367" customWidth="1"/>
    <col min="4363" max="4363" width="5.140625" style="367" customWidth="1"/>
    <col min="4364" max="4364" width="9.7109375" style="367" customWidth="1"/>
    <col min="4365" max="4365" width="12.7109375" style="367" customWidth="1"/>
    <col min="4366" max="4366" width="5.140625" style="367" customWidth="1"/>
    <col min="4367" max="4367" width="9.7109375" style="367" customWidth="1"/>
    <col min="4368" max="4368" width="12.7109375" style="367" customWidth="1"/>
    <col min="4369" max="4369" width="5.140625" style="367" customWidth="1"/>
    <col min="4370" max="4370" width="9.7109375" style="367" customWidth="1"/>
    <col min="4371" max="4371" width="12.7109375" style="367" customWidth="1"/>
    <col min="4372" max="4372" width="5.140625" style="367" customWidth="1"/>
    <col min="4373" max="4373" width="9.7109375" style="367" customWidth="1"/>
    <col min="4374" max="4374" width="12.7109375" style="367" customWidth="1"/>
    <col min="4375" max="4375" width="5.140625" style="367" customWidth="1"/>
    <col min="4376" max="4376" width="9.7109375" style="367" customWidth="1"/>
    <col min="4377" max="4377" width="12.7109375" style="367" customWidth="1"/>
    <col min="4378" max="4378" width="5.140625" style="367" customWidth="1"/>
    <col min="4379" max="4379" width="9.7109375" style="367" customWidth="1"/>
    <col min="4380" max="4380" width="12.7109375" style="367" customWidth="1"/>
    <col min="4381" max="4381" width="37.7109375" style="367" customWidth="1"/>
    <col min="4382" max="4584" width="9.140625" style="367"/>
    <col min="4585" max="4585" width="1.7109375" style="367" customWidth="1"/>
    <col min="4586" max="4586" width="3.5703125" style="367" customWidth="1"/>
    <col min="4587" max="4587" width="11" style="367" customWidth="1"/>
    <col min="4588" max="4588" width="20.7109375" style="367" customWidth="1"/>
    <col min="4589" max="4590" width="11.7109375" style="367" customWidth="1"/>
    <col min="4591" max="4591" width="9.7109375" style="367" customWidth="1"/>
    <col min="4592" max="4592" width="10.140625" style="367" bestFit="1" customWidth="1"/>
    <col min="4593" max="4594" width="7.7109375" style="367" customWidth="1"/>
    <col min="4595" max="4595" width="4" style="367" customWidth="1"/>
    <col min="4596" max="4596" width="9.7109375" style="367" customWidth="1"/>
    <col min="4597" max="4597" width="15.140625" style="367" customWidth="1"/>
    <col min="4598" max="4598" width="5.140625" style="367" customWidth="1"/>
    <col min="4599" max="4599" width="9.7109375" style="367" customWidth="1"/>
    <col min="4600" max="4600" width="13.7109375" style="367" customWidth="1"/>
    <col min="4601" max="4601" width="5.140625" style="367" customWidth="1"/>
    <col min="4602" max="4602" width="9.7109375" style="367" customWidth="1"/>
    <col min="4603" max="4603" width="12.5703125" style="367" customWidth="1"/>
    <col min="4604" max="4604" width="5.140625" style="367" customWidth="1"/>
    <col min="4605" max="4605" width="9.7109375" style="367" customWidth="1"/>
    <col min="4606" max="4606" width="12.7109375" style="367" customWidth="1"/>
    <col min="4607" max="4607" width="5.140625" style="367" customWidth="1"/>
    <col min="4608" max="4608" width="9.7109375" style="367" customWidth="1"/>
    <col min="4609" max="4609" width="12.7109375" style="367" customWidth="1"/>
    <col min="4610" max="4610" width="5.140625" style="367" customWidth="1"/>
    <col min="4611" max="4611" width="9.7109375" style="367" customWidth="1"/>
    <col min="4612" max="4612" width="12.7109375" style="367" customWidth="1"/>
    <col min="4613" max="4613" width="5.140625" style="367" customWidth="1"/>
    <col min="4614" max="4614" width="9.7109375" style="367" customWidth="1"/>
    <col min="4615" max="4615" width="12.7109375" style="367" customWidth="1"/>
    <col min="4616" max="4616" width="5.140625" style="367" customWidth="1"/>
    <col min="4617" max="4617" width="9.7109375" style="367" customWidth="1"/>
    <col min="4618" max="4618" width="12.7109375" style="367" customWidth="1"/>
    <col min="4619" max="4619" width="5.140625" style="367" customWidth="1"/>
    <col min="4620" max="4620" width="9.7109375" style="367" customWidth="1"/>
    <col min="4621" max="4621" width="12.7109375" style="367" customWidth="1"/>
    <col min="4622" max="4622" width="5.140625" style="367" customWidth="1"/>
    <col min="4623" max="4623" width="9.7109375" style="367" customWidth="1"/>
    <col min="4624" max="4624" width="12.7109375" style="367" customWidth="1"/>
    <col min="4625" max="4625" width="5.140625" style="367" customWidth="1"/>
    <col min="4626" max="4626" width="9.7109375" style="367" customWidth="1"/>
    <col min="4627" max="4627" width="12.7109375" style="367" customWidth="1"/>
    <col min="4628" max="4628" width="5.140625" style="367" customWidth="1"/>
    <col min="4629" max="4629" width="9.7109375" style="367" customWidth="1"/>
    <col min="4630" max="4630" width="12.7109375" style="367" customWidth="1"/>
    <col min="4631" max="4631" width="5.140625" style="367" customWidth="1"/>
    <col min="4632" max="4632" width="9.7109375" style="367" customWidth="1"/>
    <col min="4633" max="4633" width="12.7109375" style="367" customWidth="1"/>
    <col min="4634" max="4634" width="5.140625" style="367" customWidth="1"/>
    <col min="4635" max="4635" width="9.7109375" style="367" customWidth="1"/>
    <col min="4636" max="4636" width="12.7109375" style="367" customWidth="1"/>
    <col min="4637" max="4637" width="37.7109375" style="367" customWidth="1"/>
    <col min="4638" max="4840" width="9.140625" style="367"/>
    <col min="4841" max="4841" width="1.7109375" style="367" customWidth="1"/>
    <col min="4842" max="4842" width="3.5703125" style="367" customWidth="1"/>
    <col min="4843" max="4843" width="11" style="367" customWidth="1"/>
    <col min="4844" max="4844" width="20.7109375" style="367" customWidth="1"/>
    <col min="4845" max="4846" width="11.7109375" style="367" customWidth="1"/>
    <col min="4847" max="4847" width="9.7109375" style="367" customWidth="1"/>
    <col min="4848" max="4848" width="10.140625" style="367" bestFit="1" customWidth="1"/>
    <col min="4849" max="4850" width="7.7109375" style="367" customWidth="1"/>
    <col min="4851" max="4851" width="4" style="367" customWidth="1"/>
    <col min="4852" max="4852" width="9.7109375" style="367" customWidth="1"/>
    <col min="4853" max="4853" width="15.140625" style="367" customWidth="1"/>
    <col min="4854" max="4854" width="5.140625" style="367" customWidth="1"/>
    <col min="4855" max="4855" width="9.7109375" style="367" customWidth="1"/>
    <col min="4856" max="4856" width="13.7109375" style="367" customWidth="1"/>
    <col min="4857" max="4857" width="5.140625" style="367" customWidth="1"/>
    <col min="4858" max="4858" width="9.7109375" style="367" customWidth="1"/>
    <col min="4859" max="4859" width="12.5703125" style="367" customWidth="1"/>
    <col min="4860" max="4860" width="5.140625" style="367" customWidth="1"/>
    <col min="4861" max="4861" width="9.7109375" style="367" customWidth="1"/>
    <col min="4862" max="4862" width="12.7109375" style="367" customWidth="1"/>
    <col min="4863" max="4863" width="5.140625" style="367" customWidth="1"/>
    <col min="4864" max="4864" width="9.7109375" style="367" customWidth="1"/>
    <col min="4865" max="4865" width="12.7109375" style="367" customWidth="1"/>
    <col min="4866" max="4866" width="5.140625" style="367" customWidth="1"/>
    <col min="4867" max="4867" width="9.7109375" style="367" customWidth="1"/>
    <col min="4868" max="4868" width="12.7109375" style="367" customWidth="1"/>
    <col min="4869" max="4869" width="5.140625" style="367" customWidth="1"/>
    <col min="4870" max="4870" width="9.7109375" style="367" customWidth="1"/>
    <col min="4871" max="4871" width="12.7109375" style="367" customWidth="1"/>
    <col min="4872" max="4872" width="5.140625" style="367" customWidth="1"/>
    <col min="4873" max="4873" width="9.7109375" style="367" customWidth="1"/>
    <col min="4874" max="4874" width="12.7109375" style="367" customWidth="1"/>
    <col min="4875" max="4875" width="5.140625" style="367" customWidth="1"/>
    <col min="4876" max="4876" width="9.7109375" style="367" customWidth="1"/>
    <col min="4877" max="4877" width="12.7109375" style="367" customWidth="1"/>
    <col min="4878" max="4878" width="5.140625" style="367" customWidth="1"/>
    <col min="4879" max="4879" width="9.7109375" style="367" customWidth="1"/>
    <col min="4880" max="4880" width="12.7109375" style="367" customWidth="1"/>
    <col min="4881" max="4881" width="5.140625" style="367" customWidth="1"/>
    <col min="4882" max="4882" width="9.7109375" style="367" customWidth="1"/>
    <col min="4883" max="4883" width="12.7109375" style="367" customWidth="1"/>
    <col min="4884" max="4884" width="5.140625" style="367" customWidth="1"/>
    <col min="4885" max="4885" width="9.7109375" style="367" customWidth="1"/>
    <col min="4886" max="4886" width="12.7109375" style="367" customWidth="1"/>
    <col min="4887" max="4887" width="5.140625" style="367" customWidth="1"/>
    <col min="4888" max="4888" width="9.7109375" style="367" customWidth="1"/>
    <col min="4889" max="4889" width="12.7109375" style="367" customWidth="1"/>
    <col min="4890" max="4890" width="5.140625" style="367" customWidth="1"/>
    <col min="4891" max="4891" width="9.7109375" style="367" customWidth="1"/>
    <col min="4892" max="4892" width="12.7109375" style="367" customWidth="1"/>
    <col min="4893" max="4893" width="37.7109375" style="367" customWidth="1"/>
    <col min="4894" max="5096" width="9.140625" style="367"/>
    <col min="5097" max="5097" width="1.7109375" style="367" customWidth="1"/>
    <col min="5098" max="5098" width="3.5703125" style="367" customWidth="1"/>
    <col min="5099" max="5099" width="11" style="367" customWidth="1"/>
    <col min="5100" max="5100" width="20.7109375" style="367" customWidth="1"/>
    <col min="5101" max="5102" width="11.7109375" style="367" customWidth="1"/>
    <col min="5103" max="5103" width="9.7109375" style="367" customWidth="1"/>
    <col min="5104" max="5104" width="10.140625" style="367" bestFit="1" customWidth="1"/>
    <col min="5105" max="5106" width="7.7109375" style="367" customWidth="1"/>
    <col min="5107" max="5107" width="4" style="367" customWidth="1"/>
    <col min="5108" max="5108" width="9.7109375" style="367" customWidth="1"/>
    <col min="5109" max="5109" width="15.140625" style="367" customWidth="1"/>
    <col min="5110" max="5110" width="5.140625" style="367" customWidth="1"/>
    <col min="5111" max="5111" width="9.7109375" style="367" customWidth="1"/>
    <col min="5112" max="5112" width="13.7109375" style="367" customWidth="1"/>
    <col min="5113" max="5113" width="5.140625" style="367" customWidth="1"/>
    <col min="5114" max="5114" width="9.7109375" style="367" customWidth="1"/>
    <col min="5115" max="5115" width="12.5703125" style="367" customWidth="1"/>
    <col min="5116" max="5116" width="5.140625" style="367" customWidth="1"/>
    <col min="5117" max="5117" width="9.7109375" style="367" customWidth="1"/>
    <col min="5118" max="5118" width="12.7109375" style="367" customWidth="1"/>
    <col min="5119" max="5119" width="5.140625" style="367" customWidth="1"/>
    <col min="5120" max="5120" width="9.7109375" style="367" customWidth="1"/>
    <col min="5121" max="5121" width="12.7109375" style="367" customWidth="1"/>
    <col min="5122" max="5122" width="5.140625" style="367" customWidth="1"/>
    <col min="5123" max="5123" width="9.7109375" style="367" customWidth="1"/>
    <col min="5124" max="5124" width="12.7109375" style="367" customWidth="1"/>
    <col min="5125" max="5125" width="5.140625" style="367" customWidth="1"/>
    <col min="5126" max="5126" width="9.7109375" style="367" customWidth="1"/>
    <col min="5127" max="5127" width="12.7109375" style="367" customWidth="1"/>
    <col min="5128" max="5128" width="5.140625" style="367" customWidth="1"/>
    <col min="5129" max="5129" width="9.7109375" style="367" customWidth="1"/>
    <col min="5130" max="5130" width="12.7109375" style="367" customWidth="1"/>
    <col min="5131" max="5131" width="5.140625" style="367" customWidth="1"/>
    <col min="5132" max="5132" width="9.7109375" style="367" customWidth="1"/>
    <col min="5133" max="5133" width="12.7109375" style="367" customWidth="1"/>
    <col min="5134" max="5134" width="5.140625" style="367" customWidth="1"/>
    <col min="5135" max="5135" width="9.7109375" style="367" customWidth="1"/>
    <col min="5136" max="5136" width="12.7109375" style="367" customWidth="1"/>
    <col min="5137" max="5137" width="5.140625" style="367" customWidth="1"/>
    <col min="5138" max="5138" width="9.7109375" style="367" customWidth="1"/>
    <col min="5139" max="5139" width="12.7109375" style="367" customWidth="1"/>
    <col min="5140" max="5140" width="5.140625" style="367" customWidth="1"/>
    <col min="5141" max="5141" width="9.7109375" style="367" customWidth="1"/>
    <col min="5142" max="5142" width="12.7109375" style="367" customWidth="1"/>
    <col min="5143" max="5143" width="5.140625" style="367" customWidth="1"/>
    <col min="5144" max="5144" width="9.7109375" style="367" customWidth="1"/>
    <col min="5145" max="5145" width="12.7109375" style="367" customWidth="1"/>
    <col min="5146" max="5146" width="5.140625" style="367" customWidth="1"/>
    <col min="5147" max="5147" width="9.7109375" style="367" customWidth="1"/>
    <col min="5148" max="5148" width="12.7109375" style="367" customWidth="1"/>
    <col min="5149" max="5149" width="37.7109375" style="367" customWidth="1"/>
    <col min="5150" max="5352" width="9.140625" style="367"/>
    <col min="5353" max="5353" width="1.7109375" style="367" customWidth="1"/>
    <col min="5354" max="5354" width="3.5703125" style="367" customWidth="1"/>
    <col min="5355" max="5355" width="11" style="367" customWidth="1"/>
    <col min="5356" max="5356" width="20.7109375" style="367" customWidth="1"/>
    <col min="5357" max="5358" width="11.7109375" style="367" customWidth="1"/>
    <col min="5359" max="5359" width="9.7109375" style="367" customWidth="1"/>
    <col min="5360" max="5360" width="10.140625" style="367" bestFit="1" customWidth="1"/>
    <col min="5361" max="5362" width="7.7109375" style="367" customWidth="1"/>
    <col min="5363" max="5363" width="4" style="367" customWidth="1"/>
    <col min="5364" max="5364" width="9.7109375" style="367" customWidth="1"/>
    <col min="5365" max="5365" width="15.140625" style="367" customWidth="1"/>
    <col min="5366" max="5366" width="5.140625" style="367" customWidth="1"/>
    <col min="5367" max="5367" width="9.7109375" style="367" customWidth="1"/>
    <col min="5368" max="5368" width="13.7109375" style="367" customWidth="1"/>
    <col min="5369" max="5369" width="5.140625" style="367" customWidth="1"/>
    <col min="5370" max="5370" width="9.7109375" style="367" customWidth="1"/>
    <col min="5371" max="5371" width="12.5703125" style="367" customWidth="1"/>
    <col min="5372" max="5372" width="5.140625" style="367" customWidth="1"/>
    <col min="5373" max="5373" width="9.7109375" style="367" customWidth="1"/>
    <col min="5374" max="5374" width="12.7109375" style="367" customWidth="1"/>
    <col min="5375" max="5375" width="5.140625" style="367" customWidth="1"/>
    <col min="5376" max="5376" width="9.7109375" style="367" customWidth="1"/>
    <col min="5377" max="5377" width="12.7109375" style="367" customWidth="1"/>
    <col min="5378" max="5378" width="5.140625" style="367" customWidth="1"/>
    <col min="5379" max="5379" width="9.7109375" style="367" customWidth="1"/>
    <col min="5380" max="5380" width="12.7109375" style="367" customWidth="1"/>
    <col min="5381" max="5381" width="5.140625" style="367" customWidth="1"/>
    <col min="5382" max="5382" width="9.7109375" style="367" customWidth="1"/>
    <col min="5383" max="5383" width="12.7109375" style="367" customWidth="1"/>
    <col min="5384" max="5384" width="5.140625" style="367" customWidth="1"/>
    <col min="5385" max="5385" width="9.7109375" style="367" customWidth="1"/>
    <col min="5386" max="5386" width="12.7109375" style="367" customWidth="1"/>
    <col min="5387" max="5387" width="5.140625" style="367" customWidth="1"/>
    <col min="5388" max="5388" width="9.7109375" style="367" customWidth="1"/>
    <col min="5389" max="5389" width="12.7109375" style="367" customWidth="1"/>
    <col min="5390" max="5390" width="5.140625" style="367" customWidth="1"/>
    <col min="5391" max="5391" width="9.7109375" style="367" customWidth="1"/>
    <col min="5392" max="5392" width="12.7109375" style="367" customWidth="1"/>
    <col min="5393" max="5393" width="5.140625" style="367" customWidth="1"/>
    <col min="5394" max="5394" width="9.7109375" style="367" customWidth="1"/>
    <col min="5395" max="5395" width="12.7109375" style="367" customWidth="1"/>
    <col min="5396" max="5396" width="5.140625" style="367" customWidth="1"/>
    <col min="5397" max="5397" width="9.7109375" style="367" customWidth="1"/>
    <col min="5398" max="5398" width="12.7109375" style="367" customWidth="1"/>
    <col min="5399" max="5399" width="5.140625" style="367" customWidth="1"/>
    <col min="5400" max="5400" width="9.7109375" style="367" customWidth="1"/>
    <col min="5401" max="5401" width="12.7109375" style="367" customWidth="1"/>
    <col min="5402" max="5402" width="5.140625" style="367" customWidth="1"/>
    <col min="5403" max="5403" width="9.7109375" style="367" customWidth="1"/>
    <col min="5404" max="5404" width="12.7109375" style="367" customWidth="1"/>
    <col min="5405" max="5405" width="37.7109375" style="367" customWidth="1"/>
    <col min="5406" max="5608" width="9.140625" style="367"/>
    <col min="5609" max="5609" width="1.7109375" style="367" customWidth="1"/>
    <col min="5610" max="5610" width="3.5703125" style="367" customWidth="1"/>
    <col min="5611" max="5611" width="11" style="367" customWidth="1"/>
    <col min="5612" max="5612" width="20.7109375" style="367" customWidth="1"/>
    <col min="5613" max="5614" width="11.7109375" style="367" customWidth="1"/>
    <col min="5615" max="5615" width="9.7109375" style="367" customWidth="1"/>
    <col min="5616" max="5616" width="10.140625" style="367" bestFit="1" customWidth="1"/>
    <col min="5617" max="5618" width="7.7109375" style="367" customWidth="1"/>
    <col min="5619" max="5619" width="4" style="367" customWidth="1"/>
    <col min="5620" max="5620" width="9.7109375" style="367" customWidth="1"/>
    <col min="5621" max="5621" width="15.140625" style="367" customWidth="1"/>
    <col min="5622" max="5622" width="5.140625" style="367" customWidth="1"/>
    <col min="5623" max="5623" width="9.7109375" style="367" customWidth="1"/>
    <col min="5624" max="5624" width="13.7109375" style="367" customWidth="1"/>
    <col min="5625" max="5625" width="5.140625" style="367" customWidth="1"/>
    <col min="5626" max="5626" width="9.7109375" style="367" customWidth="1"/>
    <col min="5627" max="5627" width="12.5703125" style="367" customWidth="1"/>
    <col min="5628" max="5628" width="5.140625" style="367" customWidth="1"/>
    <col min="5629" max="5629" width="9.7109375" style="367" customWidth="1"/>
    <col min="5630" max="5630" width="12.7109375" style="367" customWidth="1"/>
    <col min="5631" max="5631" width="5.140625" style="367" customWidth="1"/>
    <col min="5632" max="5632" width="9.7109375" style="367" customWidth="1"/>
    <col min="5633" max="5633" width="12.7109375" style="367" customWidth="1"/>
    <col min="5634" max="5634" width="5.140625" style="367" customWidth="1"/>
    <col min="5635" max="5635" width="9.7109375" style="367" customWidth="1"/>
    <col min="5636" max="5636" width="12.7109375" style="367" customWidth="1"/>
    <col min="5637" max="5637" width="5.140625" style="367" customWidth="1"/>
    <col min="5638" max="5638" width="9.7109375" style="367" customWidth="1"/>
    <col min="5639" max="5639" width="12.7109375" style="367" customWidth="1"/>
    <col min="5640" max="5640" width="5.140625" style="367" customWidth="1"/>
    <col min="5641" max="5641" width="9.7109375" style="367" customWidth="1"/>
    <col min="5642" max="5642" width="12.7109375" style="367" customWidth="1"/>
    <col min="5643" max="5643" width="5.140625" style="367" customWidth="1"/>
    <col min="5644" max="5644" width="9.7109375" style="367" customWidth="1"/>
    <col min="5645" max="5645" width="12.7109375" style="367" customWidth="1"/>
    <col min="5646" max="5646" width="5.140625" style="367" customWidth="1"/>
    <col min="5647" max="5647" width="9.7109375" style="367" customWidth="1"/>
    <col min="5648" max="5648" width="12.7109375" style="367" customWidth="1"/>
    <col min="5649" max="5649" width="5.140625" style="367" customWidth="1"/>
    <col min="5650" max="5650" width="9.7109375" style="367" customWidth="1"/>
    <col min="5651" max="5651" width="12.7109375" style="367" customWidth="1"/>
    <col min="5652" max="5652" width="5.140625" style="367" customWidth="1"/>
    <col min="5653" max="5653" width="9.7109375" style="367" customWidth="1"/>
    <col min="5654" max="5654" width="12.7109375" style="367" customWidth="1"/>
    <col min="5655" max="5655" width="5.140625" style="367" customWidth="1"/>
    <col min="5656" max="5656" width="9.7109375" style="367" customWidth="1"/>
    <col min="5657" max="5657" width="12.7109375" style="367" customWidth="1"/>
    <col min="5658" max="5658" width="5.140625" style="367" customWidth="1"/>
    <col min="5659" max="5659" width="9.7109375" style="367" customWidth="1"/>
    <col min="5660" max="5660" width="12.7109375" style="367" customWidth="1"/>
    <col min="5661" max="5661" width="37.7109375" style="367" customWidth="1"/>
    <col min="5662" max="5864" width="9.140625" style="367"/>
    <col min="5865" max="5865" width="1.7109375" style="367" customWidth="1"/>
    <col min="5866" max="5866" width="3.5703125" style="367" customWidth="1"/>
    <col min="5867" max="5867" width="11" style="367" customWidth="1"/>
    <col min="5868" max="5868" width="20.7109375" style="367" customWidth="1"/>
    <col min="5869" max="5870" width="11.7109375" style="367" customWidth="1"/>
    <col min="5871" max="5871" width="9.7109375" style="367" customWidth="1"/>
    <col min="5872" max="5872" width="10.140625" style="367" bestFit="1" customWidth="1"/>
    <col min="5873" max="5874" width="7.7109375" style="367" customWidth="1"/>
    <col min="5875" max="5875" width="4" style="367" customWidth="1"/>
    <col min="5876" max="5876" width="9.7109375" style="367" customWidth="1"/>
    <col min="5877" max="5877" width="15.140625" style="367" customWidth="1"/>
    <col min="5878" max="5878" width="5.140625" style="367" customWidth="1"/>
    <col min="5879" max="5879" width="9.7109375" style="367" customWidth="1"/>
    <col min="5880" max="5880" width="13.7109375" style="367" customWidth="1"/>
    <col min="5881" max="5881" width="5.140625" style="367" customWidth="1"/>
    <col min="5882" max="5882" width="9.7109375" style="367" customWidth="1"/>
    <col min="5883" max="5883" width="12.5703125" style="367" customWidth="1"/>
    <col min="5884" max="5884" width="5.140625" style="367" customWidth="1"/>
    <col min="5885" max="5885" width="9.7109375" style="367" customWidth="1"/>
    <col min="5886" max="5886" width="12.7109375" style="367" customWidth="1"/>
    <col min="5887" max="5887" width="5.140625" style="367" customWidth="1"/>
    <col min="5888" max="5888" width="9.7109375" style="367" customWidth="1"/>
    <col min="5889" max="5889" width="12.7109375" style="367" customWidth="1"/>
    <col min="5890" max="5890" width="5.140625" style="367" customWidth="1"/>
    <col min="5891" max="5891" width="9.7109375" style="367" customWidth="1"/>
    <col min="5892" max="5892" width="12.7109375" style="367" customWidth="1"/>
    <col min="5893" max="5893" width="5.140625" style="367" customWidth="1"/>
    <col min="5894" max="5894" width="9.7109375" style="367" customWidth="1"/>
    <col min="5895" max="5895" width="12.7109375" style="367" customWidth="1"/>
    <col min="5896" max="5896" width="5.140625" style="367" customWidth="1"/>
    <col min="5897" max="5897" width="9.7109375" style="367" customWidth="1"/>
    <col min="5898" max="5898" width="12.7109375" style="367" customWidth="1"/>
    <col min="5899" max="5899" width="5.140625" style="367" customWidth="1"/>
    <col min="5900" max="5900" width="9.7109375" style="367" customWidth="1"/>
    <col min="5901" max="5901" width="12.7109375" style="367" customWidth="1"/>
    <col min="5902" max="5902" width="5.140625" style="367" customWidth="1"/>
    <col min="5903" max="5903" width="9.7109375" style="367" customWidth="1"/>
    <col min="5904" max="5904" width="12.7109375" style="367" customWidth="1"/>
    <col min="5905" max="5905" width="5.140625" style="367" customWidth="1"/>
    <col min="5906" max="5906" width="9.7109375" style="367" customWidth="1"/>
    <col min="5907" max="5907" width="12.7109375" style="367" customWidth="1"/>
    <col min="5908" max="5908" width="5.140625" style="367" customWidth="1"/>
    <col min="5909" max="5909" width="9.7109375" style="367" customWidth="1"/>
    <col min="5910" max="5910" width="12.7109375" style="367" customWidth="1"/>
    <col min="5911" max="5911" width="5.140625" style="367" customWidth="1"/>
    <col min="5912" max="5912" width="9.7109375" style="367" customWidth="1"/>
    <col min="5913" max="5913" width="12.7109375" style="367" customWidth="1"/>
    <col min="5914" max="5914" width="5.140625" style="367" customWidth="1"/>
    <col min="5915" max="5915" width="9.7109375" style="367" customWidth="1"/>
    <col min="5916" max="5916" width="12.7109375" style="367" customWidth="1"/>
    <col min="5917" max="5917" width="37.7109375" style="367" customWidth="1"/>
    <col min="5918" max="6120" width="9.140625" style="367"/>
    <col min="6121" max="6121" width="1.7109375" style="367" customWidth="1"/>
    <col min="6122" max="6122" width="3.5703125" style="367" customWidth="1"/>
    <col min="6123" max="6123" width="11" style="367" customWidth="1"/>
    <col min="6124" max="6124" width="20.7109375" style="367" customWidth="1"/>
    <col min="6125" max="6126" width="11.7109375" style="367" customWidth="1"/>
    <col min="6127" max="6127" width="9.7109375" style="367" customWidth="1"/>
    <col min="6128" max="6128" width="10.140625" style="367" bestFit="1" customWidth="1"/>
    <col min="6129" max="6130" width="7.7109375" style="367" customWidth="1"/>
    <col min="6131" max="6131" width="4" style="367" customWidth="1"/>
    <col min="6132" max="6132" width="9.7109375" style="367" customWidth="1"/>
    <col min="6133" max="6133" width="15.140625" style="367" customWidth="1"/>
    <col min="6134" max="6134" width="5.140625" style="367" customWidth="1"/>
    <col min="6135" max="6135" width="9.7109375" style="367" customWidth="1"/>
    <col min="6136" max="6136" width="13.7109375" style="367" customWidth="1"/>
    <col min="6137" max="6137" width="5.140625" style="367" customWidth="1"/>
    <col min="6138" max="6138" width="9.7109375" style="367" customWidth="1"/>
    <col min="6139" max="6139" width="12.5703125" style="367" customWidth="1"/>
    <col min="6140" max="6140" width="5.140625" style="367" customWidth="1"/>
    <col min="6141" max="6141" width="9.7109375" style="367" customWidth="1"/>
    <col min="6142" max="6142" width="12.7109375" style="367" customWidth="1"/>
    <col min="6143" max="6143" width="5.140625" style="367" customWidth="1"/>
    <col min="6144" max="6144" width="9.7109375" style="367" customWidth="1"/>
    <col min="6145" max="6145" width="12.7109375" style="367" customWidth="1"/>
    <col min="6146" max="6146" width="5.140625" style="367" customWidth="1"/>
    <col min="6147" max="6147" width="9.7109375" style="367" customWidth="1"/>
    <col min="6148" max="6148" width="12.7109375" style="367" customWidth="1"/>
    <col min="6149" max="6149" width="5.140625" style="367" customWidth="1"/>
    <col min="6150" max="6150" width="9.7109375" style="367" customWidth="1"/>
    <col min="6151" max="6151" width="12.7109375" style="367" customWidth="1"/>
    <col min="6152" max="6152" width="5.140625" style="367" customWidth="1"/>
    <col min="6153" max="6153" width="9.7109375" style="367" customWidth="1"/>
    <col min="6154" max="6154" width="12.7109375" style="367" customWidth="1"/>
    <col min="6155" max="6155" width="5.140625" style="367" customWidth="1"/>
    <col min="6156" max="6156" width="9.7109375" style="367" customWidth="1"/>
    <col min="6157" max="6157" width="12.7109375" style="367" customWidth="1"/>
    <col min="6158" max="6158" width="5.140625" style="367" customWidth="1"/>
    <col min="6159" max="6159" width="9.7109375" style="367" customWidth="1"/>
    <col min="6160" max="6160" width="12.7109375" style="367" customWidth="1"/>
    <col min="6161" max="6161" width="5.140625" style="367" customWidth="1"/>
    <col min="6162" max="6162" width="9.7109375" style="367" customWidth="1"/>
    <col min="6163" max="6163" width="12.7109375" style="367" customWidth="1"/>
    <col min="6164" max="6164" width="5.140625" style="367" customWidth="1"/>
    <col min="6165" max="6165" width="9.7109375" style="367" customWidth="1"/>
    <col min="6166" max="6166" width="12.7109375" style="367" customWidth="1"/>
    <col min="6167" max="6167" width="5.140625" style="367" customWidth="1"/>
    <col min="6168" max="6168" width="9.7109375" style="367" customWidth="1"/>
    <col min="6169" max="6169" width="12.7109375" style="367" customWidth="1"/>
    <col min="6170" max="6170" width="5.140625" style="367" customWidth="1"/>
    <col min="6171" max="6171" width="9.7109375" style="367" customWidth="1"/>
    <col min="6172" max="6172" width="12.7109375" style="367" customWidth="1"/>
    <col min="6173" max="6173" width="37.7109375" style="367" customWidth="1"/>
    <col min="6174" max="6376" width="9.140625" style="367"/>
    <col min="6377" max="6377" width="1.7109375" style="367" customWidth="1"/>
    <col min="6378" max="6378" width="3.5703125" style="367" customWidth="1"/>
    <col min="6379" max="6379" width="11" style="367" customWidth="1"/>
    <col min="6380" max="6380" width="20.7109375" style="367" customWidth="1"/>
    <col min="6381" max="6382" width="11.7109375" style="367" customWidth="1"/>
    <col min="6383" max="6383" width="9.7109375" style="367" customWidth="1"/>
    <col min="6384" max="6384" width="10.140625" style="367" bestFit="1" customWidth="1"/>
    <col min="6385" max="6386" width="7.7109375" style="367" customWidth="1"/>
    <col min="6387" max="6387" width="4" style="367" customWidth="1"/>
    <col min="6388" max="6388" width="9.7109375" style="367" customWidth="1"/>
    <col min="6389" max="6389" width="15.140625" style="367" customWidth="1"/>
    <col min="6390" max="6390" width="5.140625" style="367" customWidth="1"/>
    <col min="6391" max="6391" width="9.7109375" style="367" customWidth="1"/>
    <col min="6392" max="6392" width="13.7109375" style="367" customWidth="1"/>
    <col min="6393" max="6393" width="5.140625" style="367" customWidth="1"/>
    <col min="6394" max="6394" width="9.7109375" style="367" customWidth="1"/>
    <col min="6395" max="6395" width="12.5703125" style="367" customWidth="1"/>
    <col min="6396" max="6396" width="5.140625" style="367" customWidth="1"/>
    <col min="6397" max="6397" width="9.7109375" style="367" customWidth="1"/>
    <col min="6398" max="6398" width="12.7109375" style="367" customWidth="1"/>
    <col min="6399" max="6399" width="5.140625" style="367" customWidth="1"/>
    <col min="6400" max="6400" width="9.7109375" style="367" customWidth="1"/>
    <col min="6401" max="6401" width="12.7109375" style="367" customWidth="1"/>
    <col min="6402" max="6402" width="5.140625" style="367" customWidth="1"/>
    <col min="6403" max="6403" width="9.7109375" style="367" customWidth="1"/>
    <col min="6404" max="6404" width="12.7109375" style="367" customWidth="1"/>
    <col min="6405" max="6405" width="5.140625" style="367" customWidth="1"/>
    <col min="6406" max="6406" width="9.7109375" style="367" customWidth="1"/>
    <col min="6407" max="6407" width="12.7109375" style="367" customWidth="1"/>
    <col min="6408" max="6408" width="5.140625" style="367" customWidth="1"/>
    <col min="6409" max="6409" width="9.7109375" style="367" customWidth="1"/>
    <col min="6410" max="6410" width="12.7109375" style="367" customWidth="1"/>
    <col min="6411" max="6411" width="5.140625" style="367" customWidth="1"/>
    <col min="6412" max="6412" width="9.7109375" style="367" customWidth="1"/>
    <col min="6413" max="6413" width="12.7109375" style="367" customWidth="1"/>
    <col min="6414" max="6414" width="5.140625" style="367" customWidth="1"/>
    <col min="6415" max="6415" width="9.7109375" style="367" customWidth="1"/>
    <col min="6416" max="6416" width="12.7109375" style="367" customWidth="1"/>
    <col min="6417" max="6417" width="5.140625" style="367" customWidth="1"/>
    <col min="6418" max="6418" width="9.7109375" style="367" customWidth="1"/>
    <col min="6419" max="6419" width="12.7109375" style="367" customWidth="1"/>
    <col min="6420" max="6420" width="5.140625" style="367" customWidth="1"/>
    <col min="6421" max="6421" width="9.7109375" style="367" customWidth="1"/>
    <col min="6422" max="6422" width="12.7109375" style="367" customWidth="1"/>
    <col min="6423" max="6423" width="5.140625" style="367" customWidth="1"/>
    <col min="6424" max="6424" width="9.7109375" style="367" customWidth="1"/>
    <col min="6425" max="6425" width="12.7109375" style="367" customWidth="1"/>
    <col min="6426" max="6426" width="5.140625" style="367" customWidth="1"/>
    <col min="6427" max="6427" width="9.7109375" style="367" customWidth="1"/>
    <col min="6428" max="6428" width="12.7109375" style="367" customWidth="1"/>
    <col min="6429" max="6429" width="37.7109375" style="367" customWidth="1"/>
    <col min="6430" max="6632" width="9.140625" style="367"/>
    <col min="6633" max="6633" width="1.7109375" style="367" customWidth="1"/>
    <col min="6634" max="6634" width="3.5703125" style="367" customWidth="1"/>
    <col min="6635" max="6635" width="11" style="367" customWidth="1"/>
    <col min="6636" max="6636" width="20.7109375" style="367" customWidth="1"/>
    <col min="6637" max="6638" width="11.7109375" style="367" customWidth="1"/>
    <col min="6639" max="6639" width="9.7109375" style="367" customWidth="1"/>
    <col min="6640" max="6640" width="10.140625" style="367" bestFit="1" customWidth="1"/>
    <col min="6641" max="6642" width="7.7109375" style="367" customWidth="1"/>
    <col min="6643" max="6643" width="4" style="367" customWidth="1"/>
    <col min="6644" max="6644" width="9.7109375" style="367" customWidth="1"/>
    <col min="6645" max="6645" width="15.140625" style="367" customWidth="1"/>
    <col min="6646" max="6646" width="5.140625" style="367" customWidth="1"/>
    <col min="6647" max="6647" width="9.7109375" style="367" customWidth="1"/>
    <col min="6648" max="6648" width="13.7109375" style="367" customWidth="1"/>
    <col min="6649" max="6649" width="5.140625" style="367" customWidth="1"/>
    <col min="6650" max="6650" width="9.7109375" style="367" customWidth="1"/>
    <col min="6651" max="6651" width="12.5703125" style="367" customWidth="1"/>
    <col min="6652" max="6652" width="5.140625" style="367" customWidth="1"/>
    <col min="6653" max="6653" width="9.7109375" style="367" customWidth="1"/>
    <col min="6654" max="6654" width="12.7109375" style="367" customWidth="1"/>
    <col min="6655" max="6655" width="5.140625" style="367" customWidth="1"/>
    <col min="6656" max="6656" width="9.7109375" style="367" customWidth="1"/>
    <col min="6657" max="6657" width="12.7109375" style="367" customWidth="1"/>
    <col min="6658" max="6658" width="5.140625" style="367" customWidth="1"/>
    <col min="6659" max="6659" width="9.7109375" style="367" customWidth="1"/>
    <col min="6660" max="6660" width="12.7109375" style="367" customWidth="1"/>
    <col min="6661" max="6661" width="5.140625" style="367" customWidth="1"/>
    <col min="6662" max="6662" width="9.7109375" style="367" customWidth="1"/>
    <col min="6663" max="6663" width="12.7109375" style="367" customWidth="1"/>
    <col min="6664" max="6664" width="5.140625" style="367" customWidth="1"/>
    <col min="6665" max="6665" width="9.7109375" style="367" customWidth="1"/>
    <col min="6666" max="6666" width="12.7109375" style="367" customWidth="1"/>
    <col min="6667" max="6667" width="5.140625" style="367" customWidth="1"/>
    <col min="6668" max="6668" width="9.7109375" style="367" customWidth="1"/>
    <col min="6669" max="6669" width="12.7109375" style="367" customWidth="1"/>
    <col min="6670" max="6670" width="5.140625" style="367" customWidth="1"/>
    <col min="6671" max="6671" width="9.7109375" style="367" customWidth="1"/>
    <col min="6672" max="6672" width="12.7109375" style="367" customWidth="1"/>
    <col min="6673" max="6673" width="5.140625" style="367" customWidth="1"/>
    <col min="6674" max="6674" width="9.7109375" style="367" customWidth="1"/>
    <col min="6675" max="6675" width="12.7109375" style="367" customWidth="1"/>
    <col min="6676" max="6676" width="5.140625" style="367" customWidth="1"/>
    <col min="6677" max="6677" width="9.7109375" style="367" customWidth="1"/>
    <col min="6678" max="6678" width="12.7109375" style="367" customWidth="1"/>
    <col min="6679" max="6679" width="5.140625" style="367" customWidth="1"/>
    <col min="6680" max="6680" width="9.7109375" style="367" customWidth="1"/>
    <col min="6681" max="6681" width="12.7109375" style="367" customWidth="1"/>
    <col min="6682" max="6682" width="5.140625" style="367" customWidth="1"/>
    <col min="6683" max="6683" width="9.7109375" style="367" customWidth="1"/>
    <col min="6684" max="6684" width="12.7109375" style="367" customWidth="1"/>
    <col min="6685" max="6685" width="37.7109375" style="367" customWidth="1"/>
    <col min="6686" max="6888" width="9.140625" style="367"/>
    <col min="6889" max="6889" width="1.7109375" style="367" customWidth="1"/>
    <col min="6890" max="6890" width="3.5703125" style="367" customWidth="1"/>
    <col min="6891" max="6891" width="11" style="367" customWidth="1"/>
    <col min="6892" max="6892" width="20.7109375" style="367" customWidth="1"/>
    <col min="6893" max="6894" width="11.7109375" style="367" customWidth="1"/>
    <col min="6895" max="6895" width="9.7109375" style="367" customWidth="1"/>
    <col min="6896" max="6896" width="10.140625" style="367" bestFit="1" customWidth="1"/>
    <col min="6897" max="6898" width="7.7109375" style="367" customWidth="1"/>
    <col min="6899" max="6899" width="4" style="367" customWidth="1"/>
    <col min="6900" max="6900" width="9.7109375" style="367" customWidth="1"/>
    <col min="6901" max="6901" width="15.140625" style="367" customWidth="1"/>
    <col min="6902" max="6902" width="5.140625" style="367" customWidth="1"/>
    <col min="6903" max="6903" width="9.7109375" style="367" customWidth="1"/>
    <col min="6904" max="6904" width="13.7109375" style="367" customWidth="1"/>
    <col min="6905" max="6905" width="5.140625" style="367" customWidth="1"/>
    <col min="6906" max="6906" width="9.7109375" style="367" customWidth="1"/>
    <col min="6907" max="6907" width="12.5703125" style="367" customWidth="1"/>
    <col min="6908" max="6908" width="5.140625" style="367" customWidth="1"/>
    <col min="6909" max="6909" width="9.7109375" style="367" customWidth="1"/>
    <col min="6910" max="6910" width="12.7109375" style="367" customWidth="1"/>
    <col min="6911" max="6911" width="5.140625" style="367" customWidth="1"/>
    <col min="6912" max="6912" width="9.7109375" style="367" customWidth="1"/>
    <col min="6913" max="6913" width="12.7109375" style="367" customWidth="1"/>
    <col min="6914" max="6914" width="5.140625" style="367" customWidth="1"/>
    <col min="6915" max="6915" width="9.7109375" style="367" customWidth="1"/>
    <col min="6916" max="6916" width="12.7109375" style="367" customWidth="1"/>
    <col min="6917" max="6917" width="5.140625" style="367" customWidth="1"/>
    <col min="6918" max="6918" width="9.7109375" style="367" customWidth="1"/>
    <col min="6919" max="6919" width="12.7109375" style="367" customWidth="1"/>
    <col min="6920" max="6920" width="5.140625" style="367" customWidth="1"/>
    <col min="6921" max="6921" width="9.7109375" style="367" customWidth="1"/>
    <col min="6922" max="6922" width="12.7109375" style="367" customWidth="1"/>
    <col min="6923" max="6923" width="5.140625" style="367" customWidth="1"/>
    <col min="6924" max="6924" width="9.7109375" style="367" customWidth="1"/>
    <col min="6925" max="6925" width="12.7109375" style="367" customWidth="1"/>
    <col min="6926" max="6926" width="5.140625" style="367" customWidth="1"/>
    <col min="6927" max="6927" width="9.7109375" style="367" customWidth="1"/>
    <col min="6928" max="6928" width="12.7109375" style="367" customWidth="1"/>
    <col min="6929" max="6929" width="5.140625" style="367" customWidth="1"/>
    <col min="6930" max="6930" width="9.7109375" style="367" customWidth="1"/>
    <col min="6931" max="6931" width="12.7109375" style="367" customWidth="1"/>
    <col min="6932" max="6932" width="5.140625" style="367" customWidth="1"/>
    <col min="6933" max="6933" width="9.7109375" style="367" customWidth="1"/>
    <col min="6934" max="6934" width="12.7109375" style="367" customWidth="1"/>
    <col min="6935" max="6935" width="5.140625" style="367" customWidth="1"/>
    <col min="6936" max="6936" width="9.7109375" style="367" customWidth="1"/>
    <col min="6937" max="6937" width="12.7109375" style="367" customWidth="1"/>
    <col min="6938" max="6938" width="5.140625" style="367" customWidth="1"/>
    <col min="6939" max="6939" width="9.7109375" style="367" customWidth="1"/>
    <col min="6940" max="6940" width="12.7109375" style="367" customWidth="1"/>
    <col min="6941" max="6941" width="37.7109375" style="367" customWidth="1"/>
    <col min="6942" max="7144" width="9.140625" style="367"/>
    <col min="7145" max="7145" width="1.7109375" style="367" customWidth="1"/>
    <col min="7146" max="7146" width="3.5703125" style="367" customWidth="1"/>
    <col min="7147" max="7147" width="11" style="367" customWidth="1"/>
    <col min="7148" max="7148" width="20.7109375" style="367" customWidth="1"/>
    <col min="7149" max="7150" width="11.7109375" style="367" customWidth="1"/>
    <col min="7151" max="7151" width="9.7109375" style="367" customWidth="1"/>
    <col min="7152" max="7152" width="10.140625" style="367" bestFit="1" customWidth="1"/>
    <col min="7153" max="7154" width="7.7109375" style="367" customWidth="1"/>
    <col min="7155" max="7155" width="4" style="367" customWidth="1"/>
    <col min="7156" max="7156" width="9.7109375" style="367" customWidth="1"/>
    <col min="7157" max="7157" width="15.140625" style="367" customWidth="1"/>
    <col min="7158" max="7158" width="5.140625" style="367" customWidth="1"/>
    <col min="7159" max="7159" width="9.7109375" style="367" customWidth="1"/>
    <col min="7160" max="7160" width="13.7109375" style="367" customWidth="1"/>
    <col min="7161" max="7161" width="5.140625" style="367" customWidth="1"/>
    <col min="7162" max="7162" width="9.7109375" style="367" customWidth="1"/>
    <col min="7163" max="7163" width="12.5703125" style="367" customWidth="1"/>
    <col min="7164" max="7164" width="5.140625" style="367" customWidth="1"/>
    <col min="7165" max="7165" width="9.7109375" style="367" customWidth="1"/>
    <col min="7166" max="7166" width="12.7109375" style="367" customWidth="1"/>
    <col min="7167" max="7167" width="5.140625" style="367" customWidth="1"/>
    <col min="7168" max="7168" width="9.7109375" style="367" customWidth="1"/>
    <col min="7169" max="7169" width="12.7109375" style="367" customWidth="1"/>
    <col min="7170" max="7170" width="5.140625" style="367" customWidth="1"/>
    <col min="7171" max="7171" width="9.7109375" style="367" customWidth="1"/>
    <col min="7172" max="7172" width="12.7109375" style="367" customWidth="1"/>
    <col min="7173" max="7173" width="5.140625" style="367" customWidth="1"/>
    <col min="7174" max="7174" width="9.7109375" style="367" customWidth="1"/>
    <col min="7175" max="7175" width="12.7109375" style="367" customWidth="1"/>
    <col min="7176" max="7176" width="5.140625" style="367" customWidth="1"/>
    <col min="7177" max="7177" width="9.7109375" style="367" customWidth="1"/>
    <col min="7178" max="7178" width="12.7109375" style="367" customWidth="1"/>
    <col min="7179" max="7179" width="5.140625" style="367" customWidth="1"/>
    <col min="7180" max="7180" width="9.7109375" style="367" customWidth="1"/>
    <col min="7181" max="7181" width="12.7109375" style="367" customWidth="1"/>
    <col min="7182" max="7182" width="5.140625" style="367" customWidth="1"/>
    <col min="7183" max="7183" width="9.7109375" style="367" customWidth="1"/>
    <col min="7184" max="7184" width="12.7109375" style="367" customWidth="1"/>
    <col min="7185" max="7185" width="5.140625" style="367" customWidth="1"/>
    <col min="7186" max="7186" width="9.7109375" style="367" customWidth="1"/>
    <col min="7187" max="7187" width="12.7109375" style="367" customWidth="1"/>
    <col min="7188" max="7188" width="5.140625" style="367" customWidth="1"/>
    <col min="7189" max="7189" width="9.7109375" style="367" customWidth="1"/>
    <col min="7190" max="7190" width="12.7109375" style="367" customWidth="1"/>
    <col min="7191" max="7191" width="5.140625" style="367" customWidth="1"/>
    <col min="7192" max="7192" width="9.7109375" style="367" customWidth="1"/>
    <col min="7193" max="7193" width="12.7109375" style="367" customWidth="1"/>
    <col min="7194" max="7194" width="5.140625" style="367" customWidth="1"/>
    <col min="7195" max="7195" width="9.7109375" style="367" customWidth="1"/>
    <col min="7196" max="7196" width="12.7109375" style="367" customWidth="1"/>
    <col min="7197" max="7197" width="37.7109375" style="367" customWidth="1"/>
    <col min="7198" max="7400" width="9.140625" style="367"/>
    <col min="7401" max="7401" width="1.7109375" style="367" customWidth="1"/>
    <col min="7402" max="7402" width="3.5703125" style="367" customWidth="1"/>
    <col min="7403" max="7403" width="11" style="367" customWidth="1"/>
    <col min="7404" max="7404" width="20.7109375" style="367" customWidth="1"/>
    <col min="7405" max="7406" width="11.7109375" style="367" customWidth="1"/>
    <col min="7407" max="7407" width="9.7109375" style="367" customWidth="1"/>
    <col min="7408" max="7408" width="10.140625" style="367" bestFit="1" customWidth="1"/>
    <col min="7409" max="7410" width="7.7109375" style="367" customWidth="1"/>
    <col min="7411" max="7411" width="4" style="367" customWidth="1"/>
    <col min="7412" max="7412" width="9.7109375" style="367" customWidth="1"/>
    <col min="7413" max="7413" width="15.140625" style="367" customWidth="1"/>
    <col min="7414" max="7414" width="5.140625" style="367" customWidth="1"/>
    <col min="7415" max="7415" width="9.7109375" style="367" customWidth="1"/>
    <col min="7416" max="7416" width="13.7109375" style="367" customWidth="1"/>
    <col min="7417" max="7417" width="5.140625" style="367" customWidth="1"/>
    <col min="7418" max="7418" width="9.7109375" style="367" customWidth="1"/>
    <col min="7419" max="7419" width="12.5703125" style="367" customWidth="1"/>
    <col min="7420" max="7420" width="5.140625" style="367" customWidth="1"/>
    <col min="7421" max="7421" width="9.7109375" style="367" customWidth="1"/>
    <col min="7422" max="7422" width="12.7109375" style="367" customWidth="1"/>
    <col min="7423" max="7423" width="5.140625" style="367" customWidth="1"/>
    <col min="7424" max="7424" width="9.7109375" style="367" customWidth="1"/>
    <col min="7425" max="7425" width="12.7109375" style="367" customWidth="1"/>
    <col min="7426" max="7426" width="5.140625" style="367" customWidth="1"/>
    <col min="7427" max="7427" width="9.7109375" style="367" customWidth="1"/>
    <col min="7428" max="7428" width="12.7109375" style="367" customWidth="1"/>
    <col min="7429" max="7429" width="5.140625" style="367" customWidth="1"/>
    <col min="7430" max="7430" width="9.7109375" style="367" customWidth="1"/>
    <col min="7431" max="7431" width="12.7109375" style="367" customWidth="1"/>
    <col min="7432" max="7432" width="5.140625" style="367" customWidth="1"/>
    <col min="7433" max="7433" width="9.7109375" style="367" customWidth="1"/>
    <col min="7434" max="7434" width="12.7109375" style="367" customWidth="1"/>
    <col min="7435" max="7435" width="5.140625" style="367" customWidth="1"/>
    <col min="7436" max="7436" width="9.7109375" style="367" customWidth="1"/>
    <col min="7437" max="7437" width="12.7109375" style="367" customWidth="1"/>
    <col min="7438" max="7438" width="5.140625" style="367" customWidth="1"/>
    <col min="7439" max="7439" width="9.7109375" style="367" customWidth="1"/>
    <col min="7440" max="7440" width="12.7109375" style="367" customWidth="1"/>
    <col min="7441" max="7441" width="5.140625" style="367" customWidth="1"/>
    <col min="7442" max="7442" width="9.7109375" style="367" customWidth="1"/>
    <col min="7443" max="7443" width="12.7109375" style="367" customWidth="1"/>
    <col min="7444" max="7444" width="5.140625" style="367" customWidth="1"/>
    <col min="7445" max="7445" width="9.7109375" style="367" customWidth="1"/>
    <col min="7446" max="7446" width="12.7109375" style="367" customWidth="1"/>
    <col min="7447" max="7447" width="5.140625" style="367" customWidth="1"/>
    <col min="7448" max="7448" width="9.7109375" style="367" customWidth="1"/>
    <col min="7449" max="7449" width="12.7109375" style="367" customWidth="1"/>
    <col min="7450" max="7450" width="5.140625" style="367" customWidth="1"/>
    <col min="7451" max="7451" width="9.7109375" style="367" customWidth="1"/>
    <col min="7452" max="7452" width="12.7109375" style="367" customWidth="1"/>
    <col min="7453" max="7453" width="37.7109375" style="367" customWidth="1"/>
    <col min="7454" max="7656" width="9.140625" style="367"/>
    <col min="7657" max="7657" width="1.7109375" style="367" customWidth="1"/>
    <col min="7658" max="7658" width="3.5703125" style="367" customWidth="1"/>
    <col min="7659" max="7659" width="11" style="367" customWidth="1"/>
    <col min="7660" max="7660" width="20.7109375" style="367" customWidth="1"/>
    <col min="7661" max="7662" width="11.7109375" style="367" customWidth="1"/>
    <col min="7663" max="7663" width="9.7109375" style="367" customWidth="1"/>
    <col min="7664" max="7664" width="10.140625" style="367" bestFit="1" customWidth="1"/>
    <col min="7665" max="7666" width="7.7109375" style="367" customWidth="1"/>
    <col min="7667" max="7667" width="4" style="367" customWidth="1"/>
    <col min="7668" max="7668" width="9.7109375" style="367" customWidth="1"/>
    <col min="7669" max="7669" width="15.140625" style="367" customWidth="1"/>
    <col min="7670" max="7670" width="5.140625" style="367" customWidth="1"/>
    <col min="7671" max="7671" width="9.7109375" style="367" customWidth="1"/>
    <col min="7672" max="7672" width="13.7109375" style="367" customWidth="1"/>
    <col min="7673" max="7673" width="5.140625" style="367" customWidth="1"/>
    <col min="7674" max="7674" width="9.7109375" style="367" customWidth="1"/>
    <col min="7675" max="7675" width="12.5703125" style="367" customWidth="1"/>
    <col min="7676" max="7676" width="5.140625" style="367" customWidth="1"/>
    <col min="7677" max="7677" width="9.7109375" style="367" customWidth="1"/>
    <col min="7678" max="7678" width="12.7109375" style="367" customWidth="1"/>
    <col min="7679" max="7679" width="5.140625" style="367" customWidth="1"/>
    <col min="7680" max="7680" width="9.7109375" style="367" customWidth="1"/>
    <col min="7681" max="7681" width="12.7109375" style="367" customWidth="1"/>
    <col min="7682" max="7682" width="5.140625" style="367" customWidth="1"/>
    <col min="7683" max="7683" width="9.7109375" style="367" customWidth="1"/>
    <col min="7684" max="7684" width="12.7109375" style="367" customWidth="1"/>
    <col min="7685" max="7685" width="5.140625" style="367" customWidth="1"/>
    <col min="7686" max="7686" width="9.7109375" style="367" customWidth="1"/>
    <col min="7687" max="7687" width="12.7109375" style="367" customWidth="1"/>
    <col min="7688" max="7688" width="5.140625" style="367" customWidth="1"/>
    <col min="7689" max="7689" width="9.7109375" style="367" customWidth="1"/>
    <col min="7690" max="7690" width="12.7109375" style="367" customWidth="1"/>
    <col min="7691" max="7691" width="5.140625" style="367" customWidth="1"/>
    <col min="7692" max="7692" width="9.7109375" style="367" customWidth="1"/>
    <col min="7693" max="7693" width="12.7109375" style="367" customWidth="1"/>
    <col min="7694" max="7694" width="5.140625" style="367" customWidth="1"/>
    <col min="7695" max="7695" width="9.7109375" style="367" customWidth="1"/>
    <col min="7696" max="7696" width="12.7109375" style="367" customWidth="1"/>
    <col min="7697" max="7697" width="5.140625" style="367" customWidth="1"/>
    <col min="7698" max="7698" width="9.7109375" style="367" customWidth="1"/>
    <col min="7699" max="7699" width="12.7109375" style="367" customWidth="1"/>
    <col min="7700" max="7700" width="5.140625" style="367" customWidth="1"/>
    <col min="7701" max="7701" width="9.7109375" style="367" customWidth="1"/>
    <col min="7702" max="7702" width="12.7109375" style="367" customWidth="1"/>
    <col min="7703" max="7703" width="5.140625" style="367" customWidth="1"/>
    <col min="7704" max="7704" width="9.7109375" style="367" customWidth="1"/>
    <col min="7705" max="7705" width="12.7109375" style="367" customWidth="1"/>
    <col min="7706" max="7706" width="5.140625" style="367" customWidth="1"/>
    <col min="7707" max="7707" width="9.7109375" style="367" customWidth="1"/>
    <col min="7708" max="7708" width="12.7109375" style="367" customWidth="1"/>
    <col min="7709" max="7709" width="37.7109375" style="367" customWidth="1"/>
    <col min="7710" max="7912" width="9.140625" style="367"/>
    <col min="7913" max="7913" width="1.7109375" style="367" customWidth="1"/>
    <col min="7914" max="7914" width="3.5703125" style="367" customWidth="1"/>
    <col min="7915" max="7915" width="11" style="367" customWidth="1"/>
    <col min="7916" max="7916" width="20.7109375" style="367" customWidth="1"/>
    <col min="7917" max="7918" width="11.7109375" style="367" customWidth="1"/>
    <col min="7919" max="7919" width="9.7109375" style="367" customWidth="1"/>
    <col min="7920" max="7920" width="10.140625" style="367" bestFit="1" customWidth="1"/>
    <col min="7921" max="7922" width="7.7109375" style="367" customWidth="1"/>
    <col min="7923" max="7923" width="4" style="367" customWidth="1"/>
    <col min="7924" max="7924" width="9.7109375" style="367" customWidth="1"/>
    <col min="7925" max="7925" width="15.140625" style="367" customWidth="1"/>
    <col min="7926" max="7926" width="5.140625" style="367" customWidth="1"/>
    <col min="7927" max="7927" width="9.7109375" style="367" customWidth="1"/>
    <col min="7928" max="7928" width="13.7109375" style="367" customWidth="1"/>
    <col min="7929" max="7929" width="5.140625" style="367" customWidth="1"/>
    <col min="7930" max="7930" width="9.7109375" style="367" customWidth="1"/>
    <col min="7931" max="7931" width="12.5703125" style="367" customWidth="1"/>
    <col min="7932" max="7932" width="5.140625" style="367" customWidth="1"/>
    <col min="7933" max="7933" width="9.7109375" style="367" customWidth="1"/>
    <col min="7934" max="7934" width="12.7109375" style="367" customWidth="1"/>
    <col min="7935" max="7935" width="5.140625" style="367" customWidth="1"/>
    <col min="7936" max="7936" width="9.7109375" style="367" customWidth="1"/>
    <col min="7937" max="7937" width="12.7109375" style="367" customWidth="1"/>
    <col min="7938" max="7938" width="5.140625" style="367" customWidth="1"/>
    <col min="7939" max="7939" width="9.7109375" style="367" customWidth="1"/>
    <col min="7940" max="7940" width="12.7109375" style="367" customWidth="1"/>
    <col min="7941" max="7941" width="5.140625" style="367" customWidth="1"/>
    <col min="7942" max="7942" width="9.7109375" style="367" customWidth="1"/>
    <col min="7943" max="7943" width="12.7109375" style="367" customWidth="1"/>
    <col min="7944" max="7944" width="5.140625" style="367" customWidth="1"/>
    <col min="7945" max="7945" width="9.7109375" style="367" customWidth="1"/>
    <col min="7946" max="7946" width="12.7109375" style="367" customWidth="1"/>
    <col min="7947" max="7947" width="5.140625" style="367" customWidth="1"/>
    <col min="7948" max="7948" width="9.7109375" style="367" customWidth="1"/>
    <col min="7949" max="7949" width="12.7109375" style="367" customWidth="1"/>
    <col min="7950" max="7950" width="5.140625" style="367" customWidth="1"/>
    <col min="7951" max="7951" width="9.7109375" style="367" customWidth="1"/>
    <col min="7952" max="7952" width="12.7109375" style="367" customWidth="1"/>
    <col min="7953" max="7953" width="5.140625" style="367" customWidth="1"/>
    <col min="7954" max="7954" width="9.7109375" style="367" customWidth="1"/>
    <col min="7955" max="7955" width="12.7109375" style="367" customWidth="1"/>
    <col min="7956" max="7956" width="5.140625" style="367" customWidth="1"/>
    <col min="7957" max="7957" width="9.7109375" style="367" customWidth="1"/>
    <col min="7958" max="7958" width="12.7109375" style="367" customWidth="1"/>
    <col min="7959" max="7959" width="5.140625" style="367" customWidth="1"/>
    <col min="7960" max="7960" width="9.7109375" style="367" customWidth="1"/>
    <col min="7961" max="7961" width="12.7109375" style="367" customWidth="1"/>
    <col min="7962" max="7962" width="5.140625" style="367" customWidth="1"/>
    <col min="7963" max="7963" width="9.7109375" style="367" customWidth="1"/>
    <col min="7964" max="7964" width="12.7109375" style="367" customWidth="1"/>
    <col min="7965" max="7965" width="37.7109375" style="367" customWidth="1"/>
    <col min="7966" max="8168" width="9.140625" style="367"/>
    <col min="8169" max="8169" width="1.7109375" style="367" customWidth="1"/>
    <col min="8170" max="8170" width="3.5703125" style="367" customWidth="1"/>
    <col min="8171" max="8171" width="11" style="367" customWidth="1"/>
    <col min="8172" max="8172" width="20.7109375" style="367" customWidth="1"/>
    <col min="8173" max="8174" width="11.7109375" style="367" customWidth="1"/>
    <col min="8175" max="8175" width="9.7109375" style="367" customWidth="1"/>
    <col min="8176" max="8176" width="10.140625" style="367" bestFit="1" customWidth="1"/>
    <col min="8177" max="8178" width="7.7109375" style="367" customWidth="1"/>
    <col min="8179" max="8179" width="4" style="367" customWidth="1"/>
    <col min="8180" max="8180" width="9.7109375" style="367" customWidth="1"/>
    <col min="8181" max="8181" width="15.140625" style="367" customWidth="1"/>
    <col min="8182" max="8182" width="5.140625" style="367" customWidth="1"/>
    <col min="8183" max="8183" width="9.7109375" style="367" customWidth="1"/>
    <col min="8184" max="8184" width="13.7109375" style="367" customWidth="1"/>
    <col min="8185" max="8185" width="5.140625" style="367" customWidth="1"/>
    <col min="8186" max="8186" width="9.7109375" style="367" customWidth="1"/>
    <col min="8187" max="8187" width="12.5703125" style="367" customWidth="1"/>
    <col min="8188" max="8188" width="5.140625" style="367" customWidth="1"/>
    <col min="8189" max="8189" width="9.7109375" style="367" customWidth="1"/>
    <col min="8190" max="8190" width="12.7109375" style="367" customWidth="1"/>
    <col min="8191" max="8191" width="5.140625" style="367" customWidth="1"/>
    <col min="8192" max="8192" width="9.7109375" style="367" customWidth="1"/>
    <col min="8193" max="8193" width="12.7109375" style="367" customWidth="1"/>
    <col min="8194" max="8194" width="5.140625" style="367" customWidth="1"/>
    <col min="8195" max="8195" width="9.7109375" style="367" customWidth="1"/>
    <col min="8196" max="8196" width="12.7109375" style="367" customWidth="1"/>
    <col min="8197" max="8197" width="5.140625" style="367" customWidth="1"/>
    <col min="8198" max="8198" width="9.7109375" style="367" customWidth="1"/>
    <col min="8199" max="8199" width="12.7109375" style="367" customWidth="1"/>
    <col min="8200" max="8200" width="5.140625" style="367" customWidth="1"/>
    <col min="8201" max="8201" width="9.7109375" style="367" customWidth="1"/>
    <col min="8202" max="8202" width="12.7109375" style="367" customWidth="1"/>
    <col min="8203" max="8203" width="5.140625" style="367" customWidth="1"/>
    <col min="8204" max="8204" width="9.7109375" style="367" customWidth="1"/>
    <col min="8205" max="8205" width="12.7109375" style="367" customWidth="1"/>
    <col min="8206" max="8206" width="5.140625" style="367" customWidth="1"/>
    <col min="8207" max="8207" width="9.7109375" style="367" customWidth="1"/>
    <col min="8208" max="8208" width="12.7109375" style="367" customWidth="1"/>
    <col min="8209" max="8209" width="5.140625" style="367" customWidth="1"/>
    <col min="8210" max="8210" width="9.7109375" style="367" customWidth="1"/>
    <col min="8211" max="8211" width="12.7109375" style="367" customWidth="1"/>
    <col min="8212" max="8212" width="5.140625" style="367" customWidth="1"/>
    <col min="8213" max="8213" width="9.7109375" style="367" customWidth="1"/>
    <col min="8214" max="8214" width="12.7109375" style="367" customWidth="1"/>
    <col min="8215" max="8215" width="5.140625" style="367" customWidth="1"/>
    <col min="8216" max="8216" width="9.7109375" style="367" customWidth="1"/>
    <col min="8217" max="8217" width="12.7109375" style="367" customWidth="1"/>
    <col min="8218" max="8218" width="5.140625" style="367" customWidth="1"/>
    <col min="8219" max="8219" width="9.7109375" style="367" customWidth="1"/>
    <col min="8220" max="8220" width="12.7109375" style="367" customWidth="1"/>
    <col min="8221" max="8221" width="37.7109375" style="367" customWidth="1"/>
    <col min="8222" max="8424" width="9.140625" style="367"/>
    <col min="8425" max="8425" width="1.7109375" style="367" customWidth="1"/>
    <col min="8426" max="8426" width="3.5703125" style="367" customWidth="1"/>
    <col min="8427" max="8427" width="11" style="367" customWidth="1"/>
    <col min="8428" max="8428" width="20.7109375" style="367" customWidth="1"/>
    <col min="8429" max="8430" width="11.7109375" style="367" customWidth="1"/>
    <col min="8431" max="8431" width="9.7109375" style="367" customWidth="1"/>
    <col min="8432" max="8432" width="10.140625" style="367" bestFit="1" customWidth="1"/>
    <col min="8433" max="8434" width="7.7109375" style="367" customWidth="1"/>
    <col min="8435" max="8435" width="4" style="367" customWidth="1"/>
    <col min="8436" max="8436" width="9.7109375" style="367" customWidth="1"/>
    <col min="8437" max="8437" width="15.140625" style="367" customWidth="1"/>
    <col min="8438" max="8438" width="5.140625" style="367" customWidth="1"/>
    <col min="8439" max="8439" width="9.7109375" style="367" customWidth="1"/>
    <col min="8440" max="8440" width="13.7109375" style="367" customWidth="1"/>
    <col min="8441" max="8441" width="5.140625" style="367" customWidth="1"/>
    <col min="8442" max="8442" width="9.7109375" style="367" customWidth="1"/>
    <col min="8443" max="8443" width="12.5703125" style="367" customWidth="1"/>
    <col min="8444" max="8444" width="5.140625" style="367" customWidth="1"/>
    <col min="8445" max="8445" width="9.7109375" style="367" customWidth="1"/>
    <col min="8446" max="8446" width="12.7109375" style="367" customWidth="1"/>
    <col min="8447" max="8447" width="5.140625" style="367" customWidth="1"/>
    <col min="8448" max="8448" width="9.7109375" style="367" customWidth="1"/>
    <col min="8449" max="8449" width="12.7109375" style="367" customWidth="1"/>
    <col min="8450" max="8450" width="5.140625" style="367" customWidth="1"/>
    <col min="8451" max="8451" width="9.7109375" style="367" customWidth="1"/>
    <col min="8452" max="8452" width="12.7109375" style="367" customWidth="1"/>
    <col min="8453" max="8453" width="5.140625" style="367" customWidth="1"/>
    <col min="8454" max="8454" width="9.7109375" style="367" customWidth="1"/>
    <col min="8455" max="8455" width="12.7109375" style="367" customWidth="1"/>
    <col min="8456" max="8456" width="5.140625" style="367" customWidth="1"/>
    <col min="8457" max="8457" width="9.7109375" style="367" customWidth="1"/>
    <col min="8458" max="8458" width="12.7109375" style="367" customWidth="1"/>
    <col min="8459" max="8459" width="5.140625" style="367" customWidth="1"/>
    <col min="8460" max="8460" width="9.7109375" style="367" customWidth="1"/>
    <col min="8461" max="8461" width="12.7109375" style="367" customWidth="1"/>
    <col min="8462" max="8462" width="5.140625" style="367" customWidth="1"/>
    <col min="8463" max="8463" width="9.7109375" style="367" customWidth="1"/>
    <col min="8464" max="8464" width="12.7109375" style="367" customWidth="1"/>
    <col min="8465" max="8465" width="5.140625" style="367" customWidth="1"/>
    <col min="8466" max="8466" width="9.7109375" style="367" customWidth="1"/>
    <col min="8467" max="8467" width="12.7109375" style="367" customWidth="1"/>
    <col min="8468" max="8468" width="5.140625" style="367" customWidth="1"/>
    <col min="8469" max="8469" width="9.7109375" style="367" customWidth="1"/>
    <col min="8470" max="8470" width="12.7109375" style="367" customWidth="1"/>
    <col min="8471" max="8471" width="5.140625" style="367" customWidth="1"/>
    <col min="8472" max="8472" width="9.7109375" style="367" customWidth="1"/>
    <col min="8473" max="8473" width="12.7109375" style="367" customWidth="1"/>
    <col min="8474" max="8474" width="5.140625" style="367" customWidth="1"/>
    <col min="8475" max="8475" width="9.7109375" style="367" customWidth="1"/>
    <col min="8476" max="8476" width="12.7109375" style="367" customWidth="1"/>
    <col min="8477" max="8477" width="37.7109375" style="367" customWidth="1"/>
    <col min="8478" max="8680" width="9.140625" style="367"/>
    <col min="8681" max="8681" width="1.7109375" style="367" customWidth="1"/>
    <col min="8682" max="8682" width="3.5703125" style="367" customWidth="1"/>
    <col min="8683" max="8683" width="11" style="367" customWidth="1"/>
    <col min="8684" max="8684" width="20.7109375" style="367" customWidth="1"/>
    <col min="8685" max="8686" width="11.7109375" style="367" customWidth="1"/>
    <col min="8687" max="8687" width="9.7109375" style="367" customWidth="1"/>
    <col min="8688" max="8688" width="10.140625" style="367" bestFit="1" customWidth="1"/>
    <col min="8689" max="8690" width="7.7109375" style="367" customWidth="1"/>
    <col min="8691" max="8691" width="4" style="367" customWidth="1"/>
    <col min="8692" max="8692" width="9.7109375" style="367" customWidth="1"/>
    <col min="8693" max="8693" width="15.140625" style="367" customWidth="1"/>
    <col min="8694" max="8694" width="5.140625" style="367" customWidth="1"/>
    <col min="8695" max="8695" width="9.7109375" style="367" customWidth="1"/>
    <col min="8696" max="8696" width="13.7109375" style="367" customWidth="1"/>
    <col min="8697" max="8697" width="5.140625" style="367" customWidth="1"/>
    <col min="8698" max="8698" width="9.7109375" style="367" customWidth="1"/>
    <col min="8699" max="8699" width="12.5703125" style="367" customWidth="1"/>
    <col min="8700" max="8700" width="5.140625" style="367" customWidth="1"/>
    <col min="8701" max="8701" width="9.7109375" style="367" customWidth="1"/>
    <col min="8702" max="8702" width="12.7109375" style="367" customWidth="1"/>
    <col min="8703" max="8703" width="5.140625" style="367" customWidth="1"/>
    <col min="8704" max="8704" width="9.7109375" style="367" customWidth="1"/>
    <col min="8705" max="8705" width="12.7109375" style="367" customWidth="1"/>
    <col min="8706" max="8706" width="5.140625" style="367" customWidth="1"/>
    <col min="8707" max="8707" width="9.7109375" style="367" customWidth="1"/>
    <col min="8708" max="8708" width="12.7109375" style="367" customWidth="1"/>
    <col min="8709" max="8709" width="5.140625" style="367" customWidth="1"/>
    <col min="8710" max="8710" width="9.7109375" style="367" customWidth="1"/>
    <col min="8711" max="8711" width="12.7109375" style="367" customWidth="1"/>
    <col min="8712" max="8712" width="5.140625" style="367" customWidth="1"/>
    <col min="8713" max="8713" width="9.7109375" style="367" customWidth="1"/>
    <col min="8714" max="8714" width="12.7109375" style="367" customWidth="1"/>
    <col min="8715" max="8715" width="5.140625" style="367" customWidth="1"/>
    <col min="8716" max="8716" width="9.7109375" style="367" customWidth="1"/>
    <col min="8717" max="8717" width="12.7109375" style="367" customWidth="1"/>
    <col min="8718" max="8718" width="5.140625" style="367" customWidth="1"/>
    <col min="8719" max="8719" width="9.7109375" style="367" customWidth="1"/>
    <col min="8720" max="8720" width="12.7109375" style="367" customWidth="1"/>
    <col min="8721" max="8721" width="5.140625" style="367" customWidth="1"/>
    <col min="8722" max="8722" width="9.7109375" style="367" customWidth="1"/>
    <col min="8723" max="8723" width="12.7109375" style="367" customWidth="1"/>
    <col min="8724" max="8724" width="5.140625" style="367" customWidth="1"/>
    <col min="8725" max="8725" width="9.7109375" style="367" customWidth="1"/>
    <col min="8726" max="8726" width="12.7109375" style="367" customWidth="1"/>
    <col min="8727" max="8727" width="5.140625" style="367" customWidth="1"/>
    <col min="8728" max="8728" width="9.7109375" style="367" customWidth="1"/>
    <col min="8729" max="8729" width="12.7109375" style="367" customWidth="1"/>
    <col min="8730" max="8730" width="5.140625" style="367" customWidth="1"/>
    <col min="8731" max="8731" width="9.7109375" style="367" customWidth="1"/>
    <col min="8732" max="8732" width="12.7109375" style="367" customWidth="1"/>
    <col min="8733" max="8733" width="37.7109375" style="367" customWidth="1"/>
    <col min="8734" max="8936" width="9.140625" style="367"/>
    <col min="8937" max="8937" width="1.7109375" style="367" customWidth="1"/>
    <col min="8938" max="8938" width="3.5703125" style="367" customWidth="1"/>
    <col min="8939" max="8939" width="11" style="367" customWidth="1"/>
    <col min="8940" max="8940" width="20.7109375" style="367" customWidth="1"/>
    <col min="8941" max="8942" width="11.7109375" style="367" customWidth="1"/>
    <col min="8943" max="8943" width="9.7109375" style="367" customWidth="1"/>
    <col min="8944" max="8944" width="10.140625" style="367" bestFit="1" customWidth="1"/>
    <col min="8945" max="8946" width="7.7109375" style="367" customWidth="1"/>
    <col min="8947" max="8947" width="4" style="367" customWidth="1"/>
    <col min="8948" max="8948" width="9.7109375" style="367" customWidth="1"/>
    <col min="8949" max="8949" width="15.140625" style="367" customWidth="1"/>
    <col min="8950" max="8950" width="5.140625" style="367" customWidth="1"/>
    <col min="8951" max="8951" width="9.7109375" style="367" customWidth="1"/>
    <col min="8952" max="8952" width="13.7109375" style="367" customWidth="1"/>
    <col min="8953" max="8953" width="5.140625" style="367" customWidth="1"/>
    <col min="8954" max="8954" width="9.7109375" style="367" customWidth="1"/>
    <col min="8955" max="8955" width="12.5703125" style="367" customWidth="1"/>
    <col min="8956" max="8956" width="5.140625" style="367" customWidth="1"/>
    <col min="8957" max="8957" width="9.7109375" style="367" customWidth="1"/>
    <col min="8958" max="8958" width="12.7109375" style="367" customWidth="1"/>
    <col min="8959" max="8959" width="5.140625" style="367" customWidth="1"/>
    <col min="8960" max="8960" width="9.7109375" style="367" customWidth="1"/>
    <col min="8961" max="8961" width="12.7109375" style="367" customWidth="1"/>
    <col min="8962" max="8962" width="5.140625" style="367" customWidth="1"/>
    <col min="8963" max="8963" width="9.7109375" style="367" customWidth="1"/>
    <col min="8964" max="8964" width="12.7109375" style="367" customWidth="1"/>
    <col min="8965" max="8965" width="5.140625" style="367" customWidth="1"/>
    <col min="8966" max="8966" width="9.7109375" style="367" customWidth="1"/>
    <col min="8967" max="8967" width="12.7109375" style="367" customWidth="1"/>
    <col min="8968" max="8968" width="5.140625" style="367" customWidth="1"/>
    <col min="8969" max="8969" width="9.7109375" style="367" customWidth="1"/>
    <col min="8970" max="8970" width="12.7109375" style="367" customWidth="1"/>
    <col min="8971" max="8971" width="5.140625" style="367" customWidth="1"/>
    <col min="8972" max="8972" width="9.7109375" style="367" customWidth="1"/>
    <col min="8973" max="8973" width="12.7109375" style="367" customWidth="1"/>
    <col min="8974" max="8974" width="5.140625" style="367" customWidth="1"/>
    <col min="8975" max="8975" width="9.7109375" style="367" customWidth="1"/>
    <col min="8976" max="8976" width="12.7109375" style="367" customWidth="1"/>
    <col min="8977" max="8977" width="5.140625" style="367" customWidth="1"/>
    <col min="8978" max="8978" width="9.7109375" style="367" customWidth="1"/>
    <col min="8979" max="8979" width="12.7109375" style="367" customWidth="1"/>
    <col min="8980" max="8980" width="5.140625" style="367" customWidth="1"/>
    <col min="8981" max="8981" width="9.7109375" style="367" customWidth="1"/>
    <col min="8982" max="8982" width="12.7109375" style="367" customWidth="1"/>
    <col min="8983" max="8983" width="5.140625" style="367" customWidth="1"/>
    <col min="8984" max="8984" width="9.7109375" style="367" customWidth="1"/>
    <col min="8985" max="8985" width="12.7109375" style="367" customWidth="1"/>
    <col min="8986" max="8986" width="5.140625" style="367" customWidth="1"/>
    <col min="8987" max="8987" width="9.7109375" style="367" customWidth="1"/>
    <col min="8988" max="8988" width="12.7109375" style="367" customWidth="1"/>
    <col min="8989" max="8989" width="37.7109375" style="367" customWidth="1"/>
    <col min="8990" max="9192" width="9.140625" style="367"/>
    <col min="9193" max="9193" width="1.7109375" style="367" customWidth="1"/>
    <col min="9194" max="9194" width="3.5703125" style="367" customWidth="1"/>
    <col min="9195" max="9195" width="11" style="367" customWidth="1"/>
    <col min="9196" max="9196" width="20.7109375" style="367" customWidth="1"/>
    <col min="9197" max="9198" width="11.7109375" style="367" customWidth="1"/>
    <col min="9199" max="9199" width="9.7109375" style="367" customWidth="1"/>
    <col min="9200" max="9200" width="10.140625" style="367" bestFit="1" customWidth="1"/>
    <col min="9201" max="9202" width="7.7109375" style="367" customWidth="1"/>
    <col min="9203" max="9203" width="4" style="367" customWidth="1"/>
    <col min="9204" max="9204" width="9.7109375" style="367" customWidth="1"/>
    <col min="9205" max="9205" width="15.140625" style="367" customWidth="1"/>
    <col min="9206" max="9206" width="5.140625" style="367" customWidth="1"/>
    <col min="9207" max="9207" width="9.7109375" style="367" customWidth="1"/>
    <col min="9208" max="9208" width="13.7109375" style="367" customWidth="1"/>
    <col min="9209" max="9209" width="5.140625" style="367" customWidth="1"/>
    <col min="9210" max="9210" width="9.7109375" style="367" customWidth="1"/>
    <col min="9211" max="9211" width="12.5703125" style="367" customWidth="1"/>
    <col min="9212" max="9212" width="5.140625" style="367" customWidth="1"/>
    <col min="9213" max="9213" width="9.7109375" style="367" customWidth="1"/>
    <col min="9214" max="9214" width="12.7109375" style="367" customWidth="1"/>
    <col min="9215" max="9215" width="5.140625" style="367" customWidth="1"/>
    <col min="9216" max="9216" width="9.7109375" style="367" customWidth="1"/>
    <col min="9217" max="9217" width="12.7109375" style="367" customWidth="1"/>
    <col min="9218" max="9218" width="5.140625" style="367" customWidth="1"/>
    <col min="9219" max="9219" width="9.7109375" style="367" customWidth="1"/>
    <col min="9220" max="9220" width="12.7109375" style="367" customWidth="1"/>
    <col min="9221" max="9221" width="5.140625" style="367" customWidth="1"/>
    <col min="9222" max="9222" width="9.7109375" style="367" customWidth="1"/>
    <col min="9223" max="9223" width="12.7109375" style="367" customWidth="1"/>
    <col min="9224" max="9224" width="5.140625" style="367" customWidth="1"/>
    <col min="9225" max="9225" width="9.7109375" style="367" customWidth="1"/>
    <col min="9226" max="9226" width="12.7109375" style="367" customWidth="1"/>
    <col min="9227" max="9227" width="5.140625" style="367" customWidth="1"/>
    <col min="9228" max="9228" width="9.7109375" style="367" customWidth="1"/>
    <col min="9229" max="9229" width="12.7109375" style="367" customWidth="1"/>
    <col min="9230" max="9230" width="5.140625" style="367" customWidth="1"/>
    <col min="9231" max="9231" width="9.7109375" style="367" customWidth="1"/>
    <col min="9232" max="9232" width="12.7109375" style="367" customWidth="1"/>
    <col min="9233" max="9233" width="5.140625" style="367" customWidth="1"/>
    <col min="9234" max="9234" width="9.7109375" style="367" customWidth="1"/>
    <col min="9235" max="9235" width="12.7109375" style="367" customWidth="1"/>
    <col min="9236" max="9236" width="5.140625" style="367" customWidth="1"/>
    <col min="9237" max="9237" width="9.7109375" style="367" customWidth="1"/>
    <col min="9238" max="9238" width="12.7109375" style="367" customWidth="1"/>
    <col min="9239" max="9239" width="5.140625" style="367" customWidth="1"/>
    <col min="9240" max="9240" width="9.7109375" style="367" customWidth="1"/>
    <col min="9241" max="9241" width="12.7109375" style="367" customWidth="1"/>
    <col min="9242" max="9242" width="5.140625" style="367" customWidth="1"/>
    <col min="9243" max="9243" width="9.7109375" style="367" customWidth="1"/>
    <col min="9244" max="9244" width="12.7109375" style="367" customWidth="1"/>
    <col min="9245" max="9245" width="37.7109375" style="367" customWidth="1"/>
    <col min="9246" max="9448" width="9.140625" style="367"/>
    <col min="9449" max="9449" width="1.7109375" style="367" customWidth="1"/>
    <col min="9450" max="9450" width="3.5703125" style="367" customWidth="1"/>
    <col min="9451" max="9451" width="11" style="367" customWidth="1"/>
    <col min="9452" max="9452" width="20.7109375" style="367" customWidth="1"/>
    <col min="9453" max="9454" width="11.7109375" style="367" customWidth="1"/>
    <col min="9455" max="9455" width="9.7109375" style="367" customWidth="1"/>
    <col min="9456" max="9456" width="10.140625" style="367" bestFit="1" customWidth="1"/>
    <col min="9457" max="9458" width="7.7109375" style="367" customWidth="1"/>
    <col min="9459" max="9459" width="4" style="367" customWidth="1"/>
    <col min="9460" max="9460" width="9.7109375" style="367" customWidth="1"/>
    <col min="9461" max="9461" width="15.140625" style="367" customWidth="1"/>
    <col min="9462" max="9462" width="5.140625" style="367" customWidth="1"/>
    <col min="9463" max="9463" width="9.7109375" style="367" customWidth="1"/>
    <col min="9464" max="9464" width="13.7109375" style="367" customWidth="1"/>
    <col min="9465" max="9465" width="5.140625" style="367" customWidth="1"/>
    <col min="9466" max="9466" width="9.7109375" style="367" customWidth="1"/>
    <col min="9467" max="9467" width="12.5703125" style="367" customWidth="1"/>
    <col min="9468" max="9468" width="5.140625" style="367" customWidth="1"/>
    <col min="9469" max="9469" width="9.7109375" style="367" customWidth="1"/>
    <col min="9470" max="9470" width="12.7109375" style="367" customWidth="1"/>
    <col min="9471" max="9471" width="5.140625" style="367" customWidth="1"/>
    <col min="9472" max="9472" width="9.7109375" style="367" customWidth="1"/>
    <col min="9473" max="9473" width="12.7109375" style="367" customWidth="1"/>
    <col min="9474" max="9474" width="5.140625" style="367" customWidth="1"/>
    <col min="9475" max="9475" width="9.7109375" style="367" customWidth="1"/>
    <col min="9476" max="9476" width="12.7109375" style="367" customWidth="1"/>
    <col min="9477" max="9477" width="5.140625" style="367" customWidth="1"/>
    <col min="9478" max="9478" width="9.7109375" style="367" customWidth="1"/>
    <col min="9479" max="9479" width="12.7109375" style="367" customWidth="1"/>
    <col min="9480" max="9480" width="5.140625" style="367" customWidth="1"/>
    <col min="9481" max="9481" width="9.7109375" style="367" customWidth="1"/>
    <col min="9482" max="9482" width="12.7109375" style="367" customWidth="1"/>
    <col min="9483" max="9483" width="5.140625" style="367" customWidth="1"/>
    <col min="9484" max="9484" width="9.7109375" style="367" customWidth="1"/>
    <col min="9485" max="9485" width="12.7109375" style="367" customWidth="1"/>
    <col min="9486" max="9486" width="5.140625" style="367" customWidth="1"/>
    <col min="9487" max="9487" width="9.7109375" style="367" customWidth="1"/>
    <col min="9488" max="9488" width="12.7109375" style="367" customWidth="1"/>
    <col min="9489" max="9489" width="5.140625" style="367" customWidth="1"/>
    <col min="9490" max="9490" width="9.7109375" style="367" customWidth="1"/>
    <col min="9491" max="9491" width="12.7109375" style="367" customWidth="1"/>
    <col min="9492" max="9492" width="5.140625" style="367" customWidth="1"/>
    <col min="9493" max="9493" width="9.7109375" style="367" customWidth="1"/>
    <col min="9494" max="9494" width="12.7109375" style="367" customWidth="1"/>
    <col min="9495" max="9495" width="5.140625" style="367" customWidth="1"/>
    <col min="9496" max="9496" width="9.7109375" style="367" customWidth="1"/>
    <col min="9497" max="9497" width="12.7109375" style="367" customWidth="1"/>
    <col min="9498" max="9498" width="5.140625" style="367" customWidth="1"/>
    <col min="9499" max="9499" width="9.7109375" style="367" customWidth="1"/>
    <col min="9500" max="9500" width="12.7109375" style="367" customWidth="1"/>
    <col min="9501" max="9501" width="37.7109375" style="367" customWidth="1"/>
    <col min="9502" max="9704" width="9.140625" style="367"/>
    <col min="9705" max="9705" width="1.7109375" style="367" customWidth="1"/>
    <col min="9706" max="9706" width="3.5703125" style="367" customWidth="1"/>
    <col min="9707" max="9707" width="11" style="367" customWidth="1"/>
    <col min="9708" max="9708" width="20.7109375" style="367" customWidth="1"/>
    <col min="9709" max="9710" width="11.7109375" style="367" customWidth="1"/>
    <col min="9711" max="9711" width="9.7109375" style="367" customWidth="1"/>
    <col min="9712" max="9712" width="10.140625" style="367" bestFit="1" customWidth="1"/>
    <col min="9713" max="9714" width="7.7109375" style="367" customWidth="1"/>
    <col min="9715" max="9715" width="4" style="367" customWidth="1"/>
    <col min="9716" max="9716" width="9.7109375" style="367" customWidth="1"/>
    <col min="9717" max="9717" width="15.140625" style="367" customWidth="1"/>
    <col min="9718" max="9718" width="5.140625" style="367" customWidth="1"/>
    <col min="9719" max="9719" width="9.7109375" style="367" customWidth="1"/>
    <col min="9720" max="9720" width="13.7109375" style="367" customWidth="1"/>
    <col min="9721" max="9721" width="5.140625" style="367" customWidth="1"/>
    <col min="9722" max="9722" width="9.7109375" style="367" customWidth="1"/>
    <col min="9723" max="9723" width="12.5703125" style="367" customWidth="1"/>
    <col min="9724" max="9724" width="5.140625" style="367" customWidth="1"/>
    <col min="9725" max="9725" width="9.7109375" style="367" customWidth="1"/>
    <col min="9726" max="9726" width="12.7109375" style="367" customWidth="1"/>
    <col min="9727" max="9727" width="5.140625" style="367" customWidth="1"/>
    <col min="9728" max="9728" width="9.7109375" style="367" customWidth="1"/>
    <col min="9729" max="9729" width="12.7109375" style="367" customWidth="1"/>
    <col min="9730" max="9730" width="5.140625" style="367" customWidth="1"/>
    <col min="9731" max="9731" width="9.7109375" style="367" customWidth="1"/>
    <col min="9732" max="9732" width="12.7109375" style="367" customWidth="1"/>
    <col min="9733" max="9733" width="5.140625" style="367" customWidth="1"/>
    <col min="9734" max="9734" width="9.7109375" style="367" customWidth="1"/>
    <col min="9735" max="9735" width="12.7109375" style="367" customWidth="1"/>
    <col min="9736" max="9736" width="5.140625" style="367" customWidth="1"/>
    <col min="9737" max="9737" width="9.7109375" style="367" customWidth="1"/>
    <col min="9738" max="9738" width="12.7109375" style="367" customWidth="1"/>
    <col min="9739" max="9739" width="5.140625" style="367" customWidth="1"/>
    <col min="9740" max="9740" width="9.7109375" style="367" customWidth="1"/>
    <col min="9741" max="9741" width="12.7109375" style="367" customWidth="1"/>
    <col min="9742" max="9742" width="5.140625" style="367" customWidth="1"/>
    <col min="9743" max="9743" width="9.7109375" style="367" customWidth="1"/>
    <col min="9744" max="9744" width="12.7109375" style="367" customWidth="1"/>
    <col min="9745" max="9745" width="5.140625" style="367" customWidth="1"/>
    <col min="9746" max="9746" width="9.7109375" style="367" customWidth="1"/>
    <col min="9747" max="9747" width="12.7109375" style="367" customWidth="1"/>
    <col min="9748" max="9748" width="5.140625" style="367" customWidth="1"/>
    <col min="9749" max="9749" width="9.7109375" style="367" customWidth="1"/>
    <col min="9750" max="9750" width="12.7109375" style="367" customWidth="1"/>
    <col min="9751" max="9751" width="5.140625" style="367" customWidth="1"/>
    <col min="9752" max="9752" width="9.7109375" style="367" customWidth="1"/>
    <col min="9753" max="9753" width="12.7109375" style="367" customWidth="1"/>
    <col min="9754" max="9754" width="5.140625" style="367" customWidth="1"/>
    <col min="9755" max="9755" width="9.7109375" style="367" customWidth="1"/>
    <col min="9756" max="9756" width="12.7109375" style="367" customWidth="1"/>
    <col min="9757" max="9757" width="37.7109375" style="367" customWidth="1"/>
    <col min="9758" max="9960" width="9.140625" style="367"/>
    <col min="9961" max="9961" width="1.7109375" style="367" customWidth="1"/>
    <col min="9962" max="9962" width="3.5703125" style="367" customWidth="1"/>
    <col min="9963" max="9963" width="11" style="367" customWidth="1"/>
    <col min="9964" max="9964" width="20.7109375" style="367" customWidth="1"/>
    <col min="9965" max="9966" width="11.7109375" style="367" customWidth="1"/>
    <col min="9967" max="9967" width="9.7109375" style="367" customWidth="1"/>
    <col min="9968" max="9968" width="10.140625" style="367" bestFit="1" customWidth="1"/>
    <col min="9969" max="9970" width="7.7109375" style="367" customWidth="1"/>
    <col min="9971" max="9971" width="4" style="367" customWidth="1"/>
    <col min="9972" max="9972" width="9.7109375" style="367" customWidth="1"/>
    <col min="9973" max="9973" width="15.140625" style="367" customWidth="1"/>
    <col min="9974" max="9974" width="5.140625" style="367" customWidth="1"/>
    <col min="9975" max="9975" width="9.7109375" style="367" customWidth="1"/>
    <col min="9976" max="9976" width="13.7109375" style="367" customWidth="1"/>
    <col min="9977" max="9977" width="5.140625" style="367" customWidth="1"/>
    <col min="9978" max="9978" width="9.7109375" style="367" customWidth="1"/>
    <col min="9979" max="9979" width="12.5703125" style="367" customWidth="1"/>
    <col min="9980" max="9980" width="5.140625" style="367" customWidth="1"/>
    <col min="9981" max="9981" width="9.7109375" style="367" customWidth="1"/>
    <col min="9982" max="9982" width="12.7109375" style="367" customWidth="1"/>
    <col min="9983" max="9983" width="5.140625" style="367" customWidth="1"/>
    <col min="9984" max="9984" width="9.7109375" style="367" customWidth="1"/>
    <col min="9985" max="9985" width="12.7109375" style="367" customWidth="1"/>
    <col min="9986" max="9986" width="5.140625" style="367" customWidth="1"/>
    <col min="9987" max="9987" width="9.7109375" style="367" customWidth="1"/>
    <col min="9988" max="9988" width="12.7109375" style="367" customWidth="1"/>
    <col min="9989" max="9989" width="5.140625" style="367" customWidth="1"/>
    <col min="9990" max="9990" width="9.7109375" style="367" customWidth="1"/>
    <col min="9991" max="9991" width="12.7109375" style="367" customWidth="1"/>
    <col min="9992" max="9992" width="5.140625" style="367" customWidth="1"/>
    <col min="9993" max="9993" width="9.7109375" style="367" customWidth="1"/>
    <col min="9994" max="9994" width="12.7109375" style="367" customWidth="1"/>
    <col min="9995" max="9995" width="5.140625" style="367" customWidth="1"/>
    <col min="9996" max="9996" width="9.7109375" style="367" customWidth="1"/>
    <col min="9997" max="9997" width="12.7109375" style="367" customWidth="1"/>
    <col min="9998" max="9998" width="5.140625" style="367" customWidth="1"/>
    <col min="9999" max="9999" width="9.7109375" style="367" customWidth="1"/>
    <col min="10000" max="10000" width="12.7109375" style="367" customWidth="1"/>
    <col min="10001" max="10001" width="5.140625" style="367" customWidth="1"/>
    <col min="10002" max="10002" width="9.7109375" style="367" customWidth="1"/>
    <col min="10003" max="10003" width="12.7109375" style="367" customWidth="1"/>
    <col min="10004" max="10004" width="5.140625" style="367" customWidth="1"/>
    <col min="10005" max="10005" width="9.7109375" style="367" customWidth="1"/>
    <col min="10006" max="10006" width="12.7109375" style="367" customWidth="1"/>
    <col min="10007" max="10007" width="5.140625" style="367" customWidth="1"/>
    <col min="10008" max="10008" width="9.7109375" style="367" customWidth="1"/>
    <col min="10009" max="10009" width="12.7109375" style="367" customWidth="1"/>
    <col min="10010" max="10010" width="5.140625" style="367" customWidth="1"/>
    <col min="10011" max="10011" width="9.7109375" style="367" customWidth="1"/>
    <col min="10012" max="10012" width="12.7109375" style="367" customWidth="1"/>
    <col min="10013" max="10013" width="37.7109375" style="367" customWidth="1"/>
    <col min="10014" max="10216" width="9.140625" style="367"/>
    <col min="10217" max="10217" width="1.7109375" style="367" customWidth="1"/>
    <col min="10218" max="10218" width="3.5703125" style="367" customWidth="1"/>
    <col min="10219" max="10219" width="11" style="367" customWidth="1"/>
    <col min="10220" max="10220" width="20.7109375" style="367" customWidth="1"/>
    <col min="10221" max="10222" width="11.7109375" style="367" customWidth="1"/>
    <col min="10223" max="10223" width="9.7109375" style="367" customWidth="1"/>
    <col min="10224" max="10224" width="10.140625" style="367" bestFit="1" customWidth="1"/>
    <col min="10225" max="10226" width="7.7109375" style="367" customWidth="1"/>
    <col min="10227" max="10227" width="4" style="367" customWidth="1"/>
    <col min="10228" max="10228" width="9.7109375" style="367" customWidth="1"/>
    <col min="10229" max="10229" width="15.140625" style="367" customWidth="1"/>
    <col min="10230" max="10230" width="5.140625" style="367" customWidth="1"/>
    <col min="10231" max="10231" width="9.7109375" style="367" customWidth="1"/>
    <col min="10232" max="10232" width="13.7109375" style="367" customWidth="1"/>
    <col min="10233" max="10233" width="5.140625" style="367" customWidth="1"/>
    <col min="10234" max="10234" width="9.7109375" style="367" customWidth="1"/>
    <col min="10235" max="10235" width="12.5703125" style="367" customWidth="1"/>
    <col min="10236" max="10236" width="5.140625" style="367" customWidth="1"/>
    <col min="10237" max="10237" width="9.7109375" style="367" customWidth="1"/>
    <col min="10238" max="10238" width="12.7109375" style="367" customWidth="1"/>
    <col min="10239" max="10239" width="5.140625" style="367" customWidth="1"/>
    <col min="10240" max="10240" width="9.7109375" style="367" customWidth="1"/>
    <col min="10241" max="10241" width="12.7109375" style="367" customWidth="1"/>
    <col min="10242" max="10242" width="5.140625" style="367" customWidth="1"/>
    <col min="10243" max="10243" width="9.7109375" style="367" customWidth="1"/>
    <col min="10244" max="10244" width="12.7109375" style="367" customWidth="1"/>
    <col min="10245" max="10245" width="5.140625" style="367" customWidth="1"/>
    <col min="10246" max="10246" width="9.7109375" style="367" customWidth="1"/>
    <col min="10247" max="10247" width="12.7109375" style="367" customWidth="1"/>
    <col min="10248" max="10248" width="5.140625" style="367" customWidth="1"/>
    <col min="10249" max="10249" width="9.7109375" style="367" customWidth="1"/>
    <col min="10250" max="10250" width="12.7109375" style="367" customWidth="1"/>
    <col min="10251" max="10251" width="5.140625" style="367" customWidth="1"/>
    <col min="10252" max="10252" width="9.7109375" style="367" customWidth="1"/>
    <col min="10253" max="10253" width="12.7109375" style="367" customWidth="1"/>
    <col min="10254" max="10254" width="5.140625" style="367" customWidth="1"/>
    <col min="10255" max="10255" width="9.7109375" style="367" customWidth="1"/>
    <col min="10256" max="10256" width="12.7109375" style="367" customWidth="1"/>
    <col min="10257" max="10257" width="5.140625" style="367" customWidth="1"/>
    <col min="10258" max="10258" width="9.7109375" style="367" customWidth="1"/>
    <col min="10259" max="10259" width="12.7109375" style="367" customWidth="1"/>
    <col min="10260" max="10260" width="5.140625" style="367" customWidth="1"/>
    <col min="10261" max="10261" width="9.7109375" style="367" customWidth="1"/>
    <col min="10262" max="10262" width="12.7109375" style="367" customWidth="1"/>
    <col min="10263" max="10263" width="5.140625" style="367" customWidth="1"/>
    <col min="10264" max="10264" width="9.7109375" style="367" customWidth="1"/>
    <col min="10265" max="10265" width="12.7109375" style="367" customWidth="1"/>
    <col min="10266" max="10266" width="5.140625" style="367" customWidth="1"/>
    <col min="10267" max="10267" width="9.7109375" style="367" customWidth="1"/>
    <col min="10268" max="10268" width="12.7109375" style="367" customWidth="1"/>
    <col min="10269" max="10269" width="37.7109375" style="367" customWidth="1"/>
    <col min="10270" max="10472" width="9.140625" style="367"/>
    <col min="10473" max="10473" width="1.7109375" style="367" customWidth="1"/>
    <col min="10474" max="10474" width="3.5703125" style="367" customWidth="1"/>
    <col min="10475" max="10475" width="11" style="367" customWidth="1"/>
    <col min="10476" max="10476" width="20.7109375" style="367" customWidth="1"/>
    <col min="10477" max="10478" width="11.7109375" style="367" customWidth="1"/>
    <col min="10479" max="10479" width="9.7109375" style="367" customWidth="1"/>
    <col min="10480" max="10480" width="10.140625" style="367" bestFit="1" customWidth="1"/>
    <col min="10481" max="10482" width="7.7109375" style="367" customWidth="1"/>
    <col min="10483" max="10483" width="4" style="367" customWidth="1"/>
    <col min="10484" max="10484" width="9.7109375" style="367" customWidth="1"/>
    <col min="10485" max="10485" width="15.140625" style="367" customWidth="1"/>
    <col min="10486" max="10486" width="5.140625" style="367" customWidth="1"/>
    <col min="10487" max="10487" width="9.7109375" style="367" customWidth="1"/>
    <col min="10488" max="10488" width="13.7109375" style="367" customWidth="1"/>
    <col min="10489" max="10489" width="5.140625" style="367" customWidth="1"/>
    <col min="10490" max="10490" width="9.7109375" style="367" customWidth="1"/>
    <col min="10491" max="10491" width="12.5703125" style="367" customWidth="1"/>
    <col min="10492" max="10492" width="5.140625" style="367" customWidth="1"/>
    <col min="10493" max="10493" width="9.7109375" style="367" customWidth="1"/>
    <col min="10494" max="10494" width="12.7109375" style="367" customWidth="1"/>
    <col min="10495" max="10495" width="5.140625" style="367" customWidth="1"/>
    <col min="10496" max="10496" width="9.7109375" style="367" customWidth="1"/>
    <col min="10497" max="10497" width="12.7109375" style="367" customWidth="1"/>
    <col min="10498" max="10498" width="5.140625" style="367" customWidth="1"/>
    <col min="10499" max="10499" width="9.7109375" style="367" customWidth="1"/>
    <col min="10500" max="10500" width="12.7109375" style="367" customWidth="1"/>
    <col min="10501" max="10501" width="5.140625" style="367" customWidth="1"/>
    <col min="10502" max="10502" width="9.7109375" style="367" customWidth="1"/>
    <col min="10503" max="10503" width="12.7109375" style="367" customWidth="1"/>
    <col min="10504" max="10504" width="5.140625" style="367" customWidth="1"/>
    <col min="10505" max="10505" width="9.7109375" style="367" customWidth="1"/>
    <col min="10506" max="10506" width="12.7109375" style="367" customWidth="1"/>
    <col min="10507" max="10507" width="5.140625" style="367" customWidth="1"/>
    <col min="10508" max="10508" width="9.7109375" style="367" customWidth="1"/>
    <col min="10509" max="10509" width="12.7109375" style="367" customWidth="1"/>
    <col min="10510" max="10510" width="5.140625" style="367" customWidth="1"/>
    <col min="10511" max="10511" width="9.7109375" style="367" customWidth="1"/>
    <col min="10512" max="10512" width="12.7109375" style="367" customWidth="1"/>
    <col min="10513" max="10513" width="5.140625" style="367" customWidth="1"/>
    <col min="10514" max="10514" width="9.7109375" style="367" customWidth="1"/>
    <col min="10515" max="10515" width="12.7109375" style="367" customWidth="1"/>
    <col min="10516" max="10516" width="5.140625" style="367" customWidth="1"/>
    <col min="10517" max="10517" width="9.7109375" style="367" customWidth="1"/>
    <col min="10518" max="10518" width="12.7109375" style="367" customWidth="1"/>
    <col min="10519" max="10519" width="5.140625" style="367" customWidth="1"/>
    <col min="10520" max="10520" width="9.7109375" style="367" customWidth="1"/>
    <col min="10521" max="10521" width="12.7109375" style="367" customWidth="1"/>
    <col min="10522" max="10522" width="5.140625" style="367" customWidth="1"/>
    <col min="10523" max="10523" width="9.7109375" style="367" customWidth="1"/>
    <col min="10524" max="10524" width="12.7109375" style="367" customWidth="1"/>
    <col min="10525" max="10525" width="37.7109375" style="367" customWidth="1"/>
    <col min="10526" max="10728" width="9.140625" style="367"/>
    <col min="10729" max="10729" width="1.7109375" style="367" customWidth="1"/>
    <col min="10730" max="10730" width="3.5703125" style="367" customWidth="1"/>
    <col min="10731" max="10731" width="11" style="367" customWidth="1"/>
    <col min="10732" max="10732" width="20.7109375" style="367" customWidth="1"/>
    <col min="10733" max="10734" width="11.7109375" style="367" customWidth="1"/>
    <col min="10735" max="10735" width="9.7109375" style="367" customWidth="1"/>
    <col min="10736" max="10736" width="10.140625" style="367" bestFit="1" customWidth="1"/>
    <col min="10737" max="10738" width="7.7109375" style="367" customWidth="1"/>
    <col min="10739" max="10739" width="4" style="367" customWidth="1"/>
    <col min="10740" max="10740" width="9.7109375" style="367" customWidth="1"/>
    <col min="10741" max="10741" width="15.140625" style="367" customWidth="1"/>
    <col min="10742" max="10742" width="5.140625" style="367" customWidth="1"/>
    <col min="10743" max="10743" width="9.7109375" style="367" customWidth="1"/>
    <col min="10744" max="10744" width="13.7109375" style="367" customWidth="1"/>
    <col min="10745" max="10745" width="5.140625" style="367" customWidth="1"/>
    <col min="10746" max="10746" width="9.7109375" style="367" customWidth="1"/>
    <col min="10747" max="10747" width="12.5703125" style="367" customWidth="1"/>
    <col min="10748" max="10748" width="5.140625" style="367" customWidth="1"/>
    <col min="10749" max="10749" width="9.7109375" style="367" customWidth="1"/>
    <col min="10750" max="10750" width="12.7109375" style="367" customWidth="1"/>
    <col min="10751" max="10751" width="5.140625" style="367" customWidth="1"/>
    <col min="10752" max="10752" width="9.7109375" style="367" customWidth="1"/>
    <col min="10753" max="10753" width="12.7109375" style="367" customWidth="1"/>
    <col min="10754" max="10754" width="5.140625" style="367" customWidth="1"/>
    <col min="10755" max="10755" width="9.7109375" style="367" customWidth="1"/>
    <col min="10756" max="10756" width="12.7109375" style="367" customWidth="1"/>
    <col min="10757" max="10757" width="5.140625" style="367" customWidth="1"/>
    <col min="10758" max="10758" width="9.7109375" style="367" customWidth="1"/>
    <col min="10759" max="10759" width="12.7109375" style="367" customWidth="1"/>
    <col min="10760" max="10760" width="5.140625" style="367" customWidth="1"/>
    <col min="10761" max="10761" width="9.7109375" style="367" customWidth="1"/>
    <col min="10762" max="10762" width="12.7109375" style="367" customWidth="1"/>
    <col min="10763" max="10763" width="5.140625" style="367" customWidth="1"/>
    <col min="10764" max="10764" width="9.7109375" style="367" customWidth="1"/>
    <col min="10765" max="10765" width="12.7109375" style="367" customWidth="1"/>
    <col min="10766" max="10766" width="5.140625" style="367" customWidth="1"/>
    <col min="10767" max="10767" width="9.7109375" style="367" customWidth="1"/>
    <col min="10768" max="10768" width="12.7109375" style="367" customWidth="1"/>
    <col min="10769" max="10769" width="5.140625" style="367" customWidth="1"/>
    <col min="10770" max="10770" width="9.7109375" style="367" customWidth="1"/>
    <col min="10771" max="10771" width="12.7109375" style="367" customWidth="1"/>
    <col min="10772" max="10772" width="5.140625" style="367" customWidth="1"/>
    <col min="10773" max="10773" width="9.7109375" style="367" customWidth="1"/>
    <col min="10774" max="10774" width="12.7109375" style="367" customWidth="1"/>
    <col min="10775" max="10775" width="5.140625" style="367" customWidth="1"/>
    <col min="10776" max="10776" width="9.7109375" style="367" customWidth="1"/>
    <col min="10777" max="10777" width="12.7109375" style="367" customWidth="1"/>
    <col min="10778" max="10778" width="5.140625" style="367" customWidth="1"/>
    <col min="10779" max="10779" width="9.7109375" style="367" customWidth="1"/>
    <col min="10780" max="10780" width="12.7109375" style="367" customWidth="1"/>
    <col min="10781" max="10781" width="37.7109375" style="367" customWidth="1"/>
    <col min="10782" max="10984" width="9.140625" style="367"/>
    <col min="10985" max="10985" width="1.7109375" style="367" customWidth="1"/>
    <col min="10986" max="10986" width="3.5703125" style="367" customWidth="1"/>
    <col min="10987" max="10987" width="11" style="367" customWidth="1"/>
    <col min="10988" max="10988" width="20.7109375" style="367" customWidth="1"/>
    <col min="10989" max="10990" width="11.7109375" style="367" customWidth="1"/>
    <col min="10991" max="10991" width="9.7109375" style="367" customWidth="1"/>
    <col min="10992" max="10992" width="10.140625" style="367" bestFit="1" customWidth="1"/>
    <col min="10993" max="10994" width="7.7109375" style="367" customWidth="1"/>
    <col min="10995" max="10995" width="4" style="367" customWidth="1"/>
    <col min="10996" max="10996" width="9.7109375" style="367" customWidth="1"/>
    <col min="10997" max="10997" width="15.140625" style="367" customWidth="1"/>
    <col min="10998" max="10998" width="5.140625" style="367" customWidth="1"/>
    <col min="10999" max="10999" width="9.7109375" style="367" customWidth="1"/>
    <col min="11000" max="11000" width="13.7109375" style="367" customWidth="1"/>
    <col min="11001" max="11001" width="5.140625" style="367" customWidth="1"/>
    <col min="11002" max="11002" width="9.7109375" style="367" customWidth="1"/>
    <col min="11003" max="11003" width="12.5703125" style="367" customWidth="1"/>
    <col min="11004" max="11004" width="5.140625" style="367" customWidth="1"/>
    <col min="11005" max="11005" width="9.7109375" style="367" customWidth="1"/>
    <col min="11006" max="11006" width="12.7109375" style="367" customWidth="1"/>
    <col min="11007" max="11007" width="5.140625" style="367" customWidth="1"/>
    <col min="11008" max="11008" width="9.7109375" style="367" customWidth="1"/>
    <col min="11009" max="11009" width="12.7109375" style="367" customWidth="1"/>
    <col min="11010" max="11010" width="5.140625" style="367" customWidth="1"/>
    <col min="11011" max="11011" width="9.7109375" style="367" customWidth="1"/>
    <col min="11012" max="11012" width="12.7109375" style="367" customWidth="1"/>
    <col min="11013" max="11013" width="5.140625" style="367" customWidth="1"/>
    <col min="11014" max="11014" width="9.7109375" style="367" customWidth="1"/>
    <col min="11015" max="11015" width="12.7109375" style="367" customWidth="1"/>
    <col min="11016" max="11016" width="5.140625" style="367" customWidth="1"/>
    <col min="11017" max="11017" width="9.7109375" style="367" customWidth="1"/>
    <col min="11018" max="11018" width="12.7109375" style="367" customWidth="1"/>
    <col min="11019" max="11019" width="5.140625" style="367" customWidth="1"/>
    <col min="11020" max="11020" width="9.7109375" style="367" customWidth="1"/>
    <col min="11021" max="11021" width="12.7109375" style="367" customWidth="1"/>
    <col min="11022" max="11022" width="5.140625" style="367" customWidth="1"/>
    <col min="11023" max="11023" width="9.7109375" style="367" customWidth="1"/>
    <col min="11024" max="11024" width="12.7109375" style="367" customWidth="1"/>
    <col min="11025" max="11025" width="5.140625" style="367" customWidth="1"/>
    <col min="11026" max="11026" width="9.7109375" style="367" customWidth="1"/>
    <col min="11027" max="11027" width="12.7109375" style="367" customWidth="1"/>
    <col min="11028" max="11028" width="5.140625" style="367" customWidth="1"/>
    <col min="11029" max="11029" width="9.7109375" style="367" customWidth="1"/>
    <col min="11030" max="11030" width="12.7109375" style="367" customWidth="1"/>
    <col min="11031" max="11031" width="5.140625" style="367" customWidth="1"/>
    <col min="11032" max="11032" width="9.7109375" style="367" customWidth="1"/>
    <col min="11033" max="11033" width="12.7109375" style="367" customWidth="1"/>
    <col min="11034" max="11034" width="5.140625" style="367" customWidth="1"/>
    <col min="11035" max="11035" width="9.7109375" style="367" customWidth="1"/>
    <col min="11036" max="11036" width="12.7109375" style="367" customWidth="1"/>
    <col min="11037" max="11037" width="37.7109375" style="367" customWidth="1"/>
    <col min="11038" max="11240" width="9.140625" style="367"/>
    <col min="11241" max="11241" width="1.7109375" style="367" customWidth="1"/>
    <col min="11242" max="11242" width="3.5703125" style="367" customWidth="1"/>
    <col min="11243" max="11243" width="11" style="367" customWidth="1"/>
    <col min="11244" max="11244" width="20.7109375" style="367" customWidth="1"/>
    <col min="11245" max="11246" width="11.7109375" style="367" customWidth="1"/>
    <col min="11247" max="11247" width="9.7109375" style="367" customWidth="1"/>
    <col min="11248" max="11248" width="10.140625" style="367" bestFit="1" customWidth="1"/>
    <col min="11249" max="11250" width="7.7109375" style="367" customWidth="1"/>
    <col min="11251" max="11251" width="4" style="367" customWidth="1"/>
    <col min="11252" max="11252" width="9.7109375" style="367" customWidth="1"/>
    <col min="11253" max="11253" width="15.140625" style="367" customWidth="1"/>
    <col min="11254" max="11254" width="5.140625" style="367" customWidth="1"/>
    <col min="11255" max="11255" width="9.7109375" style="367" customWidth="1"/>
    <col min="11256" max="11256" width="13.7109375" style="367" customWidth="1"/>
    <col min="11257" max="11257" width="5.140625" style="367" customWidth="1"/>
    <col min="11258" max="11258" width="9.7109375" style="367" customWidth="1"/>
    <col min="11259" max="11259" width="12.5703125" style="367" customWidth="1"/>
    <col min="11260" max="11260" width="5.140625" style="367" customWidth="1"/>
    <col min="11261" max="11261" width="9.7109375" style="367" customWidth="1"/>
    <col min="11262" max="11262" width="12.7109375" style="367" customWidth="1"/>
    <col min="11263" max="11263" width="5.140625" style="367" customWidth="1"/>
    <col min="11264" max="11264" width="9.7109375" style="367" customWidth="1"/>
    <col min="11265" max="11265" width="12.7109375" style="367" customWidth="1"/>
    <col min="11266" max="11266" width="5.140625" style="367" customWidth="1"/>
    <col min="11267" max="11267" width="9.7109375" style="367" customWidth="1"/>
    <col min="11268" max="11268" width="12.7109375" style="367" customWidth="1"/>
    <col min="11269" max="11269" width="5.140625" style="367" customWidth="1"/>
    <col min="11270" max="11270" width="9.7109375" style="367" customWidth="1"/>
    <col min="11271" max="11271" width="12.7109375" style="367" customWidth="1"/>
    <col min="11272" max="11272" width="5.140625" style="367" customWidth="1"/>
    <col min="11273" max="11273" width="9.7109375" style="367" customWidth="1"/>
    <col min="11274" max="11274" width="12.7109375" style="367" customWidth="1"/>
    <col min="11275" max="11275" width="5.140625" style="367" customWidth="1"/>
    <col min="11276" max="11276" width="9.7109375" style="367" customWidth="1"/>
    <col min="11277" max="11277" width="12.7109375" style="367" customWidth="1"/>
    <col min="11278" max="11278" width="5.140625" style="367" customWidth="1"/>
    <col min="11279" max="11279" width="9.7109375" style="367" customWidth="1"/>
    <col min="11280" max="11280" width="12.7109375" style="367" customWidth="1"/>
    <col min="11281" max="11281" width="5.140625" style="367" customWidth="1"/>
    <col min="11282" max="11282" width="9.7109375" style="367" customWidth="1"/>
    <col min="11283" max="11283" width="12.7109375" style="367" customWidth="1"/>
    <col min="11284" max="11284" width="5.140625" style="367" customWidth="1"/>
    <col min="11285" max="11285" width="9.7109375" style="367" customWidth="1"/>
    <col min="11286" max="11286" width="12.7109375" style="367" customWidth="1"/>
    <col min="11287" max="11287" width="5.140625" style="367" customWidth="1"/>
    <col min="11288" max="11288" width="9.7109375" style="367" customWidth="1"/>
    <col min="11289" max="11289" width="12.7109375" style="367" customWidth="1"/>
    <col min="11290" max="11290" width="5.140625" style="367" customWidth="1"/>
    <col min="11291" max="11291" width="9.7109375" style="367" customWidth="1"/>
    <col min="11292" max="11292" width="12.7109375" style="367" customWidth="1"/>
    <col min="11293" max="11293" width="37.7109375" style="367" customWidth="1"/>
    <col min="11294" max="11496" width="9.140625" style="367"/>
    <col min="11497" max="11497" width="1.7109375" style="367" customWidth="1"/>
    <col min="11498" max="11498" width="3.5703125" style="367" customWidth="1"/>
    <col min="11499" max="11499" width="11" style="367" customWidth="1"/>
    <col min="11500" max="11500" width="20.7109375" style="367" customWidth="1"/>
    <col min="11501" max="11502" width="11.7109375" style="367" customWidth="1"/>
    <col min="11503" max="11503" width="9.7109375" style="367" customWidth="1"/>
    <col min="11504" max="11504" width="10.140625" style="367" bestFit="1" customWidth="1"/>
    <col min="11505" max="11506" width="7.7109375" style="367" customWidth="1"/>
    <col min="11507" max="11507" width="4" style="367" customWidth="1"/>
    <col min="11508" max="11508" width="9.7109375" style="367" customWidth="1"/>
    <col min="11509" max="11509" width="15.140625" style="367" customWidth="1"/>
    <col min="11510" max="11510" width="5.140625" style="367" customWidth="1"/>
    <col min="11511" max="11511" width="9.7109375" style="367" customWidth="1"/>
    <col min="11512" max="11512" width="13.7109375" style="367" customWidth="1"/>
    <col min="11513" max="11513" width="5.140625" style="367" customWidth="1"/>
    <col min="11514" max="11514" width="9.7109375" style="367" customWidth="1"/>
    <col min="11515" max="11515" width="12.5703125" style="367" customWidth="1"/>
    <col min="11516" max="11516" width="5.140625" style="367" customWidth="1"/>
    <col min="11517" max="11517" width="9.7109375" style="367" customWidth="1"/>
    <col min="11518" max="11518" width="12.7109375" style="367" customWidth="1"/>
    <col min="11519" max="11519" width="5.140625" style="367" customWidth="1"/>
    <col min="11520" max="11520" width="9.7109375" style="367" customWidth="1"/>
    <col min="11521" max="11521" width="12.7109375" style="367" customWidth="1"/>
    <col min="11522" max="11522" width="5.140625" style="367" customWidth="1"/>
    <col min="11523" max="11523" width="9.7109375" style="367" customWidth="1"/>
    <col min="11524" max="11524" width="12.7109375" style="367" customWidth="1"/>
    <col min="11525" max="11525" width="5.140625" style="367" customWidth="1"/>
    <col min="11526" max="11526" width="9.7109375" style="367" customWidth="1"/>
    <col min="11527" max="11527" width="12.7109375" style="367" customWidth="1"/>
    <col min="11528" max="11528" width="5.140625" style="367" customWidth="1"/>
    <col min="11529" max="11529" width="9.7109375" style="367" customWidth="1"/>
    <col min="11530" max="11530" width="12.7109375" style="367" customWidth="1"/>
    <col min="11531" max="11531" width="5.140625" style="367" customWidth="1"/>
    <col min="11532" max="11532" width="9.7109375" style="367" customWidth="1"/>
    <col min="11533" max="11533" width="12.7109375" style="367" customWidth="1"/>
    <col min="11534" max="11534" width="5.140625" style="367" customWidth="1"/>
    <col min="11535" max="11535" width="9.7109375" style="367" customWidth="1"/>
    <col min="11536" max="11536" width="12.7109375" style="367" customWidth="1"/>
    <col min="11537" max="11537" width="5.140625" style="367" customWidth="1"/>
    <col min="11538" max="11538" width="9.7109375" style="367" customWidth="1"/>
    <col min="11539" max="11539" width="12.7109375" style="367" customWidth="1"/>
    <col min="11540" max="11540" width="5.140625" style="367" customWidth="1"/>
    <col min="11541" max="11541" width="9.7109375" style="367" customWidth="1"/>
    <col min="11542" max="11542" width="12.7109375" style="367" customWidth="1"/>
    <col min="11543" max="11543" width="5.140625" style="367" customWidth="1"/>
    <col min="11544" max="11544" width="9.7109375" style="367" customWidth="1"/>
    <col min="11545" max="11545" width="12.7109375" style="367" customWidth="1"/>
    <col min="11546" max="11546" width="5.140625" style="367" customWidth="1"/>
    <col min="11547" max="11547" width="9.7109375" style="367" customWidth="1"/>
    <col min="11548" max="11548" width="12.7109375" style="367" customWidth="1"/>
    <col min="11549" max="11549" width="37.7109375" style="367" customWidth="1"/>
    <col min="11550" max="11752" width="9.140625" style="367"/>
    <col min="11753" max="11753" width="1.7109375" style="367" customWidth="1"/>
    <col min="11754" max="11754" width="3.5703125" style="367" customWidth="1"/>
    <col min="11755" max="11755" width="11" style="367" customWidth="1"/>
    <col min="11756" max="11756" width="20.7109375" style="367" customWidth="1"/>
    <col min="11757" max="11758" width="11.7109375" style="367" customWidth="1"/>
    <col min="11759" max="11759" width="9.7109375" style="367" customWidth="1"/>
    <col min="11760" max="11760" width="10.140625" style="367" bestFit="1" customWidth="1"/>
    <col min="11761" max="11762" width="7.7109375" style="367" customWidth="1"/>
    <col min="11763" max="11763" width="4" style="367" customWidth="1"/>
    <col min="11764" max="11764" width="9.7109375" style="367" customWidth="1"/>
    <col min="11765" max="11765" width="15.140625" style="367" customWidth="1"/>
    <col min="11766" max="11766" width="5.140625" style="367" customWidth="1"/>
    <col min="11767" max="11767" width="9.7109375" style="367" customWidth="1"/>
    <col min="11768" max="11768" width="13.7109375" style="367" customWidth="1"/>
    <col min="11769" max="11769" width="5.140625" style="367" customWidth="1"/>
    <col min="11770" max="11770" width="9.7109375" style="367" customWidth="1"/>
    <col min="11771" max="11771" width="12.5703125" style="367" customWidth="1"/>
    <col min="11772" max="11772" width="5.140625" style="367" customWidth="1"/>
    <col min="11773" max="11773" width="9.7109375" style="367" customWidth="1"/>
    <col min="11774" max="11774" width="12.7109375" style="367" customWidth="1"/>
    <col min="11775" max="11775" width="5.140625" style="367" customWidth="1"/>
    <col min="11776" max="11776" width="9.7109375" style="367" customWidth="1"/>
    <col min="11777" max="11777" width="12.7109375" style="367" customWidth="1"/>
    <col min="11778" max="11778" width="5.140625" style="367" customWidth="1"/>
    <col min="11779" max="11779" width="9.7109375" style="367" customWidth="1"/>
    <col min="11780" max="11780" width="12.7109375" style="367" customWidth="1"/>
    <col min="11781" max="11781" width="5.140625" style="367" customWidth="1"/>
    <col min="11782" max="11782" width="9.7109375" style="367" customWidth="1"/>
    <col min="11783" max="11783" width="12.7109375" style="367" customWidth="1"/>
    <col min="11784" max="11784" width="5.140625" style="367" customWidth="1"/>
    <col min="11785" max="11785" width="9.7109375" style="367" customWidth="1"/>
    <col min="11786" max="11786" width="12.7109375" style="367" customWidth="1"/>
    <col min="11787" max="11787" width="5.140625" style="367" customWidth="1"/>
    <col min="11788" max="11788" width="9.7109375" style="367" customWidth="1"/>
    <col min="11789" max="11789" width="12.7109375" style="367" customWidth="1"/>
    <col min="11790" max="11790" width="5.140625" style="367" customWidth="1"/>
    <col min="11791" max="11791" width="9.7109375" style="367" customWidth="1"/>
    <col min="11792" max="11792" width="12.7109375" style="367" customWidth="1"/>
    <col min="11793" max="11793" width="5.140625" style="367" customWidth="1"/>
    <col min="11794" max="11794" width="9.7109375" style="367" customWidth="1"/>
    <col min="11795" max="11795" width="12.7109375" style="367" customWidth="1"/>
    <col min="11796" max="11796" width="5.140625" style="367" customWidth="1"/>
    <col min="11797" max="11797" width="9.7109375" style="367" customWidth="1"/>
    <col min="11798" max="11798" width="12.7109375" style="367" customWidth="1"/>
    <col min="11799" max="11799" width="5.140625" style="367" customWidth="1"/>
    <col min="11800" max="11800" width="9.7109375" style="367" customWidth="1"/>
    <col min="11801" max="11801" width="12.7109375" style="367" customWidth="1"/>
    <col min="11802" max="11802" width="5.140625" style="367" customWidth="1"/>
    <col min="11803" max="11803" width="9.7109375" style="367" customWidth="1"/>
    <col min="11804" max="11804" width="12.7109375" style="367" customWidth="1"/>
    <col min="11805" max="11805" width="37.7109375" style="367" customWidth="1"/>
    <col min="11806" max="12008" width="9.140625" style="367"/>
    <col min="12009" max="12009" width="1.7109375" style="367" customWidth="1"/>
    <col min="12010" max="12010" width="3.5703125" style="367" customWidth="1"/>
    <col min="12011" max="12011" width="11" style="367" customWidth="1"/>
    <col min="12012" max="12012" width="20.7109375" style="367" customWidth="1"/>
    <col min="12013" max="12014" width="11.7109375" style="367" customWidth="1"/>
    <col min="12015" max="12015" width="9.7109375" style="367" customWidth="1"/>
    <col min="12016" max="12016" width="10.140625" style="367" bestFit="1" customWidth="1"/>
    <col min="12017" max="12018" width="7.7109375" style="367" customWidth="1"/>
    <col min="12019" max="12019" width="4" style="367" customWidth="1"/>
    <col min="12020" max="12020" width="9.7109375" style="367" customWidth="1"/>
    <col min="12021" max="12021" width="15.140625" style="367" customWidth="1"/>
    <col min="12022" max="12022" width="5.140625" style="367" customWidth="1"/>
    <col min="12023" max="12023" width="9.7109375" style="367" customWidth="1"/>
    <col min="12024" max="12024" width="13.7109375" style="367" customWidth="1"/>
    <col min="12025" max="12025" width="5.140625" style="367" customWidth="1"/>
    <col min="12026" max="12026" width="9.7109375" style="367" customWidth="1"/>
    <col min="12027" max="12027" width="12.5703125" style="367" customWidth="1"/>
    <col min="12028" max="12028" width="5.140625" style="367" customWidth="1"/>
    <col min="12029" max="12029" width="9.7109375" style="367" customWidth="1"/>
    <col min="12030" max="12030" width="12.7109375" style="367" customWidth="1"/>
    <col min="12031" max="12031" width="5.140625" style="367" customWidth="1"/>
    <col min="12032" max="12032" width="9.7109375" style="367" customWidth="1"/>
    <col min="12033" max="12033" width="12.7109375" style="367" customWidth="1"/>
    <col min="12034" max="12034" width="5.140625" style="367" customWidth="1"/>
    <col min="12035" max="12035" width="9.7109375" style="367" customWidth="1"/>
    <col min="12036" max="12036" width="12.7109375" style="367" customWidth="1"/>
    <col min="12037" max="12037" width="5.140625" style="367" customWidth="1"/>
    <col min="12038" max="12038" width="9.7109375" style="367" customWidth="1"/>
    <col min="12039" max="12039" width="12.7109375" style="367" customWidth="1"/>
    <col min="12040" max="12040" width="5.140625" style="367" customWidth="1"/>
    <col min="12041" max="12041" width="9.7109375" style="367" customWidth="1"/>
    <col min="12042" max="12042" width="12.7109375" style="367" customWidth="1"/>
    <col min="12043" max="12043" width="5.140625" style="367" customWidth="1"/>
    <col min="12044" max="12044" width="9.7109375" style="367" customWidth="1"/>
    <col min="12045" max="12045" width="12.7109375" style="367" customWidth="1"/>
    <col min="12046" max="12046" width="5.140625" style="367" customWidth="1"/>
    <col min="12047" max="12047" width="9.7109375" style="367" customWidth="1"/>
    <col min="12048" max="12048" width="12.7109375" style="367" customWidth="1"/>
    <col min="12049" max="12049" width="5.140625" style="367" customWidth="1"/>
    <col min="12050" max="12050" width="9.7109375" style="367" customWidth="1"/>
    <col min="12051" max="12051" width="12.7109375" style="367" customWidth="1"/>
    <col min="12052" max="12052" width="5.140625" style="367" customWidth="1"/>
    <col min="12053" max="12053" width="9.7109375" style="367" customWidth="1"/>
    <col min="12054" max="12054" width="12.7109375" style="367" customWidth="1"/>
    <col min="12055" max="12055" width="5.140625" style="367" customWidth="1"/>
    <col min="12056" max="12056" width="9.7109375" style="367" customWidth="1"/>
    <col min="12057" max="12057" width="12.7109375" style="367" customWidth="1"/>
    <col min="12058" max="12058" width="5.140625" style="367" customWidth="1"/>
    <col min="12059" max="12059" width="9.7109375" style="367" customWidth="1"/>
    <col min="12060" max="12060" width="12.7109375" style="367" customWidth="1"/>
    <col min="12061" max="12061" width="37.7109375" style="367" customWidth="1"/>
    <col min="12062" max="12264" width="9.140625" style="367"/>
    <col min="12265" max="12265" width="1.7109375" style="367" customWidth="1"/>
    <col min="12266" max="12266" width="3.5703125" style="367" customWidth="1"/>
    <col min="12267" max="12267" width="11" style="367" customWidth="1"/>
    <col min="12268" max="12268" width="20.7109375" style="367" customWidth="1"/>
    <col min="12269" max="12270" width="11.7109375" style="367" customWidth="1"/>
    <col min="12271" max="12271" width="9.7109375" style="367" customWidth="1"/>
    <col min="12272" max="12272" width="10.140625" style="367" bestFit="1" customWidth="1"/>
    <col min="12273" max="12274" width="7.7109375" style="367" customWidth="1"/>
    <col min="12275" max="12275" width="4" style="367" customWidth="1"/>
    <col min="12276" max="12276" width="9.7109375" style="367" customWidth="1"/>
    <col min="12277" max="12277" width="15.140625" style="367" customWidth="1"/>
    <col min="12278" max="12278" width="5.140625" style="367" customWidth="1"/>
    <col min="12279" max="12279" width="9.7109375" style="367" customWidth="1"/>
    <col min="12280" max="12280" width="13.7109375" style="367" customWidth="1"/>
    <col min="12281" max="12281" width="5.140625" style="367" customWidth="1"/>
    <col min="12282" max="12282" width="9.7109375" style="367" customWidth="1"/>
    <col min="12283" max="12283" width="12.5703125" style="367" customWidth="1"/>
    <col min="12284" max="12284" width="5.140625" style="367" customWidth="1"/>
    <col min="12285" max="12285" width="9.7109375" style="367" customWidth="1"/>
    <col min="12286" max="12286" width="12.7109375" style="367" customWidth="1"/>
    <col min="12287" max="12287" width="5.140625" style="367" customWidth="1"/>
    <col min="12288" max="12288" width="9.7109375" style="367" customWidth="1"/>
    <col min="12289" max="12289" width="12.7109375" style="367" customWidth="1"/>
    <col min="12290" max="12290" width="5.140625" style="367" customWidth="1"/>
    <col min="12291" max="12291" width="9.7109375" style="367" customWidth="1"/>
    <col min="12292" max="12292" width="12.7109375" style="367" customWidth="1"/>
    <col min="12293" max="12293" width="5.140625" style="367" customWidth="1"/>
    <col min="12294" max="12294" width="9.7109375" style="367" customWidth="1"/>
    <col min="12295" max="12295" width="12.7109375" style="367" customWidth="1"/>
    <col min="12296" max="12296" width="5.140625" style="367" customWidth="1"/>
    <col min="12297" max="12297" width="9.7109375" style="367" customWidth="1"/>
    <col min="12298" max="12298" width="12.7109375" style="367" customWidth="1"/>
    <col min="12299" max="12299" width="5.140625" style="367" customWidth="1"/>
    <col min="12300" max="12300" width="9.7109375" style="367" customWidth="1"/>
    <col min="12301" max="12301" width="12.7109375" style="367" customWidth="1"/>
    <col min="12302" max="12302" width="5.140625" style="367" customWidth="1"/>
    <col min="12303" max="12303" width="9.7109375" style="367" customWidth="1"/>
    <col min="12304" max="12304" width="12.7109375" style="367" customWidth="1"/>
    <col min="12305" max="12305" width="5.140625" style="367" customWidth="1"/>
    <col min="12306" max="12306" width="9.7109375" style="367" customWidth="1"/>
    <col min="12307" max="12307" width="12.7109375" style="367" customWidth="1"/>
    <col min="12308" max="12308" width="5.140625" style="367" customWidth="1"/>
    <col min="12309" max="12309" width="9.7109375" style="367" customWidth="1"/>
    <col min="12310" max="12310" width="12.7109375" style="367" customWidth="1"/>
    <col min="12311" max="12311" width="5.140625" style="367" customWidth="1"/>
    <col min="12312" max="12312" width="9.7109375" style="367" customWidth="1"/>
    <col min="12313" max="12313" width="12.7109375" style="367" customWidth="1"/>
    <col min="12314" max="12314" width="5.140625" style="367" customWidth="1"/>
    <col min="12315" max="12315" width="9.7109375" style="367" customWidth="1"/>
    <col min="12316" max="12316" width="12.7109375" style="367" customWidth="1"/>
    <col min="12317" max="12317" width="37.7109375" style="367" customWidth="1"/>
    <col min="12318" max="12520" width="9.140625" style="367"/>
    <col min="12521" max="12521" width="1.7109375" style="367" customWidth="1"/>
    <col min="12522" max="12522" width="3.5703125" style="367" customWidth="1"/>
    <col min="12523" max="12523" width="11" style="367" customWidth="1"/>
    <col min="12524" max="12524" width="20.7109375" style="367" customWidth="1"/>
    <col min="12525" max="12526" width="11.7109375" style="367" customWidth="1"/>
    <col min="12527" max="12527" width="9.7109375" style="367" customWidth="1"/>
    <col min="12528" max="12528" width="10.140625" style="367" bestFit="1" customWidth="1"/>
    <col min="12529" max="12530" width="7.7109375" style="367" customWidth="1"/>
    <col min="12531" max="12531" width="4" style="367" customWidth="1"/>
    <col min="12532" max="12532" width="9.7109375" style="367" customWidth="1"/>
    <col min="12533" max="12533" width="15.140625" style="367" customWidth="1"/>
    <col min="12534" max="12534" width="5.140625" style="367" customWidth="1"/>
    <col min="12535" max="12535" width="9.7109375" style="367" customWidth="1"/>
    <col min="12536" max="12536" width="13.7109375" style="367" customWidth="1"/>
    <col min="12537" max="12537" width="5.140625" style="367" customWidth="1"/>
    <col min="12538" max="12538" width="9.7109375" style="367" customWidth="1"/>
    <col min="12539" max="12539" width="12.5703125" style="367" customWidth="1"/>
    <col min="12540" max="12540" width="5.140625" style="367" customWidth="1"/>
    <col min="12541" max="12541" width="9.7109375" style="367" customWidth="1"/>
    <col min="12542" max="12542" width="12.7109375" style="367" customWidth="1"/>
    <col min="12543" max="12543" width="5.140625" style="367" customWidth="1"/>
    <col min="12544" max="12544" width="9.7109375" style="367" customWidth="1"/>
    <col min="12545" max="12545" width="12.7109375" style="367" customWidth="1"/>
    <col min="12546" max="12546" width="5.140625" style="367" customWidth="1"/>
    <col min="12547" max="12547" width="9.7109375" style="367" customWidth="1"/>
    <col min="12548" max="12548" width="12.7109375" style="367" customWidth="1"/>
    <col min="12549" max="12549" width="5.140625" style="367" customWidth="1"/>
    <col min="12550" max="12550" width="9.7109375" style="367" customWidth="1"/>
    <col min="12551" max="12551" width="12.7109375" style="367" customWidth="1"/>
    <col min="12552" max="12552" width="5.140625" style="367" customWidth="1"/>
    <col min="12553" max="12553" width="9.7109375" style="367" customWidth="1"/>
    <col min="12554" max="12554" width="12.7109375" style="367" customWidth="1"/>
    <col min="12555" max="12555" width="5.140625" style="367" customWidth="1"/>
    <col min="12556" max="12556" width="9.7109375" style="367" customWidth="1"/>
    <col min="12557" max="12557" width="12.7109375" style="367" customWidth="1"/>
    <col min="12558" max="12558" width="5.140625" style="367" customWidth="1"/>
    <col min="12559" max="12559" width="9.7109375" style="367" customWidth="1"/>
    <col min="12560" max="12560" width="12.7109375" style="367" customWidth="1"/>
    <col min="12561" max="12561" width="5.140625" style="367" customWidth="1"/>
    <col min="12562" max="12562" width="9.7109375" style="367" customWidth="1"/>
    <col min="12563" max="12563" width="12.7109375" style="367" customWidth="1"/>
    <col min="12564" max="12564" width="5.140625" style="367" customWidth="1"/>
    <col min="12565" max="12565" width="9.7109375" style="367" customWidth="1"/>
    <col min="12566" max="12566" width="12.7109375" style="367" customWidth="1"/>
    <col min="12567" max="12567" width="5.140625" style="367" customWidth="1"/>
    <col min="12568" max="12568" width="9.7109375" style="367" customWidth="1"/>
    <col min="12569" max="12569" width="12.7109375" style="367" customWidth="1"/>
    <col min="12570" max="12570" width="5.140625" style="367" customWidth="1"/>
    <col min="12571" max="12571" width="9.7109375" style="367" customWidth="1"/>
    <col min="12572" max="12572" width="12.7109375" style="367" customWidth="1"/>
    <col min="12573" max="12573" width="37.7109375" style="367" customWidth="1"/>
    <col min="12574" max="12776" width="9.140625" style="367"/>
    <col min="12777" max="12777" width="1.7109375" style="367" customWidth="1"/>
    <col min="12778" max="12778" width="3.5703125" style="367" customWidth="1"/>
    <col min="12779" max="12779" width="11" style="367" customWidth="1"/>
    <col min="12780" max="12780" width="20.7109375" style="367" customWidth="1"/>
    <col min="12781" max="12782" width="11.7109375" style="367" customWidth="1"/>
    <col min="12783" max="12783" width="9.7109375" style="367" customWidth="1"/>
    <col min="12784" max="12784" width="10.140625" style="367" bestFit="1" customWidth="1"/>
    <col min="12785" max="12786" width="7.7109375" style="367" customWidth="1"/>
    <col min="12787" max="12787" width="4" style="367" customWidth="1"/>
    <col min="12788" max="12788" width="9.7109375" style="367" customWidth="1"/>
    <col min="12789" max="12789" width="15.140625" style="367" customWidth="1"/>
    <col min="12790" max="12790" width="5.140625" style="367" customWidth="1"/>
    <col min="12791" max="12791" width="9.7109375" style="367" customWidth="1"/>
    <col min="12792" max="12792" width="13.7109375" style="367" customWidth="1"/>
    <col min="12793" max="12793" width="5.140625" style="367" customWidth="1"/>
    <col min="12794" max="12794" width="9.7109375" style="367" customWidth="1"/>
    <col min="12795" max="12795" width="12.5703125" style="367" customWidth="1"/>
    <col min="12796" max="12796" width="5.140625" style="367" customWidth="1"/>
    <col min="12797" max="12797" width="9.7109375" style="367" customWidth="1"/>
    <col min="12798" max="12798" width="12.7109375" style="367" customWidth="1"/>
    <col min="12799" max="12799" width="5.140625" style="367" customWidth="1"/>
    <col min="12800" max="12800" width="9.7109375" style="367" customWidth="1"/>
    <col min="12801" max="12801" width="12.7109375" style="367" customWidth="1"/>
    <col min="12802" max="12802" width="5.140625" style="367" customWidth="1"/>
    <col min="12803" max="12803" width="9.7109375" style="367" customWidth="1"/>
    <col min="12804" max="12804" width="12.7109375" style="367" customWidth="1"/>
    <col min="12805" max="12805" width="5.140625" style="367" customWidth="1"/>
    <col min="12806" max="12806" width="9.7109375" style="367" customWidth="1"/>
    <col min="12807" max="12807" width="12.7109375" style="367" customWidth="1"/>
    <col min="12808" max="12808" width="5.140625" style="367" customWidth="1"/>
    <col min="12809" max="12809" width="9.7109375" style="367" customWidth="1"/>
    <col min="12810" max="12810" width="12.7109375" style="367" customWidth="1"/>
    <col min="12811" max="12811" width="5.140625" style="367" customWidth="1"/>
    <col min="12812" max="12812" width="9.7109375" style="367" customWidth="1"/>
    <col min="12813" max="12813" width="12.7109375" style="367" customWidth="1"/>
    <col min="12814" max="12814" width="5.140625" style="367" customWidth="1"/>
    <col min="12815" max="12815" width="9.7109375" style="367" customWidth="1"/>
    <col min="12816" max="12816" width="12.7109375" style="367" customWidth="1"/>
    <col min="12817" max="12817" width="5.140625" style="367" customWidth="1"/>
    <col min="12818" max="12818" width="9.7109375" style="367" customWidth="1"/>
    <col min="12819" max="12819" width="12.7109375" style="367" customWidth="1"/>
    <col min="12820" max="12820" width="5.140625" style="367" customWidth="1"/>
    <col min="12821" max="12821" width="9.7109375" style="367" customWidth="1"/>
    <col min="12822" max="12822" width="12.7109375" style="367" customWidth="1"/>
    <col min="12823" max="12823" width="5.140625" style="367" customWidth="1"/>
    <col min="12824" max="12824" width="9.7109375" style="367" customWidth="1"/>
    <col min="12825" max="12825" width="12.7109375" style="367" customWidth="1"/>
    <col min="12826" max="12826" width="5.140625" style="367" customWidth="1"/>
    <col min="12827" max="12827" width="9.7109375" style="367" customWidth="1"/>
    <col min="12828" max="12828" width="12.7109375" style="367" customWidth="1"/>
    <col min="12829" max="12829" width="37.7109375" style="367" customWidth="1"/>
    <col min="12830" max="13032" width="9.140625" style="367"/>
    <col min="13033" max="13033" width="1.7109375" style="367" customWidth="1"/>
    <col min="13034" max="13034" width="3.5703125" style="367" customWidth="1"/>
    <col min="13035" max="13035" width="11" style="367" customWidth="1"/>
    <col min="13036" max="13036" width="20.7109375" style="367" customWidth="1"/>
    <col min="13037" max="13038" width="11.7109375" style="367" customWidth="1"/>
    <col min="13039" max="13039" width="9.7109375" style="367" customWidth="1"/>
    <col min="13040" max="13040" width="10.140625" style="367" bestFit="1" customWidth="1"/>
    <col min="13041" max="13042" width="7.7109375" style="367" customWidth="1"/>
    <col min="13043" max="13043" width="4" style="367" customWidth="1"/>
    <col min="13044" max="13044" width="9.7109375" style="367" customWidth="1"/>
    <col min="13045" max="13045" width="15.140625" style="367" customWidth="1"/>
    <col min="13046" max="13046" width="5.140625" style="367" customWidth="1"/>
    <col min="13047" max="13047" width="9.7109375" style="367" customWidth="1"/>
    <col min="13048" max="13048" width="13.7109375" style="367" customWidth="1"/>
    <col min="13049" max="13049" width="5.140625" style="367" customWidth="1"/>
    <col min="13050" max="13050" width="9.7109375" style="367" customWidth="1"/>
    <col min="13051" max="13051" width="12.5703125" style="367" customWidth="1"/>
    <col min="13052" max="13052" width="5.140625" style="367" customWidth="1"/>
    <col min="13053" max="13053" width="9.7109375" style="367" customWidth="1"/>
    <col min="13054" max="13054" width="12.7109375" style="367" customWidth="1"/>
    <col min="13055" max="13055" width="5.140625" style="367" customWidth="1"/>
    <col min="13056" max="13056" width="9.7109375" style="367" customWidth="1"/>
    <col min="13057" max="13057" width="12.7109375" style="367" customWidth="1"/>
    <col min="13058" max="13058" width="5.140625" style="367" customWidth="1"/>
    <col min="13059" max="13059" width="9.7109375" style="367" customWidth="1"/>
    <col min="13060" max="13060" width="12.7109375" style="367" customWidth="1"/>
    <col min="13061" max="13061" width="5.140625" style="367" customWidth="1"/>
    <col min="13062" max="13062" width="9.7109375" style="367" customWidth="1"/>
    <col min="13063" max="13063" width="12.7109375" style="367" customWidth="1"/>
    <col min="13064" max="13064" width="5.140625" style="367" customWidth="1"/>
    <col min="13065" max="13065" width="9.7109375" style="367" customWidth="1"/>
    <col min="13066" max="13066" width="12.7109375" style="367" customWidth="1"/>
    <col min="13067" max="13067" width="5.140625" style="367" customWidth="1"/>
    <col min="13068" max="13068" width="9.7109375" style="367" customWidth="1"/>
    <col min="13069" max="13069" width="12.7109375" style="367" customWidth="1"/>
    <col min="13070" max="13070" width="5.140625" style="367" customWidth="1"/>
    <col min="13071" max="13071" width="9.7109375" style="367" customWidth="1"/>
    <col min="13072" max="13072" width="12.7109375" style="367" customWidth="1"/>
    <col min="13073" max="13073" width="5.140625" style="367" customWidth="1"/>
    <col min="13074" max="13074" width="9.7109375" style="367" customWidth="1"/>
    <col min="13075" max="13075" width="12.7109375" style="367" customWidth="1"/>
    <col min="13076" max="13076" width="5.140625" style="367" customWidth="1"/>
    <col min="13077" max="13077" width="9.7109375" style="367" customWidth="1"/>
    <col min="13078" max="13078" width="12.7109375" style="367" customWidth="1"/>
    <col min="13079" max="13079" width="5.140625" style="367" customWidth="1"/>
    <col min="13080" max="13080" width="9.7109375" style="367" customWidth="1"/>
    <col min="13081" max="13081" width="12.7109375" style="367" customWidth="1"/>
    <col min="13082" max="13082" width="5.140625" style="367" customWidth="1"/>
    <col min="13083" max="13083" width="9.7109375" style="367" customWidth="1"/>
    <col min="13084" max="13084" width="12.7109375" style="367" customWidth="1"/>
    <col min="13085" max="13085" width="37.7109375" style="367" customWidth="1"/>
    <col min="13086" max="13288" width="9.140625" style="367"/>
    <col min="13289" max="13289" width="1.7109375" style="367" customWidth="1"/>
    <col min="13290" max="13290" width="3.5703125" style="367" customWidth="1"/>
    <col min="13291" max="13291" width="11" style="367" customWidth="1"/>
    <col min="13292" max="13292" width="20.7109375" style="367" customWidth="1"/>
    <col min="13293" max="13294" width="11.7109375" style="367" customWidth="1"/>
    <col min="13295" max="13295" width="9.7109375" style="367" customWidth="1"/>
    <col min="13296" max="13296" width="10.140625" style="367" bestFit="1" customWidth="1"/>
    <col min="13297" max="13298" width="7.7109375" style="367" customWidth="1"/>
    <col min="13299" max="13299" width="4" style="367" customWidth="1"/>
    <col min="13300" max="13300" width="9.7109375" style="367" customWidth="1"/>
    <col min="13301" max="13301" width="15.140625" style="367" customWidth="1"/>
    <col min="13302" max="13302" width="5.140625" style="367" customWidth="1"/>
    <col min="13303" max="13303" width="9.7109375" style="367" customWidth="1"/>
    <col min="13304" max="13304" width="13.7109375" style="367" customWidth="1"/>
    <col min="13305" max="13305" width="5.140625" style="367" customWidth="1"/>
    <col min="13306" max="13306" width="9.7109375" style="367" customWidth="1"/>
    <col min="13307" max="13307" width="12.5703125" style="367" customWidth="1"/>
    <col min="13308" max="13308" width="5.140625" style="367" customWidth="1"/>
    <col min="13309" max="13309" width="9.7109375" style="367" customWidth="1"/>
    <col min="13310" max="13310" width="12.7109375" style="367" customWidth="1"/>
    <col min="13311" max="13311" width="5.140625" style="367" customWidth="1"/>
    <col min="13312" max="13312" width="9.7109375" style="367" customWidth="1"/>
    <col min="13313" max="13313" width="12.7109375" style="367" customWidth="1"/>
    <col min="13314" max="13314" width="5.140625" style="367" customWidth="1"/>
    <col min="13315" max="13315" width="9.7109375" style="367" customWidth="1"/>
    <col min="13316" max="13316" width="12.7109375" style="367" customWidth="1"/>
    <col min="13317" max="13317" width="5.140625" style="367" customWidth="1"/>
    <col min="13318" max="13318" width="9.7109375" style="367" customWidth="1"/>
    <col min="13319" max="13319" width="12.7109375" style="367" customWidth="1"/>
    <col min="13320" max="13320" width="5.140625" style="367" customWidth="1"/>
    <col min="13321" max="13321" width="9.7109375" style="367" customWidth="1"/>
    <col min="13322" max="13322" width="12.7109375" style="367" customWidth="1"/>
    <col min="13323" max="13323" width="5.140625" style="367" customWidth="1"/>
    <col min="13324" max="13324" width="9.7109375" style="367" customWidth="1"/>
    <col min="13325" max="13325" width="12.7109375" style="367" customWidth="1"/>
    <col min="13326" max="13326" width="5.140625" style="367" customWidth="1"/>
    <col min="13327" max="13327" width="9.7109375" style="367" customWidth="1"/>
    <col min="13328" max="13328" width="12.7109375" style="367" customWidth="1"/>
    <col min="13329" max="13329" width="5.140625" style="367" customWidth="1"/>
    <col min="13330" max="13330" width="9.7109375" style="367" customWidth="1"/>
    <col min="13331" max="13331" width="12.7109375" style="367" customWidth="1"/>
    <col min="13332" max="13332" width="5.140625" style="367" customWidth="1"/>
    <col min="13333" max="13333" width="9.7109375" style="367" customWidth="1"/>
    <col min="13334" max="13334" width="12.7109375" style="367" customWidth="1"/>
    <col min="13335" max="13335" width="5.140625" style="367" customWidth="1"/>
    <col min="13336" max="13336" width="9.7109375" style="367" customWidth="1"/>
    <col min="13337" max="13337" width="12.7109375" style="367" customWidth="1"/>
    <col min="13338" max="13338" width="5.140625" style="367" customWidth="1"/>
    <col min="13339" max="13339" width="9.7109375" style="367" customWidth="1"/>
    <col min="13340" max="13340" width="12.7109375" style="367" customWidth="1"/>
    <col min="13341" max="13341" width="37.7109375" style="367" customWidth="1"/>
    <col min="13342" max="13544" width="9.140625" style="367"/>
    <col min="13545" max="13545" width="1.7109375" style="367" customWidth="1"/>
    <col min="13546" max="13546" width="3.5703125" style="367" customWidth="1"/>
    <col min="13547" max="13547" width="11" style="367" customWidth="1"/>
    <col min="13548" max="13548" width="20.7109375" style="367" customWidth="1"/>
    <col min="13549" max="13550" width="11.7109375" style="367" customWidth="1"/>
    <col min="13551" max="13551" width="9.7109375" style="367" customWidth="1"/>
    <col min="13552" max="13552" width="10.140625" style="367" bestFit="1" customWidth="1"/>
    <col min="13553" max="13554" width="7.7109375" style="367" customWidth="1"/>
    <col min="13555" max="13555" width="4" style="367" customWidth="1"/>
    <col min="13556" max="13556" width="9.7109375" style="367" customWidth="1"/>
    <col min="13557" max="13557" width="15.140625" style="367" customWidth="1"/>
    <col min="13558" max="13558" width="5.140625" style="367" customWidth="1"/>
    <col min="13559" max="13559" width="9.7109375" style="367" customWidth="1"/>
    <col min="13560" max="13560" width="13.7109375" style="367" customWidth="1"/>
    <col min="13561" max="13561" width="5.140625" style="367" customWidth="1"/>
    <col min="13562" max="13562" width="9.7109375" style="367" customWidth="1"/>
    <col min="13563" max="13563" width="12.5703125" style="367" customWidth="1"/>
    <col min="13564" max="13564" width="5.140625" style="367" customWidth="1"/>
    <col min="13565" max="13565" width="9.7109375" style="367" customWidth="1"/>
    <col min="13566" max="13566" width="12.7109375" style="367" customWidth="1"/>
    <col min="13567" max="13567" width="5.140625" style="367" customWidth="1"/>
    <col min="13568" max="13568" width="9.7109375" style="367" customWidth="1"/>
    <col min="13569" max="13569" width="12.7109375" style="367" customWidth="1"/>
    <col min="13570" max="13570" width="5.140625" style="367" customWidth="1"/>
    <col min="13571" max="13571" width="9.7109375" style="367" customWidth="1"/>
    <col min="13572" max="13572" width="12.7109375" style="367" customWidth="1"/>
    <col min="13573" max="13573" width="5.140625" style="367" customWidth="1"/>
    <col min="13574" max="13574" width="9.7109375" style="367" customWidth="1"/>
    <col min="13575" max="13575" width="12.7109375" style="367" customWidth="1"/>
    <col min="13576" max="13576" width="5.140625" style="367" customWidth="1"/>
    <col min="13577" max="13577" width="9.7109375" style="367" customWidth="1"/>
    <col min="13578" max="13578" width="12.7109375" style="367" customWidth="1"/>
    <col min="13579" max="13579" width="5.140625" style="367" customWidth="1"/>
    <col min="13580" max="13580" width="9.7109375" style="367" customWidth="1"/>
    <col min="13581" max="13581" width="12.7109375" style="367" customWidth="1"/>
    <col min="13582" max="13582" width="5.140625" style="367" customWidth="1"/>
    <col min="13583" max="13583" width="9.7109375" style="367" customWidth="1"/>
    <col min="13584" max="13584" width="12.7109375" style="367" customWidth="1"/>
    <col min="13585" max="13585" width="5.140625" style="367" customWidth="1"/>
    <col min="13586" max="13586" width="9.7109375" style="367" customWidth="1"/>
    <col min="13587" max="13587" width="12.7109375" style="367" customWidth="1"/>
    <col min="13588" max="13588" width="5.140625" style="367" customWidth="1"/>
    <col min="13589" max="13589" width="9.7109375" style="367" customWidth="1"/>
    <col min="13590" max="13590" width="12.7109375" style="367" customWidth="1"/>
    <col min="13591" max="13591" width="5.140625" style="367" customWidth="1"/>
    <col min="13592" max="13592" width="9.7109375" style="367" customWidth="1"/>
    <col min="13593" max="13593" width="12.7109375" style="367" customWidth="1"/>
    <col min="13594" max="13594" width="5.140625" style="367" customWidth="1"/>
    <col min="13595" max="13595" width="9.7109375" style="367" customWidth="1"/>
    <col min="13596" max="13596" width="12.7109375" style="367" customWidth="1"/>
    <col min="13597" max="13597" width="37.7109375" style="367" customWidth="1"/>
    <col min="13598" max="13800" width="9.140625" style="367"/>
    <col min="13801" max="13801" width="1.7109375" style="367" customWidth="1"/>
    <col min="13802" max="13802" width="3.5703125" style="367" customWidth="1"/>
    <col min="13803" max="13803" width="11" style="367" customWidth="1"/>
    <col min="13804" max="13804" width="20.7109375" style="367" customWidth="1"/>
    <col min="13805" max="13806" width="11.7109375" style="367" customWidth="1"/>
    <col min="13807" max="13807" width="9.7109375" style="367" customWidth="1"/>
    <col min="13808" max="13808" width="10.140625" style="367" bestFit="1" customWidth="1"/>
    <col min="13809" max="13810" width="7.7109375" style="367" customWidth="1"/>
    <col min="13811" max="13811" width="4" style="367" customWidth="1"/>
    <col min="13812" max="13812" width="9.7109375" style="367" customWidth="1"/>
    <col min="13813" max="13813" width="15.140625" style="367" customWidth="1"/>
    <col min="13814" max="13814" width="5.140625" style="367" customWidth="1"/>
    <col min="13815" max="13815" width="9.7109375" style="367" customWidth="1"/>
    <col min="13816" max="13816" width="13.7109375" style="367" customWidth="1"/>
    <col min="13817" max="13817" width="5.140625" style="367" customWidth="1"/>
    <col min="13818" max="13818" width="9.7109375" style="367" customWidth="1"/>
    <col min="13819" max="13819" width="12.5703125" style="367" customWidth="1"/>
    <col min="13820" max="13820" width="5.140625" style="367" customWidth="1"/>
    <col min="13821" max="13821" width="9.7109375" style="367" customWidth="1"/>
    <col min="13822" max="13822" width="12.7109375" style="367" customWidth="1"/>
    <col min="13823" max="13823" width="5.140625" style="367" customWidth="1"/>
    <col min="13824" max="13824" width="9.7109375" style="367" customWidth="1"/>
    <col min="13825" max="13825" width="12.7109375" style="367" customWidth="1"/>
    <col min="13826" max="13826" width="5.140625" style="367" customWidth="1"/>
    <col min="13827" max="13827" width="9.7109375" style="367" customWidth="1"/>
    <col min="13828" max="13828" width="12.7109375" style="367" customWidth="1"/>
    <col min="13829" max="13829" width="5.140625" style="367" customWidth="1"/>
    <col min="13830" max="13830" width="9.7109375" style="367" customWidth="1"/>
    <col min="13831" max="13831" width="12.7109375" style="367" customWidth="1"/>
    <col min="13832" max="13832" width="5.140625" style="367" customWidth="1"/>
    <col min="13833" max="13833" width="9.7109375" style="367" customWidth="1"/>
    <col min="13834" max="13834" width="12.7109375" style="367" customWidth="1"/>
    <col min="13835" max="13835" width="5.140625" style="367" customWidth="1"/>
    <col min="13836" max="13836" width="9.7109375" style="367" customWidth="1"/>
    <col min="13837" max="13837" width="12.7109375" style="367" customWidth="1"/>
    <col min="13838" max="13838" width="5.140625" style="367" customWidth="1"/>
    <col min="13839" max="13839" width="9.7109375" style="367" customWidth="1"/>
    <col min="13840" max="13840" width="12.7109375" style="367" customWidth="1"/>
    <col min="13841" max="13841" width="5.140625" style="367" customWidth="1"/>
    <col min="13842" max="13842" width="9.7109375" style="367" customWidth="1"/>
    <col min="13843" max="13843" width="12.7109375" style="367" customWidth="1"/>
    <col min="13844" max="13844" width="5.140625" style="367" customWidth="1"/>
    <col min="13845" max="13845" width="9.7109375" style="367" customWidth="1"/>
    <col min="13846" max="13846" width="12.7109375" style="367" customWidth="1"/>
    <col min="13847" max="13847" width="5.140625" style="367" customWidth="1"/>
    <col min="13848" max="13848" width="9.7109375" style="367" customWidth="1"/>
    <col min="13849" max="13849" width="12.7109375" style="367" customWidth="1"/>
    <col min="13850" max="13850" width="5.140625" style="367" customWidth="1"/>
    <col min="13851" max="13851" width="9.7109375" style="367" customWidth="1"/>
    <col min="13852" max="13852" width="12.7109375" style="367" customWidth="1"/>
    <col min="13853" max="13853" width="37.7109375" style="367" customWidth="1"/>
    <col min="13854" max="14056" width="9.140625" style="367"/>
    <col min="14057" max="14057" width="1.7109375" style="367" customWidth="1"/>
    <col min="14058" max="14058" width="3.5703125" style="367" customWidth="1"/>
    <col min="14059" max="14059" width="11" style="367" customWidth="1"/>
    <col min="14060" max="14060" width="20.7109375" style="367" customWidth="1"/>
    <col min="14061" max="14062" width="11.7109375" style="367" customWidth="1"/>
    <col min="14063" max="14063" width="9.7109375" style="367" customWidth="1"/>
    <col min="14064" max="14064" width="10.140625" style="367" bestFit="1" customWidth="1"/>
    <col min="14065" max="14066" width="7.7109375" style="367" customWidth="1"/>
    <col min="14067" max="14067" width="4" style="367" customWidth="1"/>
    <col min="14068" max="14068" width="9.7109375" style="367" customWidth="1"/>
    <col min="14069" max="14069" width="15.140625" style="367" customWidth="1"/>
    <col min="14070" max="14070" width="5.140625" style="367" customWidth="1"/>
    <col min="14071" max="14071" width="9.7109375" style="367" customWidth="1"/>
    <col min="14072" max="14072" width="13.7109375" style="367" customWidth="1"/>
    <col min="14073" max="14073" width="5.140625" style="367" customWidth="1"/>
    <col min="14074" max="14074" width="9.7109375" style="367" customWidth="1"/>
    <col min="14075" max="14075" width="12.5703125" style="367" customWidth="1"/>
    <col min="14076" max="14076" width="5.140625" style="367" customWidth="1"/>
    <col min="14077" max="14077" width="9.7109375" style="367" customWidth="1"/>
    <col min="14078" max="14078" width="12.7109375" style="367" customWidth="1"/>
    <col min="14079" max="14079" width="5.140625" style="367" customWidth="1"/>
    <col min="14080" max="14080" width="9.7109375" style="367" customWidth="1"/>
    <col min="14081" max="14081" width="12.7109375" style="367" customWidth="1"/>
    <col min="14082" max="14082" width="5.140625" style="367" customWidth="1"/>
    <col min="14083" max="14083" width="9.7109375" style="367" customWidth="1"/>
    <col min="14084" max="14084" width="12.7109375" style="367" customWidth="1"/>
    <col min="14085" max="14085" width="5.140625" style="367" customWidth="1"/>
    <col min="14086" max="14086" width="9.7109375" style="367" customWidth="1"/>
    <col min="14087" max="14087" width="12.7109375" style="367" customWidth="1"/>
    <col min="14088" max="14088" width="5.140625" style="367" customWidth="1"/>
    <col min="14089" max="14089" width="9.7109375" style="367" customWidth="1"/>
    <col min="14090" max="14090" width="12.7109375" style="367" customWidth="1"/>
    <col min="14091" max="14091" width="5.140625" style="367" customWidth="1"/>
    <col min="14092" max="14092" width="9.7109375" style="367" customWidth="1"/>
    <col min="14093" max="14093" width="12.7109375" style="367" customWidth="1"/>
    <col min="14094" max="14094" width="5.140625" style="367" customWidth="1"/>
    <col min="14095" max="14095" width="9.7109375" style="367" customWidth="1"/>
    <col min="14096" max="14096" width="12.7109375" style="367" customWidth="1"/>
    <col min="14097" max="14097" width="5.140625" style="367" customWidth="1"/>
    <col min="14098" max="14098" width="9.7109375" style="367" customWidth="1"/>
    <col min="14099" max="14099" width="12.7109375" style="367" customWidth="1"/>
    <col min="14100" max="14100" width="5.140625" style="367" customWidth="1"/>
    <col min="14101" max="14101" width="9.7109375" style="367" customWidth="1"/>
    <col min="14102" max="14102" width="12.7109375" style="367" customWidth="1"/>
    <col min="14103" max="14103" width="5.140625" style="367" customWidth="1"/>
    <col min="14104" max="14104" width="9.7109375" style="367" customWidth="1"/>
    <col min="14105" max="14105" width="12.7109375" style="367" customWidth="1"/>
    <col min="14106" max="14106" width="5.140625" style="367" customWidth="1"/>
    <col min="14107" max="14107" width="9.7109375" style="367" customWidth="1"/>
    <col min="14108" max="14108" width="12.7109375" style="367" customWidth="1"/>
    <col min="14109" max="14109" width="37.7109375" style="367" customWidth="1"/>
    <col min="14110" max="14312" width="9.140625" style="367"/>
    <col min="14313" max="14313" width="1.7109375" style="367" customWidth="1"/>
    <col min="14314" max="14314" width="3.5703125" style="367" customWidth="1"/>
    <col min="14315" max="14315" width="11" style="367" customWidth="1"/>
    <col min="14316" max="14316" width="20.7109375" style="367" customWidth="1"/>
    <col min="14317" max="14318" width="11.7109375" style="367" customWidth="1"/>
    <col min="14319" max="14319" width="9.7109375" style="367" customWidth="1"/>
    <col min="14320" max="14320" width="10.140625" style="367" bestFit="1" customWidth="1"/>
    <col min="14321" max="14322" width="7.7109375" style="367" customWidth="1"/>
    <col min="14323" max="14323" width="4" style="367" customWidth="1"/>
    <col min="14324" max="14324" width="9.7109375" style="367" customWidth="1"/>
    <col min="14325" max="14325" width="15.140625" style="367" customWidth="1"/>
    <col min="14326" max="14326" width="5.140625" style="367" customWidth="1"/>
    <col min="14327" max="14327" width="9.7109375" style="367" customWidth="1"/>
    <col min="14328" max="14328" width="13.7109375" style="367" customWidth="1"/>
    <col min="14329" max="14329" width="5.140625" style="367" customWidth="1"/>
    <col min="14330" max="14330" width="9.7109375" style="367" customWidth="1"/>
    <col min="14331" max="14331" width="12.5703125" style="367" customWidth="1"/>
    <col min="14332" max="14332" width="5.140625" style="367" customWidth="1"/>
    <col min="14333" max="14333" width="9.7109375" style="367" customWidth="1"/>
    <col min="14334" max="14334" width="12.7109375" style="367" customWidth="1"/>
    <col min="14335" max="14335" width="5.140625" style="367" customWidth="1"/>
    <col min="14336" max="14336" width="9.7109375" style="367" customWidth="1"/>
    <col min="14337" max="14337" width="12.7109375" style="367" customWidth="1"/>
    <col min="14338" max="14338" width="5.140625" style="367" customWidth="1"/>
    <col min="14339" max="14339" width="9.7109375" style="367" customWidth="1"/>
    <col min="14340" max="14340" width="12.7109375" style="367" customWidth="1"/>
    <col min="14341" max="14341" width="5.140625" style="367" customWidth="1"/>
    <col min="14342" max="14342" width="9.7109375" style="367" customWidth="1"/>
    <col min="14343" max="14343" width="12.7109375" style="367" customWidth="1"/>
    <col min="14344" max="14344" width="5.140625" style="367" customWidth="1"/>
    <col min="14345" max="14345" width="9.7109375" style="367" customWidth="1"/>
    <col min="14346" max="14346" width="12.7109375" style="367" customWidth="1"/>
    <col min="14347" max="14347" width="5.140625" style="367" customWidth="1"/>
    <col min="14348" max="14348" width="9.7109375" style="367" customWidth="1"/>
    <col min="14349" max="14349" width="12.7109375" style="367" customWidth="1"/>
    <col min="14350" max="14350" width="5.140625" style="367" customWidth="1"/>
    <col min="14351" max="14351" width="9.7109375" style="367" customWidth="1"/>
    <col min="14352" max="14352" width="12.7109375" style="367" customWidth="1"/>
    <col min="14353" max="14353" width="5.140625" style="367" customWidth="1"/>
    <col min="14354" max="14354" width="9.7109375" style="367" customWidth="1"/>
    <col min="14355" max="14355" width="12.7109375" style="367" customWidth="1"/>
    <col min="14356" max="14356" width="5.140625" style="367" customWidth="1"/>
    <col min="14357" max="14357" width="9.7109375" style="367" customWidth="1"/>
    <col min="14358" max="14358" width="12.7109375" style="367" customWidth="1"/>
    <col min="14359" max="14359" width="5.140625" style="367" customWidth="1"/>
    <col min="14360" max="14360" width="9.7109375" style="367" customWidth="1"/>
    <col min="14361" max="14361" width="12.7109375" style="367" customWidth="1"/>
    <col min="14362" max="14362" width="5.140625" style="367" customWidth="1"/>
    <col min="14363" max="14363" width="9.7109375" style="367" customWidth="1"/>
    <col min="14364" max="14364" width="12.7109375" style="367" customWidth="1"/>
    <col min="14365" max="14365" width="37.7109375" style="367" customWidth="1"/>
    <col min="14366" max="14568" width="9.140625" style="367"/>
    <col min="14569" max="14569" width="1.7109375" style="367" customWidth="1"/>
    <col min="14570" max="14570" width="3.5703125" style="367" customWidth="1"/>
    <col min="14571" max="14571" width="11" style="367" customWidth="1"/>
    <col min="14572" max="14572" width="20.7109375" style="367" customWidth="1"/>
    <col min="14573" max="14574" width="11.7109375" style="367" customWidth="1"/>
    <col min="14575" max="14575" width="9.7109375" style="367" customWidth="1"/>
    <col min="14576" max="14576" width="10.140625" style="367" bestFit="1" customWidth="1"/>
    <col min="14577" max="14578" width="7.7109375" style="367" customWidth="1"/>
    <col min="14579" max="14579" width="4" style="367" customWidth="1"/>
    <col min="14580" max="14580" width="9.7109375" style="367" customWidth="1"/>
    <col min="14581" max="14581" width="15.140625" style="367" customWidth="1"/>
    <col min="14582" max="14582" width="5.140625" style="367" customWidth="1"/>
    <col min="14583" max="14583" width="9.7109375" style="367" customWidth="1"/>
    <col min="14584" max="14584" width="13.7109375" style="367" customWidth="1"/>
    <col min="14585" max="14585" width="5.140625" style="367" customWidth="1"/>
    <col min="14586" max="14586" width="9.7109375" style="367" customWidth="1"/>
    <col min="14587" max="14587" width="12.5703125" style="367" customWidth="1"/>
    <col min="14588" max="14588" width="5.140625" style="367" customWidth="1"/>
    <col min="14589" max="14589" width="9.7109375" style="367" customWidth="1"/>
    <col min="14590" max="14590" width="12.7109375" style="367" customWidth="1"/>
    <col min="14591" max="14591" width="5.140625" style="367" customWidth="1"/>
    <col min="14592" max="14592" width="9.7109375" style="367" customWidth="1"/>
    <col min="14593" max="14593" width="12.7109375" style="367" customWidth="1"/>
    <col min="14594" max="14594" width="5.140625" style="367" customWidth="1"/>
    <col min="14595" max="14595" width="9.7109375" style="367" customWidth="1"/>
    <col min="14596" max="14596" width="12.7109375" style="367" customWidth="1"/>
    <col min="14597" max="14597" width="5.140625" style="367" customWidth="1"/>
    <col min="14598" max="14598" width="9.7109375" style="367" customWidth="1"/>
    <col min="14599" max="14599" width="12.7109375" style="367" customWidth="1"/>
    <col min="14600" max="14600" width="5.140625" style="367" customWidth="1"/>
    <col min="14601" max="14601" width="9.7109375" style="367" customWidth="1"/>
    <col min="14602" max="14602" width="12.7109375" style="367" customWidth="1"/>
    <col min="14603" max="14603" width="5.140625" style="367" customWidth="1"/>
    <col min="14604" max="14604" width="9.7109375" style="367" customWidth="1"/>
    <col min="14605" max="14605" width="12.7109375" style="367" customWidth="1"/>
    <col min="14606" max="14606" width="5.140625" style="367" customWidth="1"/>
    <col min="14607" max="14607" width="9.7109375" style="367" customWidth="1"/>
    <col min="14608" max="14608" width="12.7109375" style="367" customWidth="1"/>
    <col min="14609" max="14609" width="5.140625" style="367" customWidth="1"/>
    <col min="14610" max="14610" width="9.7109375" style="367" customWidth="1"/>
    <col min="14611" max="14611" width="12.7109375" style="367" customWidth="1"/>
    <col min="14612" max="14612" width="5.140625" style="367" customWidth="1"/>
    <col min="14613" max="14613" width="9.7109375" style="367" customWidth="1"/>
    <col min="14614" max="14614" width="12.7109375" style="367" customWidth="1"/>
    <col min="14615" max="14615" width="5.140625" style="367" customWidth="1"/>
    <col min="14616" max="14616" width="9.7109375" style="367" customWidth="1"/>
    <col min="14617" max="14617" width="12.7109375" style="367" customWidth="1"/>
    <col min="14618" max="14618" width="5.140625" style="367" customWidth="1"/>
    <col min="14619" max="14619" width="9.7109375" style="367" customWidth="1"/>
    <col min="14620" max="14620" width="12.7109375" style="367" customWidth="1"/>
    <col min="14621" max="14621" width="37.7109375" style="367" customWidth="1"/>
    <col min="14622" max="14824" width="9.140625" style="367"/>
    <col min="14825" max="14825" width="1.7109375" style="367" customWidth="1"/>
    <col min="14826" max="14826" width="3.5703125" style="367" customWidth="1"/>
    <col min="14827" max="14827" width="11" style="367" customWidth="1"/>
    <col min="14828" max="14828" width="20.7109375" style="367" customWidth="1"/>
    <col min="14829" max="14830" width="11.7109375" style="367" customWidth="1"/>
    <col min="14831" max="14831" width="9.7109375" style="367" customWidth="1"/>
    <col min="14832" max="14832" width="10.140625" style="367" bestFit="1" customWidth="1"/>
    <col min="14833" max="14834" width="7.7109375" style="367" customWidth="1"/>
    <col min="14835" max="14835" width="4" style="367" customWidth="1"/>
    <col min="14836" max="14836" width="9.7109375" style="367" customWidth="1"/>
    <col min="14837" max="14837" width="15.140625" style="367" customWidth="1"/>
    <col min="14838" max="14838" width="5.140625" style="367" customWidth="1"/>
    <col min="14839" max="14839" width="9.7109375" style="367" customWidth="1"/>
    <col min="14840" max="14840" width="13.7109375" style="367" customWidth="1"/>
    <col min="14841" max="14841" width="5.140625" style="367" customWidth="1"/>
    <col min="14842" max="14842" width="9.7109375" style="367" customWidth="1"/>
    <col min="14843" max="14843" width="12.5703125" style="367" customWidth="1"/>
    <col min="14844" max="14844" width="5.140625" style="367" customWidth="1"/>
    <col min="14845" max="14845" width="9.7109375" style="367" customWidth="1"/>
    <col min="14846" max="14846" width="12.7109375" style="367" customWidth="1"/>
    <col min="14847" max="14847" width="5.140625" style="367" customWidth="1"/>
    <col min="14848" max="14848" width="9.7109375" style="367" customWidth="1"/>
    <col min="14849" max="14849" width="12.7109375" style="367" customWidth="1"/>
    <col min="14850" max="14850" width="5.140625" style="367" customWidth="1"/>
    <col min="14851" max="14851" width="9.7109375" style="367" customWidth="1"/>
    <col min="14852" max="14852" width="12.7109375" style="367" customWidth="1"/>
    <col min="14853" max="14853" width="5.140625" style="367" customWidth="1"/>
    <col min="14854" max="14854" width="9.7109375" style="367" customWidth="1"/>
    <col min="14855" max="14855" width="12.7109375" style="367" customWidth="1"/>
    <col min="14856" max="14856" width="5.140625" style="367" customWidth="1"/>
    <col min="14857" max="14857" width="9.7109375" style="367" customWidth="1"/>
    <col min="14858" max="14858" width="12.7109375" style="367" customWidth="1"/>
    <col min="14859" max="14859" width="5.140625" style="367" customWidth="1"/>
    <col min="14860" max="14860" width="9.7109375" style="367" customWidth="1"/>
    <col min="14861" max="14861" width="12.7109375" style="367" customWidth="1"/>
    <col min="14862" max="14862" width="5.140625" style="367" customWidth="1"/>
    <col min="14863" max="14863" width="9.7109375" style="367" customWidth="1"/>
    <col min="14864" max="14864" width="12.7109375" style="367" customWidth="1"/>
    <col min="14865" max="14865" width="5.140625" style="367" customWidth="1"/>
    <col min="14866" max="14866" width="9.7109375" style="367" customWidth="1"/>
    <col min="14867" max="14867" width="12.7109375" style="367" customWidth="1"/>
    <col min="14868" max="14868" width="5.140625" style="367" customWidth="1"/>
    <col min="14869" max="14869" width="9.7109375" style="367" customWidth="1"/>
    <col min="14870" max="14870" width="12.7109375" style="367" customWidth="1"/>
    <col min="14871" max="14871" width="5.140625" style="367" customWidth="1"/>
    <col min="14872" max="14872" width="9.7109375" style="367" customWidth="1"/>
    <col min="14873" max="14873" width="12.7109375" style="367" customWidth="1"/>
    <col min="14874" max="14874" width="5.140625" style="367" customWidth="1"/>
    <col min="14875" max="14875" width="9.7109375" style="367" customWidth="1"/>
    <col min="14876" max="14876" width="12.7109375" style="367" customWidth="1"/>
    <col min="14877" max="14877" width="37.7109375" style="367" customWidth="1"/>
    <col min="14878" max="15080" width="9.140625" style="367"/>
    <col min="15081" max="15081" width="1.7109375" style="367" customWidth="1"/>
    <col min="15082" max="15082" width="3.5703125" style="367" customWidth="1"/>
    <col min="15083" max="15083" width="11" style="367" customWidth="1"/>
    <col min="15084" max="15084" width="20.7109375" style="367" customWidth="1"/>
    <col min="15085" max="15086" width="11.7109375" style="367" customWidth="1"/>
    <col min="15087" max="15087" width="9.7109375" style="367" customWidth="1"/>
    <col min="15088" max="15088" width="10.140625" style="367" bestFit="1" customWidth="1"/>
    <col min="15089" max="15090" width="7.7109375" style="367" customWidth="1"/>
    <col min="15091" max="15091" width="4" style="367" customWidth="1"/>
    <col min="15092" max="15092" width="9.7109375" style="367" customWidth="1"/>
    <col min="15093" max="15093" width="15.140625" style="367" customWidth="1"/>
    <col min="15094" max="15094" width="5.140625" style="367" customWidth="1"/>
    <col min="15095" max="15095" width="9.7109375" style="367" customWidth="1"/>
    <col min="15096" max="15096" width="13.7109375" style="367" customWidth="1"/>
    <col min="15097" max="15097" width="5.140625" style="367" customWidth="1"/>
    <col min="15098" max="15098" width="9.7109375" style="367" customWidth="1"/>
    <col min="15099" max="15099" width="12.5703125" style="367" customWidth="1"/>
    <col min="15100" max="15100" width="5.140625" style="367" customWidth="1"/>
    <col min="15101" max="15101" width="9.7109375" style="367" customWidth="1"/>
    <col min="15102" max="15102" width="12.7109375" style="367" customWidth="1"/>
    <col min="15103" max="15103" width="5.140625" style="367" customWidth="1"/>
    <col min="15104" max="15104" width="9.7109375" style="367" customWidth="1"/>
    <col min="15105" max="15105" width="12.7109375" style="367" customWidth="1"/>
    <col min="15106" max="15106" width="5.140625" style="367" customWidth="1"/>
    <col min="15107" max="15107" width="9.7109375" style="367" customWidth="1"/>
    <col min="15108" max="15108" width="12.7109375" style="367" customWidth="1"/>
    <col min="15109" max="15109" width="5.140625" style="367" customWidth="1"/>
    <col min="15110" max="15110" width="9.7109375" style="367" customWidth="1"/>
    <col min="15111" max="15111" width="12.7109375" style="367" customWidth="1"/>
    <col min="15112" max="15112" width="5.140625" style="367" customWidth="1"/>
    <col min="15113" max="15113" width="9.7109375" style="367" customWidth="1"/>
    <col min="15114" max="15114" width="12.7109375" style="367" customWidth="1"/>
    <col min="15115" max="15115" width="5.140625" style="367" customWidth="1"/>
    <col min="15116" max="15116" width="9.7109375" style="367" customWidth="1"/>
    <col min="15117" max="15117" width="12.7109375" style="367" customWidth="1"/>
    <col min="15118" max="15118" width="5.140625" style="367" customWidth="1"/>
    <col min="15119" max="15119" width="9.7109375" style="367" customWidth="1"/>
    <col min="15120" max="15120" width="12.7109375" style="367" customWidth="1"/>
    <col min="15121" max="15121" width="5.140625" style="367" customWidth="1"/>
    <col min="15122" max="15122" width="9.7109375" style="367" customWidth="1"/>
    <col min="15123" max="15123" width="12.7109375" style="367" customWidth="1"/>
    <col min="15124" max="15124" width="5.140625" style="367" customWidth="1"/>
    <col min="15125" max="15125" width="9.7109375" style="367" customWidth="1"/>
    <col min="15126" max="15126" width="12.7109375" style="367" customWidth="1"/>
    <col min="15127" max="15127" width="5.140625" style="367" customWidth="1"/>
    <col min="15128" max="15128" width="9.7109375" style="367" customWidth="1"/>
    <col min="15129" max="15129" width="12.7109375" style="367" customWidth="1"/>
    <col min="15130" max="15130" width="5.140625" style="367" customWidth="1"/>
    <col min="15131" max="15131" width="9.7109375" style="367" customWidth="1"/>
    <col min="15132" max="15132" width="12.7109375" style="367" customWidth="1"/>
    <col min="15133" max="15133" width="37.7109375" style="367" customWidth="1"/>
    <col min="15134" max="15336" width="9.140625" style="367"/>
    <col min="15337" max="15337" width="1.7109375" style="367" customWidth="1"/>
    <col min="15338" max="15338" width="3.5703125" style="367" customWidth="1"/>
    <col min="15339" max="15339" width="11" style="367" customWidth="1"/>
    <col min="15340" max="15340" width="20.7109375" style="367" customWidth="1"/>
    <col min="15341" max="15342" width="11.7109375" style="367" customWidth="1"/>
    <col min="15343" max="15343" width="9.7109375" style="367" customWidth="1"/>
    <col min="15344" max="15344" width="10.140625" style="367" bestFit="1" customWidth="1"/>
    <col min="15345" max="15346" width="7.7109375" style="367" customWidth="1"/>
    <col min="15347" max="15347" width="4" style="367" customWidth="1"/>
    <col min="15348" max="15348" width="9.7109375" style="367" customWidth="1"/>
    <col min="15349" max="15349" width="15.140625" style="367" customWidth="1"/>
    <col min="15350" max="15350" width="5.140625" style="367" customWidth="1"/>
    <col min="15351" max="15351" width="9.7109375" style="367" customWidth="1"/>
    <col min="15352" max="15352" width="13.7109375" style="367" customWidth="1"/>
    <col min="15353" max="15353" width="5.140625" style="367" customWidth="1"/>
    <col min="15354" max="15354" width="9.7109375" style="367" customWidth="1"/>
    <col min="15355" max="15355" width="12.5703125" style="367" customWidth="1"/>
    <col min="15356" max="15356" width="5.140625" style="367" customWidth="1"/>
    <col min="15357" max="15357" width="9.7109375" style="367" customWidth="1"/>
    <col min="15358" max="15358" width="12.7109375" style="367" customWidth="1"/>
    <col min="15359" max="15359" width="5.140625" style="367" customWidth="1"/>
    <col min="15360" max="15360" width="9.7109375" style="367" customWidth="1"/>
    <col min="15361" max="15361" width="12.7109375" style="367" customWidth="1"/>
    <col min="15362" max="15362" width="5.140625" style="367" customWidth="1"/>
    <col min="15363" max="15363" width="9.7109375" style="367" customWidth="1"/>
    <col min="15364" max="15364" width="12.7109375" style="367" customWidth="1"/>
    <col min="15365" max="15365" width="5.140625" style="367" customWidth="1"/>
    <col min="15366" max="15366" width="9.7109375" style="367" customWidth="1"/>
    <col min="15367" max="15367" width="12.7109375" style="367" customWidth="1"/>
    <col min="15368" max="15368" width="5.140625" style="367" customWidth="1"/>
    <col min="15369" max="15369" width="9.7109375" style="367" customWidth="1"/>
    <col min="15370" max="15370" width="12.7109375" style="367" customWidth="1"/>
    <col min="15371" max="15371" width="5.140625" style="367" customWidth="1"/>
    <col min="15372" max="15372" width="9.7109375" style="367" customWidth="1"/>
    <col min="15373" max="15373" width="12.7109375" style="367" customWidth="1"/>
    <col min="15374" max="15374" width="5.140625" style="367" customWidth="1"/>
    <col min="15375" max="15375" width="9.7109375" style="367" customWidth="1"/>
    <col min="15376" max="15376" width="12.7109375" style="367" customWidth="1"/>
    <col min="15377" max="15377" width="5.140625" style="367" customWidth="1"/>
    <col min="15378" max="15378" width="9.7109375" style="367" customWidth="1"/>
    <col min="15379" max="15379" width="12.7109375" style="367" customWidth="1"/>
    <col min="15380" max="15380" width="5.140625" style="367" customWidth="1"/>
    <col min="15381" max="15381" width="9.7109375" style="367" customWidth="1"/>
    <col min="15382" max="15382" width="12.7109375" style="367" customWidth="1"/>
    <col min="15383" max="15383" width="5.140625" style="367" customWidth="1"/>
    <col min="15384" max="15384" width="9.7109375" style="367" customWidth="1"/>
    <col min="15385" max="15385" width="12.7109375" style="367" customWidth="1"/>
    <col min="15386" max="15386" width="5.140625" style="367" customWidth="1"/>
    <col min="15387" max="15387" width="9.7109375" style="367" customWidth="1"/>
    <col min="15388" max="15388" width="12.7109375" style="367" customWidth="1"/>
    <col min="15389" max="15389" width="37.7109375" style="367" customWidth="1"/>
    <col min="15390" max="15592" width="9.140625" style="367"/>
    <col min="15593" max="15593" width="1.7109375" style="367" customWidth="1"/>
    <col min="15594" max="15594" width="3.5703125" style="367" customWidth="1"/>
    <col min="15595" max="15595" width="11" style="367" customWidth="1"/>
    <col min="15596" max="15596" width="20.7109375" style="367" customWidth="1"/>
    <col min="15597" max="15598" width="11.7109375" style="367" customWidth="1"/>
    <col min="15599" max="15599" width="9.7109375" style="367" customWidth="1"/>
    <col min="15600" max="15600" width="10.140625" style="367" bestFit="1" customWidth="1"/>
    <col min="15601" max="15602" width="7.7109375" style="367" customWidth="1"/>
    <col min="15603" max="15603" width="4" style="367" customWidth="1"/>
    <col min="15604" max="15604" width="9.7109375" style="367" customWidth="1"/>
    <col min="15605" max="15605" width="15.140625" style="367" customWidth="1"/>
    <col min="15606" max="15606" width="5.140625" style="367" customWidth="1"/>
    <col min="15607" max="15607" width="9.7109375" style="367" customWidth="1"/>
    <col min="15608" max="15608" width="13.7109375" style="367" customWidth="1"/>
    <col min="15609" max="15609" width="5.140625" style="367" customWidth="1"/>
    <col min="15610" max="15610" width="9.7109375" style="367" customWidth="1"/>
    <col min="15611" max="15611" width="12.5703125" style="367" customWidth="1"/>
    <col min="15612" max="15612" width="5.140625" style="367" customWidth="1"/>
    <col min="15613" max="15613" width="9.7109375" style="367" customWidth="1"/>
    <col min="15614" max="15614" width="12.7109375" style="367" customWidth="1"/>
    <col min="15615" max="15615" width="5.140625" style="367" customWidth="1"/>
    <col min="15616" max="15616" width="9.7109375" style="367" customWidth="1"/>
    <col min="15617" max="15617" width="12.7109375" style="367" customWidth="1"/>
    <col min="15618" max="15618" width="5.140625" style="367" customWidth="1"/>
    <col min="15619" max="15619" width="9.7109375" style="367" customWidth="1"/>
    <col min="15620" max="15620" width="12.7109375" style="367" customWidth="1"/>
    <col min="15621" max="15621" width="5.140625" style="367" customWidth="1"/>
    <col min="15622" max="15622" width="9.7109375" style="367" customWidth="1"/>
    <col min="15623" max="15623" width="12.7109375" style="367" customWidth="1"/>
    <col min="15624" max="15624" width="5.140625" style="367" customWidth="1"/>
    <col min="15625" max="15625" width="9.7109375" style="367" customWidth="1"/>
    <col min="15626" max="15626" width="12.7109375" style="367" customWidth="1"/>
    <col min="15627" max="15627" width="5.140625" style="367" customWidth="1"/>
    <col min="15628" max="15628" width="9.7109375" style="367" customWidth="1"/>
    <col min="15629" max="15629" width="12.7109375" style="367" customWidth="1"/>
    <col min="15630" max="15630" width="5.140625" style="367" customWidth="1"/>
    <col min="15631" max="15631" width="9.7109375" style="367" customWidth="1"/>
    <col min="15632" max="15632" width="12.7109375" style="367" customWidth="1"/>
    <col min="15633" max="15633" width="5.140625" style="367" customWidth="1"/>
    <col min="15634" max="15634" width="9.7109375" style="367" customWidth="1"/>
    <col min="15635" max="15635" width="12.7109375" style="367" customWidth="1"/>
    <col min="15636" max="15636" width="5.140625" style="367" customWidth="1"/>
    <col min="15637" max="15637" width="9.7109375" style="367" customWidth="1"/>
    <col min="15638" max="15638" width="12.7109375" style="367" customWidth="1"/>
    <col min="15639" max="15639" width="5.140625" style="367" customWidth="1"/>
    <col min="15640" max="15640" width="9.7109375" style="367" customWidth="1"/>
    <col min="15641" max="15641" width="12.7109375" style="367" customWidth="1"/>
    <col min="15642" max="15642" width="5.140625" style="367" customWidth="1"/>
    <col min="15643" max="15643" width="9.7109375" style="367" customWidth="1"/>
    <col min="15644" max="15644" width="12.7109375" style="367" customWidth="1"/>
    <col min="15645" max="15645" width="37.7109375" style="367" customWidth="1"/>
    <col min="15646" max="15848" width="9.140625" style="367"/>
    <col min="15849" max="15849" width="1.7109375" style="367" customWidth="1"/>
    <col min="15850" max="15850" width="3.5703125" style="367" customWidth="1"/>
    <col min="15851" max="15851" width="11" style="367" customWidth="1"/>
    <col min="15852" max="15852" width="20.7109375" style="367" customWidth="1"/>
    <col min="15853" max="15854" width="11.7109375" style="367" customWidth="1"/>
    <col min="15855" max="15855" width="9.7109375" style="367" customWidth="1"/>
    <col min="15856" max="15856" width="10.140625" style="367" bestFit="1" customWidth="1"/>
    <col min="15857" max="15858" width="7.7109375" style="367" customWidth="1"/>
    <col min="15859" max="15859" width="4" style="367" customWidth="1"/>
    <col min="15860" max="15860" width="9.7109375" style="367" customWidth="1"/>
    <col min="15861" max="15861" width="15.140625" style="367" customWidth="1"/>
    <col min="15862" max="15862" width="5.140625" style="367" customWidth="1"/>
    <col min="15863" max="15863" width="9.7109375" style="367" customWidth="1"/>
    <col min="15864" max="15864" width="13.7109375" style="367" customWidth="1"/>
    <col min="15865" max="15865" width="5.140625" style="367" customWidth="1"/>
    <col min="15866" max="15866" width="9.7109375" style="367" customWidth="1"/>
    <col min="15867" max="15867" width="12.5703125" style="367" customWidth="1"/>
    <col min="15868" max="15868" width="5.140625" style="367" customWidth="1"/>
    <col min="15869" max="15869" width="9.7109375" style="367" customWidth="1"/>
    <col min="15870" max="15870" width="12.7109375" style="367" customWidth="1"/>
    <col min="15871" max="15871" width="5.140625" style="367" customWidth="1"/>
    <col min="15872" max="15872" width="9.7109375" style="367" customWidth="1"/>
    <col min="15873" max="15873" width="12.7109375" style="367" customWidth="1"/>
    <col min="15874" max="15874" width="5.140625" style="367" customWidth="1"/>
    <col min="15875" max="15875" width="9.7109375" style="367" customWidth="1"/>
    <col min="15876" max="15876" width="12.7109375" style="367" customWidth="1"/>
    <col min="15877" max="15877" width="5.140625" style="367" customWidth="1"/>
    <col min="15878" max="15878" width="9.7109375" style="367" customWidth="1"/>
    <col min="15879" max="15879" width="12.7109375" style="367" customWidth="1"/>
    <col min="15880" max="15880" width="5.140625" style="367" customWidth="1"/>
    <col min="15881" max="15881" width="9.7109375" style="367" customWidth="1"/>
    <col min="15882" max="15882" width="12.7109375" style="367" customWidth="1"/>
    <col min="15883" max="15883" width="5.140625" style="367" customWidth="1"/>
    <col min="15884" max="15884" width="9.7109375" style="367" customWidth="1"/>
    <col min="15885" max="15885" width="12.7109375" style="367" customWidth="1"/>
    <col min="15886" max="15886" width="5.140625" style="367" customWidth="1"/>
    <col min="15887" max="15887" width="9.7109375" style="367" customWidth="1"/>
    <col min="15888" max="15888" width="12.7109375" style="367" customWidth="1"/>
    <col min="15889" max="15889" width="5.140625" style="367" customWidth="1"/>
    <col min="15890" max="15890" width="9.7109375" style="367" customWidth="1"/>
    <col min="15891" max="15891" width="12.7109375" style="367" customWidth="1"/>
    <col min="15892" max="15892" width="5.140625" style="367" customWidth="1"/>
    <col min="15893" max="15893" width="9.7109375" style="367" customWidth="1"/>
    <col min="15894" max="15894" width="12.7109375" style="367" customWidth="1"/>
    <col min="15895" max="15895" width="5.140625" style="367" customWidth="1"/>
    <col min="15896" max="15896" width="9.7109375" style="367" customWidth="1"/>
    <col min="15897" max="15897" width="12.7109375" style="367" customWidth="1"/>
    <col min="15898" max="15898" width="5.140625" style="367" customWidth="1"/>
    <col min="15899" max="15899" width="9.7109375" style="367" customWidth="1"/>
    <col min="15900" max="15900" width="12.7109375" style="367" customWidth="1"/>
    <col min="15901" max="15901" width="37.7109375" style="367" customWidth="1"/>
    <col min="15902" max="16104" width="9.140625" style="367"/>
    <col min="16105" max="16105" width="1.7109375" style="367" customWidth="1"/>
    <col min="16106" max="16106" width="3.5703125" style="367" customWidth="1"/>
    <col min="16107" max="16107" width="11" style="367" customWidth="1"/>
    <col min="16108" max="16108" width="20.7109375" style="367" customWidth="1"/>
    <col min="16109" max="16110" width="11.7109375" style="367" customWidth="1"/>
    <col min="16111" max="16111" width="9.7109375" style="367" customWidth="1"/>
    <col min="16112" max="16112" width="10.140625" style="367" bestFit="1" customWidth="1"/>
    <col min="16113" max="16114" width="7.7109375" style="367" customWidth="1"/>
    <col min="16115" max="16115" width="4" style="367" customWidth="1"/>
    <col min="16116" max="16116" width="9.7109375" style="367" customWidth="1"/>
    <col min="16117" max="16117" width="15.140625" style="367" customWidth="1"/>
    <col min="16118" max="16118" width="5.140625" style="367" customWidth="1"/>
    <col min="16119" max="16119" width="9.7109375" style="367" customWidth="1"/>
    <col min="16120" max="16120" width="13.7109375" style="367" customWidth="1"/>
    <col min="16121" max="16121" width="5.140625" style="367" customWidth="1"/>
    <col min="16122" max="16122" width="9.7109375" style="367" customWidth="1"/>
    <col min="16123" max="16123" width="12.5703125" style="367" customWidth="1"/>
    <col min="16124" max="16124" width="5.140625" style="367" customWidth="1"/>
    <col min="16125" max="16125" width="9.7109375" style="367" customWidth="1"/>
    <col min="16126" max="16126" width="12.7109375" style="367" customWidth="1"/>
    <col min="16127" max="16127" width="5.140625" style="367" customWidth="1"/>
    <col min="16128" max="16128" width="9.7109375" style="367" customWidth="1"/>
    <col min="16129" max="16129" width="12.7109375" style="367" customWidth="1"/>
    <col min="16130" max="16130" width="5.140625" style="367" customWidth="1"/>
    <col min="16131" max="16131" width="9.7109375" style="367" customWidth="1"/>
    <col min="16132" max="16132" width="12.7109375" style="367" customWidth="1"/>
    <col min="16133" max="16133" width="5.140625" style="367" customWidth="1"/>
    <col min="16134" max="16134" width="9.7109375" style="367" customWidth="1"/>
    <col min="16135" max="16135" width="12.7109375" style="367" customWidth="1"/>
    <col min="16136" max="16136" width="5.140625" style="367" customWidth="1"/>
    <col min="16137" max="16137" width="9.7109375" style="367" customWidth="1"/>
    <col min="16138" max="16138" width="12.7109375" style="367" customWidth="1"/>
    <col min="16139" max="16139" width="5.140625" style="367" customWidth="1"/>
    <col min="16140" max="16140" width="9.7109375" style="367" customWidth="1"/>
    <col min="16141" max="16141" width="12.7109375" style="367" customWidth="1"/>
    <col min="16142" max="16142" width="5.140625" style="367" customWidth="1"/>
    <col min="16143" max="16143" width="9.7109375" style="367" customWidth="1"/>
    <col min="16144" max="16144" width="12.7109375" style="367" customWidth="1"/>
    <col min="16145" max="16145" width="5.140625" style="367" customWidth="1"/>
    <col min="16146" max="16146" width="9.7109375" style="367" customWidth="1"/>
    <col min="16147" max="16147" width="12.7109375" style="367" customWidth="1"/>
    <col min="16148" max="16148" width="5.140625" style="367" customWidth="1"/>
    <col min="16149" max="16149" width="9.7109375" style="367" customWidth="1"/>
    <col min="16150" max="16150" width="12.7109375" style="367" customWidth="1"/>
    <col min="16151" max="16151" width="5.140625" style="367" customWidth="1"/>
    <col min="16152" max="16152" width="9.7109375" style="367" customWidth="1"/>
    <col min="16153" max="16153" width="12.7109375" style="367" customWidth="1"/>
    <col min="16154" max="16154" width="5.140625" style="367" customWidth="1"/>
    <col min="16155" max="16155" width="9.7109375" style="367" customWidth="1"/>
    <col min="16156" max="16156" width="12.7109375" style="367" customWidth="1"/>
    <col min="16157" max="16157" width="37.7109375" style="367" customWidth="1"/>
    <col min="16158" max="16384" width="9.140625" style="367"/>
  </cols>
  <sheetData>
    <row r="1" spans="1:30" ht="13.5" thickBot="1"/>
    <row r="2" spans="1:30" s="369" customFormat="1" ht="18" thickBot="1">
      <c r="A2" s="368">
        <v>1</v>
      </c>
      <c r="B2" s="836" t="s">
        <v>1026</v>
      </c>
      <c r="C2" s="863"/>
      <c r="D2" s="863"/>
      <c r="E2" s="863"/>
      <c r="F2" s="863"/>
      <c r="G2" s="863"/>
      <c r="H2" s="863"/>
      <c r="I2" s="863"/>
      <c r="J2" s="863"/>
      <c r="K2" s="863"/>
      <c r="L2" s="863"/>
      <c r="M2" s="863"/>
      <c r="N2" s="863"/>
      <c r="O2" s="863"/>
      <c r="P2" s="863"/>
      <c r="Q2" s="863"/>
      <c r="R2" s="863"/>
      <c r="S2" s="863"/>
      <c r="T2" s="863"/>
      <c r="U2" s="863"/>
      <c r="V2" s="863"/>
      <c r="W2" s="863"/>
      <c r="X2" s="863"/>
      <c r="Y2" s="863"/>
      <c r="Z2" s="863"/>
      <c r="AA2" s="863"/>
      <c r="AB2" s="863"/>
      <c r="AC2" s="863"/>
      <c r="AD2" s="879"/>
    </row>
    <row r="3" spans="1:30" s="327" customFormat="1" ht="15">
      <c r="A3" s="326"/>
      <c r="B3" s="880" t="s">
        <v>984</v>
      </c>
      <c r="C3" s="881" t="s">
        <v>988</v>
      </c>
      <c r="D3" s="882"/>
      <c r="E3" s="883" t="s">
        <v>989</v>
      </c>
      <c r="F3" s="884"/>
      <c r="G3" s="885">
        <f>'Analysis-Debit'!J3</f>
        <v>44501</v>
      </c>
      <c r="H3" s="878"/>
      <c r="I3" s="834">
        <f>EDATE(G3,-1)</f>
        <v>44470</v>
      </c>
      <c r="J3" s="835"/>
      <c r="K3" s="834">
        <f>EDATE(I3,-1)</f>
        <v>44440</v>
      </c>
      <c r="L3" s="835"/>
      <c r="M3" s="834">
        <f>EDATE(K3,-1)</f>
        <v>44409</v>
      </c>
      <c r="N3" s="835"/>
      <c r="O3" s="834">
        <f>EDATE(M3,-1)</f>
        <v>44378</v>
      </c>
      <c r="P3" s="835"/>
      <c r="Q3" s="834">
        <f>EDATE(O3,-1)</f>
        <v>44348</v>
      </c>
      <c r="R3" s="835"/>
      <c r="S3" s="834">
        <f>EDATE(Q3,-1)</f>
        <v>44317</v>
      </c>
      <c r="T3" s="835"/>
      <c r="U3" s="834">
        <f>EDATE(S3,-1)</f>
        <v>44287</v>
      </c>
      <c r="V3" s="835"/>
      <c r="W3" s="834">
        <f>EDATE(U3,-1)</f>
        <v>44256</v>
      </c>
      <c r="X3" s="835"/>
      <c r="Y3" s="834">
        <f>EDATE(W3,-1)</f>
        <v>44228</v>
      </c>
      <c r="Z3" s="835"/>
      <c r="AA3" s="834">
        <f>EDATE(Y3,-1)</f>
        <v>44197</v>
      </c>
      <c r="AB3" s="835"/>
      <c r="AC3" s="834">
        <f>EDATE(AA3,-1)</f>
        <v>44166</v>
      </c>
      <c r="AD3" s="878"/>
    </row>
    <row r="4" spans="1:30" s="327" customFormat="1" ht="15">
      <c r="A4" s="326"/>
      <c r="B4" s="844"/>
      <c r="C4" s="847"/>
      <c r="D4" s="848"/>
      <c r="E4" s="370" t="s">
        <v>991</v>
      </c>
      <c r="F4" s="371" t="s">
        <v>986</v>
      </c>
      <c r="G4" s="332" t="s">
        <v>991</v>
      </c>
      <c r="H4" s="333" t="s">
        <v>986</v>
      </c>
      <c r="I4" s="334" t="s">
        <v>991</v>
      </c>
      <c r="J4" s="335" t="s">
        <v>986</v>
      </c>
      <c r="K4" s="334" t="s">
        <v>991</v>
      </c>
      <c r="L4" s="335" t="s">
        <v>986</v>
      </c>
      <c r="M4" s="334" t="s">
        <v>991</v>
      </c>
      <c r="N4" s="335" t="s">
        <v>986</v>
      </c>
      <c r="O4" s="334" t="s">
        <v>991</v>
      </c>
      <c r="P4" s="335" t="s">
        <v>986</v>
      </c>
      <c r="Q4" s="334" t="s">
        <v>991</v>
      </c>
      <c r="R4" s="335" t="s">
        <v>986</v>
      </c>
      <c r="S4" s="334" t="s">
        <v>991</v>
      </c>
      <c r="T4" s="335" t="s">
        <v>986</v>
      </c>
      <c r="U4" s="334" t="s">
        <v>991</v>
      </c>
      <c r="V4" s="335" t="s">
        <v>986</v>
      </c>
      <c r="W4" s="334" t="s">
        <v>991</v>
      </c>
      <c r="X4" s="335" t="s">
        <v>986</v>
      </c>
      <c r="Y4" s="334" t="s">
        <v>991</v>
      </c>
      <c r="Z4" s="335" t="s">
        <v>986</v>
      </c>
      <c r="AA4" s="334" t="s">
        <v>991</v>
      </c>
      <c r="AB4" s="335" t="s">
        <v>986</v>
      </c>
      <c r="AC4" s="334" t="s">
        <v>991</v>
      </c>
      <c r="AD4" s="333" t="s">
        <v>986</v>
      </c>
    </row>
    <row r="5" spans="1:30">
      <c r="B5" s="336">
        <v>1</v>
      </c>
      <c r="C5" s="857" t="s">
        <v>943</v>
      </c>
      <c r="D5" s="858"/>
      <c r="E5" s="338">
        <f t="shared" ref="E5:E12" si="0">SUM(G5,I5,K5,M5,O5,Q5,S5,U5,W5,Y5,AA5,AC5)</f>
        <v>4</v>
      </c>
      <c r="F5" s="338">
        <f t="shared" ref="F5:F12" si="1">SUM(H5,J5,L5,N5,P5,R5,T5,AB5,V5,X5,Z5,AD5)</f>
        <v>792000</v>
      </c>
      <c r="G5" s="339">
        <v>0</v>
      </c>
      <c r="H5" s="339">
        <v>0</v>
      </c>
      <c r="I5" s="339">
        <v>2</v>
      </c>
      <c r="J5" s="339">
        <v>459000</v>
      </c>
      <c r="K5" s="339">
        <v>1</v>
      </c>
      <c r="L5" s="339">
        <v>153000</v>
      </c>
      <c r="M5" s="339">
        <v>1</v>
      </c>
      <c r="N5" s="339">
        <v>180000</v>
      </c>
      <c r="O5" s="339">
        <v>0</v>
      </c>
      <c r="P5" s="339">
        <v>0</v>
      </c>
      <c r="Q5" s="339">
        <v>0</v>
      </c>
      <c r="R5" s="339">
        <v>0</v>
      </c>
      <c r="S5" s="339">
        <v>0</v>
      </c>
      <c r="T5" s="339">
        <v>0</v>
      </c>
      <c r="U5" s="339">
        <v>0</v>
      </c>
      <c r="V5" s="339">
        <v>0</v>
      </c>
      <c r="W5" s="339">
        <v>0</v>
      </c>
      <c r="X5" s="339">
        <v>0</v>
      </c>
      <c r="Y5" s="339">
        <v>0</v>
      </c>
      <c r="Z5" s="339">
        <v>0</v>
      </c>
      <c r="AA5" s="339">
        <v>0</v>
      </c>
      <c r="AB5" s="339">
        <v>0</v>
      </c>
      <c r="AC5" s="339">
        <v>0</v>
      </c>
      <c r="AD5" s="347">
        <v>0</v>
      </c>
    </row>
    <row r="6" spans="1:30">
      <c r="B6" s="336">
        <v>2</v>
      </c>
      <c r="C6" s="857" t="s">
        <v>944</v>
      </c>
      <c r="D6" s="858"/>
      <c r="E6" s="338">
        <f t="shared" si="0"/>
        <v>18</v>
      </c>
      <c r="F6" s="338">
        <f t="shared" si="1"/>
        <v>2343564</v>
      </c>
      <c r="G6" s="339">
        <v>0</v>
      </c>
      <c r="H6" s="339">
        <v>0</v>
      </c>
      <c r="I6" s="339">
        <v>1</v>
      </c>
      <c r="J6" s="339">
        <v>70</v>
      </c>
      <c r="K6" s="339">
        <v>3</v>
      </c>
      <c r="L6" s="339">
        <v>2980</v>
      </c>
      <c r="M6" s="339">
        <v>3</v>
      </c>
      <c r="N6" s="339">
        <v>93274</v>
      </c>
      <c r="O6" s="339">
        <v>1</v>
      </c>
      <c r="P6" s="339">
        <v>2</v>
      </c>
      <c r="Q6" s="339">
        <v>2</v>
      </c>
      <c r="R6" s="339">
        <v>1891</v>
      </c>
      <c r="S6" s="339">
        <v>1</v>
      </c>
      <c r="T6" s="339">
        <v>90</v>
      </c>
      <c r="U6" s="339">
        <v>0</v>
      </c>
      <c r="V6" s="339">
        <v>0</v>
      </c>
      <c r="W6" s="339">
        <v>2</v>
      </c>
      <c r="X6" s="339">
        <v>2091549</v>
      </c>
      <c r="Y6" s="339">
        <v>2</v>
      </c>
      <c r="Z6" s="339">
        <v>57610</v>
      </c>
      <c r="AA6" s="339">
        <v>1</v>
      </c>
      <c r="AB6" s="339">
        <v>47850</v>
      </c>
      <c r="AC6" s="339">
        <v>2</v>
      </c>
      <c r="AD6" s="347">
        <v>48248</v>
      </c>
    </row>
    <row r="7" spans="1:30">
      <c r="B7" s="336">
        <v>3</v>
      </c>
      <c r="C7" s="857" t="s">
        <v>945</v>
      </c>
      <c r="D7" s="858"/>
      <c r="E7" s="338">
        <f t="shared" si="0"/>
        <v>15</v>
      </c>
      <c r="F7" s="338">
        <f t="shared" si="1"/>
        <v>342386</v>
      </c>
      <c r="G7" s="339">
        <v>0</v>
      </c>
      <c r="H7" s="339">
        <v>0</v>
      </c>
      <c r="I7" s="339">
        <v>1</v>
      </c>
      <c r="J7" s="339">
        <v>25000</v>
      </c>
      <c r="K7" s="339">
        <v>2</v>
      </c>
      <c r="L7" s="339">
        <v>33588</v>
      </c>
      <c r="M7" s="339">
        <v>1</v>
      </c>
      <c r="N7" s="339">
        <v>33000</v>
      </c>
      <c r="O7" s="339">
        <v>1</v>
      </c>
      <c r="P7" s="339">
        <v>25000</v>
      </c>
      <c r="Q7" s="339">
        <v>2</v>
      </c>
      <c r="R7" s="339">
        <v>33689</v>
      </c>
      <c r="S7" s="339">
        <v>1</v>
      </c>
      <c r="T7" s="339">
        <v>33000</v>
      </c>
      <c r="U7" s="339">
        <v>1</v>
      </c>
      <c r="V7" s="339">
        <v>33000</v>
      </c>
      <c r="W7" s="339">
        <v>2</v>
      </c>
      <c r="X7" s="339">
        <v>38202</v>
      </c>
      <c r="Y7" s="339">
        <v>1</v>
      </c>
      <c r="Z7" s="339">
        <v>37000</v>
      </c>
      <c r="AA7" s="339">
        <v>1</v>
      </c>
      <c r="AB7" s="339">
        <v>25000</v>
      </c>
      <c r="AC7" s="339">
        <v>2</v>
      </c>
      <c r="AD7" s="347">
        <v>25907</v>
      </c>
    </row>
    <row r="8" spans="1:30">
      <c r="B8" s="336">
        <v>4</v>
      </c>
      <c r="C8" s="857" t="s">
        <v>946</v>
      </c>
      <c r="D8" s="858"/>
      <c r="E8" s="338">
        <f t="shared" si="0"/>
        <v>12</v>
      </c>
      <c r="F8" s="338">
        <f t="shared" si="1"/>
        <v>1521760</v>
      </c>
      <c r="G8" s="339">
        <v>0</v>
      </c>
      <c r="H8" s="339">
        <v>0</v>
      </c>
      <c r="I8" s="339">
        <v>3</v>
      </c>
      <c r="J8" s="339">
        <v>3947</v>
      </c>
      <c r="K8" s="339">
        <v>0</v>
      </c>
      <c r="L8" s="339">
        <v>0</v>
      </c>
      <c r="M8" s="339">
        <v>1</v>
      </c>
      <c r="N8" s="339">
        <v>2769</v>
      </c>
      <c r="O8" s="339">
        <v>0</v>
      </c>
      <c r="P8" s="339">
        <v>0</v>
      </c>
      <c r="Q8" s="339">
        <v>0</v>
      </c>
      <c r="R8" s="339">
        <v>0</v>
      </c>
      <c r="S8" s="339">
        <v>0</v>
      </c>
      <c r="T8" s="339">
        <v>0</v>
      </c>
      <c r="U8" s="339">
        <v>0</v>
      </c>
      <c r="V8" s="339">
        <v>0</v>
      </c>
      <c r="W8" s="339">
        <v>3</v>
      </c>
      <c r="X8" s="339">
        <v>552885</v>
      </c>
      <c r="Y8" s="339">
        <v>0</v>
      </c>
      <c r="Z8" s="339">
        <v>0</v>
      </c>
      <c r="AA8" s="339">
        <v>4</v>
      </c>
      <c r="AB8" s="339">
        <v>960294</v>
      </c>
      <c r="AC8" s="339">
        <v>1</v>
      </c>
      <c r="AD8" s="347">
        <v>1865</v>
      </c>
    </row>
    <row r="9" spans="1:30">
      <c r="B9" s="336">
        <v>1</v>
      </c>
      <c r="C9" s="857" t="s">
        <v>1230</v>
      </c>
      <c r="D9" s="858"/>
      <c r="E9" s="338">
        <f t="shared" si="0"/>
        <v>74</v>
      </c>
      <c r="F9" s="338">
        <f t="shared" si="1"/>
        <v>57606606</v>
      </c>
      <c r="G9" s="339">
        <v>1</v>
      </c>
      <c r="H9" s="339">
        <v>37</v>
      </c>
      <c r="I9" s="339">
        <v>6</v>
      </c>
      <c r="J9" s="339">
        <v>6011635</v>
      </c>
      <c r="K9" s="339">
        <v>5</v>
      </c>
      <c r="L9" s="339">
        <v>5723579</v>
      </c>
      <c r="M9" s="339">
        <v>3</v>
      </c>
      <c r="N9" s="339">
        <v>273482</v>
      </c>
      <c r="O9" s="339">
        <v>4</v>
      </c>
      <c r="P9" s="339">
        <v>1886820</v>
      </c>
      <c r="Q9" s="339">
        <v>7</v>
      </c>
      <c r="R9" s="339">
        <v>13932530</v>
      </c>
      <c r="S9" s="339">
        <v>3</v>
      </c>
      <c r="T9" s="339">
        <v>2220017</v>
      </c>
      <c r="U9" s="339">
        <v>2</v>
      </c>
      <c r="V9" s="339">
        <v>5935</v>
      </c>
      <c r="W9" s="339">
        <v>10</v>
      </c>
      <c r="X9" s="339">
        <v>15349756</v>
      </c>
      <c r="Y9" s="339">
        <v>12</v>
      </c>
      <c r="Z9" s="339">
        <v>4445776</v>
      </c>
      <c r="AA9" s="339">
        <v>6</v>
      </c>
      <c r="AB9" s="339">
        <v>735758</v>
      </c>
      <c r="AC9" s="339">
        <v>15</v>
      </c>
      <c r="AD9" s="347">
        <v>7021281</v>
      </c>
    </row>
    <row r="10" spans="1:30">
      <c r="B10" s="336">
        <v>2</v>
      </c>
      <c r="C10" s="857" t="s">
        <v>944</v>
      </c>
      <c r="D10" s="858"/>
      <c r="E10" s="338">
        <f t="shared" si="0"/>
        <v>18</v>
      </c>
      <c r="F10" s="338">
        <f t="shared" si="1"/>
        <v>2343564</v>
      </c>
      <c r="G10" s="339">
        <v>0</v>
      </c>
      <c r="H10" s="339">
        <v>0</v>
      </c>
      <c r="I10" s="339">
        <v>1</v>
      </c>
      <c r="J10" s="339">
        <v>70</v>
      </c>
      <c r="K10" s="339">
        <v>3</v>
      </c>
      <c r="L10" s="339">
        <v>2980</v>
      </c>
      <c r="M10" s="339">
        <v>3</v>
      </c>
      <c r="N10" s="339">
        <v>93274</v>
      </c>
      <c r="O10" s="339">
        <v>1</v>
      </c>
      <c r="P10" s="339">
        <v>2</v>
      </c>
      <c r="Q10" s="339">
        <v>2</v>
      </c>
      <c r="R10" s="339">
        <v>1891</v>
      </c>
      <c r="S10" s="339">
        <v>1</v>
      </c>
      <c r="T10" s="339">
        <v>90</v>
      </c>
      <c r="U10" s="339">
        <v>0</v>
      </c>
      <c r="V10" s="339">
        <v>0</v>
      </c>
      <c r="W10" s="339">
        <v>2</v>
      </c>
      <c r="X10" s="339">
        <v>2091549</v>
      </c>
      <c r="Y10" s="339">
        <v>2</v>
      </c>
      <c r="Z10" s="339">
        <v>57610</v>
      </c>
      <c r="AA10" s="339">
        <v>1</v>
      </c>
      <c r="AB10" s="339">
        <v>47850</v>
      </c>
      <c r="AC10" s="339">
        <v>2</v>
      </c>
      <c r="AD10" s="347">
        <v>48248</v>
      </c>
    </row>
    <row r="11" spans="1:30">
      <c r="B11" s="336">
        <v>3</v>
      </c>
      <c r="C11" s="857" t="s">
        <v>945</v>
      </c>
      <c r="D11" s="858"/>
      <c r="E11" s="338">
        <f t="shared" si="0"/>
        <v>15</v>
      </c>
      <c r="F11" s="338">
        <f t="shared" si="1"/>
        <v>342386</v>
      </c>
      <c r="G11" s="339">
        <v>0</v>
      </c>
      <c r="H11" s="339">
        <v>0</v>
      </c>
      <c r="I11" s="339">
        <v>1</v>
      </c>
      <c r="J11" s="339">
        <v>25000</v>
      </c>
      <c r="K11" s="339">
        <v>2</v>
      </c>
      <c r="L11" s="339">
        <v>33588</v>
      </c>
      <c r="M11" s="339">
        <v>1</v>
      </c>
      <c r="N11" s="339">
        <v>33000</v>
      </c>
      <c r="O11" s="339">
        <v>1</v>
      </c>
      <c r="P11" s="339">
        <v>25000</v>
      </c>
      <c r="Q11" s="339">
        <v>2</v>
      </c>
      <c r="R11" s="339">
        <v>33689</v>
      </c>
      <c r="S11" s="339">
        <v>1</v>
      </c>
      <c r="T11" s="339">
        <v>33000</v>
      </c>
      <c r="U11" s="339">
        <v>1</v>
      </c>
      <c r="V11" s="339">
        <v>33000</v>
      </c>
      <c r="W11" s="339">
        <v>2</v>
      </c>
      <c r="X11" s="339">
        <v>38202</v>
      </c>
      <c r="Y11" s="339">
        <v>1</v>
      </c>
      <c r="Z11" s="339">
        <v>37000</v>
      </c>
      <c r="AA11" s="339">
        <v>1</v>
      </c>
      <c r="AB11" s="339">
        <v>25000</v>
      </c>
      <c r="AC11" s="339">
        <v>2</v>
      </c>
      <c r="AD11" s="347">
        <v>25907</v>
      </c>
    </row>
    <row r="12" spans="1:30" ht="13.5" thickBot="1">
      <c r="B12" s="336"/>
      <c r="C12" s="857"/>
      <c r="D12" s="858"/>
      <c r="E12" s="338">
        <f t="shared" si="0"/>
        <v>0</v>
      </c>
      <c r="F12" s="338">
        <f t="shared" si="1"/>
        <v>0</v>
      </c>
      <c r="G12" s="339"/>
      <c r="H12" s="339"/>
      <c r="I12" s="339"/>
      <c r="J12" s="339"/>
      <c r="K12" s="339"/>
      <c r="L12" s="339"/>
      <c r="M12" s="339"/>
      <c r="N12" s="339"/>
      <c r="O12" s="339"/>
      <c r="P12" s="339"/>
      <c r="Q12" s="339"/>
      <c r="R12" s="339"/>
      <c r="S12" s="339"/>
      <c r="T12" s="339"/>
      <c r="U12" s="339"/>
      <c r="V12" s="339"/>
      <c r="W12" s="339"/>
      <c r="X12" s="339"/>
      <c r="Y12" s="339"/>
      <c r="Z12" s="339"/>
      <c r="AA12" s="339"/>
      <c r="AB12" s="339"/>
      <c r="AC12" s="339"/>
      <c r="AD12" s="347"/>
    </row>
    <row r="13" spans="1:30" ht="15.75" thickBot="1">
      <c r="B13" s="861" t="s">
        <v>145</v>
      </c>
      <c r="C13" s="862"/>
      <c r="D13" s="341">
        <f>SUBTOTAL(103,C$5:$C$12)</f>
        <v>7</v>
      </c>
      <c r="E13" s="343">
        <f>SUBTOTAL(109,E$5:$E$12)</f>
        <v>156</v>
      </c>
      <c r="F13" s="343">
        <f>SUBTOTAL(109,F$5:$F$12)</f>
        <v>65292266</v>
      </c>
      <c r="G13" s="343">
        <f>SUBTOTAL(103,G$5:$G$12)</f>
        <v>7</v>
      </c>
      <c r="H13" s="343">
        <f>SUBTOTAL(109,H$5:$H$12)</f>
        <v>37</v>
      </c>
      <c r="I13" s="343">
        <f>SUBTOTAL(103,I$5:$I$12)</f>
        <v>7</v>
      </c>
      <c r="J13" s="343">
        <f>SUBTOTAL(109,J$5:$J$12)</f>
        <v>6524722</v>
      </c>
      <c r="K13" s="343">
        <f>SUBTOTAL(103,K$5:$K$12)</f>
        <v>7</v>
      </c>
      <c r="L13" s="343">
        <f>SUBTOTAL(109,L$5:$L$12)</f>
        <v>5949715</v>
      </c>
      <c r="M13" s="343">
        <f>SUBTOTAL(103,M$5:$M$12)</f>
        <v>7</v>
      </c>
      <c r="N13" s="343">
        <f>SUBTOTAL(109,N$5:$N$12)</f>
        <v>708799</v>
      </c>
      <c r="O13" s="343">
        <f>SUBTOTAL(103,O$5:$O$12)</f>
        <v>7</v>
      </c>
      <c r="P13" s="343">
        <f>SUBTOTAL(109,P$5:$P$12)</f>
        <v>1936824</v>
      </c>
      <c r="Q13" s="343">
        <f>SUBTOTAL(103,Q$5:$Q$12)</f>
        <v>7</v>
      </c>
      <c r="R13" s="343">
        <f>SUBTOTAL(109,R$5:$R$12)</f>
        <v>14003690</v>
      </c>
      <c r="S13" s="343">
        <f>SUBTOTAL(103,S$5:$S$12)</f>
        <v>7</v>
      </c>
      <c r="T13" s="343">
        <f>SUBTOTAL(109,T$5:$T$12)</f>
        <v>2286197</v>
      </c>
      <c r="U13" s="343">
        <f>SUBTOTAL(103,U$5:$U$12)</f>
        <v>7</v>
      </c>
      <c r="V13" s="343">
        <f>SUBTOTAL(109,V$5:$V$12)</f>
        <v>71935</v>
      </c>
      <c r="W13" s="343">
        <f>SUBTOTAL(103,W$5:$W$12)</f>
        <v>7</v>
      </c>
      <c r="X13" s="343">
        <f>SUBTOTAL(109,X$5:$X$12)</f>
        <v>20162143</v>
      </c>
      <c r="Y13" s="343">
        <f>SUBTOTAL(103,Y$5:$Y$12)</f>
        <v>7</v>
      </c>
      <c r="Z13" s="343">
        <f>SUBTOTAL(109,Z$5:$Z$12)</f>
        <v>4634996</v>
      </c>
      <c r="AA13" s="343">
        <f>SUBTOTAL(103,AA$5:$AA$12)</f>
        <v>7</v>
      </c>
      <c r="AB13" s="343">
        <f>SUBTOTAL(109,AB$5:$AB$12)</f>
        <v>1841752</v>
      </c>
      <c r="AC13" s="343">
        <f>SUBTOTAL(103,AC$5:$AC$12)</f>
        <v>7</v>
      </c>
      <c r="AD13" s="344">
        <f>SUBTOTAL(109,AD$5:$AD$12)</f>
        <v>7171456</v>
      </c>
    </row>
    <row r="14" spans="1:30" ht="13.5" thickBot="1"/>
    <row r="15" spans="1:30" s="369" customFormat="1" ht="18" thickBot="1">
      <c r="A15" s="368">
        <v>2</v>
      </c>
      <c r="B15" s="836" t="s">
        <v>1027</v>
      </c>
      <c r="C15" s="863"/>
      <c r="D15" s="863"/>
      <c r="E15" s="863"/>
      <c r="F15" s="863"/>
      <c r="G15" s="863"/>
      <c r="H15" s="879"/>
    </row>
    <row r="16" spans="1:30" ht="30">
      <c r="B16" s="353" t="s">
        <v>984</v>
      </c>
      <c r="C16" s="354" t="s">
        <v>638</v>
      </c>
      <c r="D16" s="355" t="s">
        <v>1028</v>
      </c>
      <c r="E16" s="355" t="s">
        <v>986</v>
      </c>
      <c r="F16" s="356" t="s">
        <v>987</v>
      </c>
      <c r="G16" s="886" t="s">
        <v>988</v>
      </c>
      <c r="H16" s="887"/>
    </row>
    <row r="17" spans="2:8">
      <c r="B17" s="358">
        <v>1</v>
      </c>
      <c r="C17" s="359">
        <v>44481</v>
      </c>
      <c r="D17" s="360" t="s">
        <v>1029</v>
      </c>
      <c r="E17" s="361">
        <v>306000</v>
      </c>
      <c r="F17" s="361" t="s">
        <v>1030</v>
      </c>
      <c r="G17" s="372" t="s">
        <v>943</v>
      </c>
      <c r="H17" s="373"/>
    </row>
    <row r="18" spans="2:8">
      <c r="B18" s="358">
        <v>2</v>
      </c>
      <c r="C18" s="359">
        <v>44424</v>
      </c>
      <c r="D18" s="360" t="s">
        <v>1031</v>
      </c>
      <c r="E18" s="361">
        <v>180000</v>
      </c>
      <c r="F18" s="361" t="s">
        <v>1030</v>
      </c>
      <c r="G18" s="372" t="s">
        <v>943</v>
      </c>
      <c r="H18" s="373"/>
    </row>
    <row r="19" spans="2:8">
      <c r="B19" s="358">
        <v>3</v>
      </c>
      <c r="C19" s="359">
        <v>44452</v>
      </c>
      <c r="D19" s="360" t="s">
        <v>1032</v>
      </c>
      <c r="E19" s="361">
        <v>153000</v>
      </c>
      <c r="F19" s="361" t="s">
        <v>1030</v>
      </c>
      <c r="G19" s="372" t="s">
        <v>943</v>
      </c>
      <c r="H19" s="373"/>
    </row>
    <row r="20" spans="2:8">
      <c r="B20" s="358">
        <v>4</v>
      </c>
      <c r="C20" s="359">
        <v>44481</v>
      </c>
      <c r="D20" s="360" t="s">
        <v>1033</v>
      </c>
      <c r="E20" s="361">
        <v>153000</v>
      </c>
      <c r="F20" s="361" t="s">
        <v>1030</v>
      </c>
      <c r="G20" s="372" t="s">
        <v>943</v>
      </c>
      <c r="H20" s="373"/>
    </row>
    <row r="21" spans="2:8">
      <c r="B21" s="358">
        <v>5</v>
      </c>
      <c r="C21" s="359">
        <v>44280</v>
      </c>
      <c r="D21" s="360" t="s">
        <v>1034</v>
      </c>
      <c r="E21" s="361">
        <v>2090400</v>
      </c>
      <c r="F21" s="361" t="s">
        <v>1021</v>
      </c>
      <c r="G21" s="372" t="s">
        <v>944</v>
      </c>
      <c r="H21" s="373"/>
    </row>
    <row r="22" spans="2:8">
      <c r="B22" s="358">
        <v>6</v>
      </c>
      <c r="C22" s="359">
        <v>44284</v>
      </c>
      <c r="D22" s="360" t="s">
        <v>1035</v>
      </c>
      <c r="E22" s="361">
        <v>1000000</v>
      </c>
      <c r="F22" s="361" t="s">
        <v>1008</v>
      </c>
      <c r="G22" s="372" t="s">
        <v>944</v>
      </c>
      <c r="H22" s="373"/>
    </row>
    <row r="23" spans="2:8">
      <c r="B23" s="358">
        <v>7</v>
      </c>
      <c r="C23" s="359">
        <v>44407</v>
      </c>
      <c r="D23" s="360" t="s">
        <v>1036</v>
      </c>
      <c r="E23" s="361">
        <v>1000000</v>
      </c>
      <c r="F23" s="361" t="s">
        <v>1008</v>
      </c>
      <c r="G23" s="372" t="s">
        <v>944</v>
      </c>
      <c r="H23" s="373"/>
    </row>
    <row r="24" spans="2:8">
      <c r="B24" s="358">
        <v>8</v>
      </c>
      <c r="C24" s="359">
        <v>44431</v>
      </c>
      <c r="D24" s="360" t="s">
        <v>1037</v>
      </c>
      <c r="E24" s="361">
        <v>1000000</v>
      </c>
      <c r="F24" s="361" t="s">
        <v>1008</v>
      </c>
      <c r="G24" s="372" t="s">
        <v>944</v>
      </c>
      <c r="H24" s="373"/>
    </row>
    <row r="25" spans="2:8">
      <c r="B25" s="358">
        <v>9</v>
      </c>
      <c r="C25" s="359">
        <v>44320</v>
      </c>
      <c r="D25" s="360" t="s">
        <v>1038</v>
      </c>
      <c r="E25" s="361">
        <v>201050</v>
      </c>
      <c r="F25" s="361" t="s">
        <v>1008</v>
      </c>
      <c r="G25" s="372" t="s">
        <v>944</v>
      </c>
      <c r="H25" s="373"/>
    </row>
    <row r="26" spans="2:8">
      <c r="B26" s="358">
        <v>10</v>
      </c>
      <c r="C26" s="359">
        <v>44248</v>
      </c>
      <c r="D26" s="360" t="s">
        <v>1039</v>
      </c>
      <c r="E26" s="361">
        <v>37000</v>
      </c>
      <c r="F26" s="361" t="s">
        <v>1030</v>
      </c>
      <c r="G26" s="372" t="s">
        <v>945</v>
      </c>
      <c r="H26" s="373"/>
    </row>
    <row r="27" spans="2:8">
      <c r="B27" s="358">
        <v>11</v>
      </c>
      <c r="C27" s="359">
        <v>44262</v>
      </c>
      <c r="D27" s="360" t="s">
        <v>1040</v>
      </c>
      <c r="E27" s="361">
        <v>37000</v>
      </c>
      <c r="F27" s="361" t="s">
        <v>1030</v>
      </c>
      <c r="G27" s="372" t="s">
        <v>945</v>
      </c>
      <c r="H27" s="373"/>
    </row>
    <row r="28" spans="2:8">
      <c r="B28" s="358">
        <v>12</v>
      </c>
      <c r="C28" s="359">
        <v>44291</v>
      </c>
      <c r="D28" s="360" t="s">
        <v>1041</v>
      </c>
      <c r="E28" s="361">
        <v>33000</v>
      </c>
      <c r="F28" s="361" t="s">
        <v>1030</v>
      </c>
      <c r="G28" s="372" t="s">
        <v>945</v>
      </c>
      <c r="H28" s="373"/>
    </row>
    <row r="29" spans="2:8">
      <c r="B29" s="358">
        <v>13</v>
      </c>
      <c r="C29" s="359">
        <v>44321</v>
      </c>
      <c r="D29" s="360" t="s">
        <v>1042</v>
      </c>
      <c r="E29" s="361">
        <v>33000</v>
      </c>
      <c r="F29" s="361" t="s">
        <v>1030</v>
      </c>
      <c r="G29" s="372" t="s">
        <v>945</v>
      </c>
      <c r="H29" s="373"/>
    </row>
    <row r="30" spans="2:8">
      <c r="B30" s="358">
        <v>14</v>
      </c>
      <c r="C30" s="359">
        <v>44352</v>
      </c>
      <c r="D30" s="360" t="s">
        <v>1043</v>
      </c>
      <c r="E30" s="361">
        <v>33000</v>
      </c>
      <c r="F30" s="361" t="s">
        <v>1030</v>
      </c>
      <c r="G30" s="372" t="s">
        <v>945</v>
      </c>
      <c r="H30" s="373"/>
    </row>
    <row r="31" spans="2:8">
      <c r="B31" s="358">
        <v>15</v>
      </c>
      <c r="C31" s="359">
        <v>44422</v>
      </c>
      <c r="D31" s="360" t="s">
        <v>1044</v>
      </c>
      <c r="E31" s="361">
        <v>650000</v>
      </c>
      <c r="F31" s="361" t="s">
        <v>1008</v>
      </c>
      <c r="G31" s="372" t="s">
        <v>946</v>
      </c>
      <c r="H31" s="373"/>
    </row>
    <row r="32" spans="2:8">
      <c r="B32" s="358">
        <v>16</v>
      </c>
      <c r="C32" s="359">
        <v>44216</v>
      </c>
      <c r="D32" s="360" t="s">
        <v>1045</v>
      </c>
      <c r="E32" s="361">
        <v>500000</v>
      </c>
      <c r="F32" s="361" t="s">
        <v>1030</v>
      </c>
      <c r="G32" s="372" t="s">
        <v>946</v>
      </c>
      <c r="H32" s="373"/>
    </row>
    <row r="33" spans="2:8">
      <c r="B33" s="358">
        <v>17</v>
      </c>
      <c r="C33" s="359">
        <v>44285</v>
      </c>
      <c r="D33" s="360" t="s">
        <v>1046</v>
      </c>
      <c r="E33" s="361">
        <v>450000</v>
      </c>
      <c r="F33" s="361" t="s">
        <v>1030</v>
      </c>
      <c r="G33" s="372" t="s">
        <v>946</v>
      </c>
      <c r="H33" s="373"/>
    </row>
    <row r="34" spans="2:8">
      <c r="B34" s="358">
        <v>18</v>
      </c>
      <c r="C34" s="359">
        <v>44146</v>
      </c>
      <c r="D34" s="360" t="s">
        <v>1047</v>
      </c>
      <c r="E34" s="361">
        <v>250000</v>
      </c>
      <c r="F34" s="361" t="s">
        <v>1021</v>
      </c>
      <c r="G34" s="372" t="s">
        <v>946</v>
      </c>
      <c r="H34" s="373"/>
    </row>
    <row r="35" spans="2:8">
      <c r="B35" s="358">
        <v>19</v>
      </c>
      <c r="C35" s="359">
        <v>44202</v>
      </c>
      <c r="D35" s="360" t="s">
        <v>1048</v>
      </c>
      <c r="E35" s="361">
        <v>200000</v>
      </c>
      <c r="F35" s="361" t="s">
        <v>1021</v>
      </c>
      <c r="G35" s="372" t="s">
        <v>946</v>
      </c>
      <c r="H35" s="373"/>
    </row>
    <row r="36" spans="2:8">
      <c r="B36" s="358">
        <v>20</v>
      </c>
      <c r="C36" s="359">
        <v>44375</v>
      </c>
      <c r="D36" s="360" t="s">
        <v>1241</v>
      </c>
      <c r="E36" s="361">
        <v>7983786.5</v>
      </c>
      <c r="F36" s="361" t="s">
        <v>1242</v>
      </c>
      <c r="G36" s="372" t="s">
        <v>1230</v>
      </c>
      <c r="H36" s="373"/>
    </row>
    <row r="37" spans="2:8">
      <c r="B37" s="358">
        <v>21</v>
      </c>
      <c r="C37" s="359">
        <v>44277</v>
      </c>
      <c r="D37" s="360" t="s">
        <v>1243</v>
      </c>
      <c r="E37" s="361">
        <v>5547897.75</v>
      </c>
      <c r="F37" s="361" t="s">
        <v>1242</v>
      </c>
      <c r="G37" s="372" t="s">
        <v>1230</v>
      </c>
      <c r="H37" s="373"/>
    </row>
    <row r="38" spans="2:8">
      <c r="B38" s="358">
        <v>22</v>
      </c>
      <c r="C38" s="359">
        <v>44189</v>
      </c>
      <c r="D38" s="360" t="s">
        <v>1244</v>
      </c>
      <c r="E38" s="361">
        <v>5377458.0499999998</v>
      </c>
      <c r="F38" s="361" t="s">
        <v>1242</v>
      </c>
      <c r="G38" s="372" t="s">
        <v>1230</v>
      </c>
      <c r="H38" s="373"/>
    </row>
    <row r="39" spans="2:8">
      <c r="B39" s="358">
        <v>23</v>
      </c>
      <c r="C39" s="359">
        <v>44273</v>
      </c>
      <c r="D39" s="360" t="s">
        <v>1245</v>
      </c>
      <c r="E39" s="361">
        <v>4388428.07</v>
      </c>
      <c r="F39" s="361" t="s">
        <v>1242</v>
      </c>
      <c r="G39" s="372" t="s">
        <v>1230</v>
      </c>
      <c r="H39" s="373"/>
    </row>
    <row r="40" spans="2:8">
      <c r="B40" s="358">
        <v>24</v>
      </c>
      <c r="C40" s="359">
        <v>44497</v>
      </c>
      <c r="D40" s="360" t="s">
        <v>1246</v>
      </c>
      <c r="E40" s="361">
        <v>3713335.5</v>
      </c>
      <c r="F40" s="361" t="s">
        <v>1242</v>
      </c>
      <c r="G40" s="372" t="s">
        <v>1230</v>
      </c>
      <c r="H40" s="373"/>
    </row>
    <row r="41" spans="2:8">
      <c r="B41" s="358">
        <v>25</v>
      </c>
      <c r="C41" s="359">
        <v>44280</v>
      </c>
      <c r="D41" s="360" t="s">
        <v>1034</v>
      </c>
      <c r="E41" s="361">
        <v>2090400</v>
      </c>
      <c r="F41" s="361" t="s">
        <v>1021</v>
      </c>
      <c r="G41" s="372" t="s">
        <v>944</v>
      </c>
      <c r="H41" s="373"/>
    </row>
    <row r="42" spans="2:8">
      <c r="B42" s="358">
        <v>26</v>
      </c>
      <c r="C42" s="359">
        <v>44284</v>
      </c>
      <c r="D42" s="360" t="s">
        <v>1035</v>
      </c>
      <c r="E42" s="361">
        <v>1000000</v>
      </c>
      <c r="F42" s="361" t="s">
        <v>1008</v>
      </c>
      <c r="G42" s="372" t="s">
        <v>944</v>
      </c>
      <c r="H42" s="373"/>
    </row>
    <row r="43" spans="2:8">
      <c r="B43" s="358">
        <v>27</v>
      </c>
      <c r="C43" s="359">
        <v>44407</v>
      </c>
      <c r="D43" s="360" t="s">
        <v>1036</v>
      </c>
      <c r="E43" s="361">
        <v>1000000</v>
      </c>
      <c r="F43" s="361" t="s">
        <v>1008</v>
      </c>
      <c r="G43" s="372" t="s">
        <v>944</v>
      </c>
      <c r="H43" s="373"/>
    </row>
    <row r="44" spans="2:8">
      <c r="B44" s="358">
        <v>28</v>
      </c>
      <c r="C44" s="359">
        <v>44431</v>
      </c>
      <c r="D44" s="360" t="s">
        <v>1037</v>
      </c>
      <c r="E44" s="361">
        <v>1000000</v>
      </c>
      <c r="F44" s="361" t="s">
        <v>1008</v>
      </c>
      <c r="G44" s="372" t="s">
        <v>944</v>
      </c>
      <c r="H44" s="373"/>
    </row>
    <row r="45" spans="2:8">
      <c r="B45" s="358">
        <v>29</v>
      </c>
      <c r="C45" s="359">
        <v>44320</v>
      </c>
      <c r="D45" s="360" t="s">
        <v>1038</v>
      </c>
      <c r="E45" s="361">
        <v>201050</v>
      </c>
      <c r="F45" s="361" t="s">
        <v>1008</v>
      </c>
      <c r="G45" s="372" t="s">
        <v>944</v>
      </c>
      <c r="H45" s="373"/>
    </row>
    <row r="46" spans="2:8">
      <c r="B46" s="358">
        <v>30</v>
      </c>
      <c r="C46" s="359">
        <v>44248</v>
      </c>
      <c r="D46" s="360" t="s">
        <v>1039</v>
      </c>
      <c r="E46" s="361">
        <v>37000</v>
      </c>
      <c r="F46" s="361" t="s">
        <v>1030</v>
      </c>
      <c r="G46" s="372" t="s">
        <v>945</v>
      </c>
      <c r="H46" s="373"/>
    </row>
    <row r="47" spans="2:8">
      <c r="B47" s="358">
        <v>31</v>
      </c>
      <c r="C47" s="359">
        <v>44262</v>
      </c>
      <c r="D47" s="360" t="s">
        <v>1040</v>
      </c>
      <c r="E47" s="361">
        <v>37000</v>
      </c>
      <c r="F47" s="361" t="s">
        <v>1030</v>
      </c>
      <c r="G47" s="372" t="s">
        <v>945</v>
      </c>
      <c r="H47" s="373"/>
    </row>
    <row r="48" spans="2:8">
      <c r="B48" s="358">
        <v>32</v>
      </c>
      <c r="C48" s="359">
        <v>44291</v>
      </c>
      <c r="D48" s="360" t="s">
        <v>1041</v>
      </c>
      <c r="E48" s="361">
        <v>33000</v>
      </c>
      <c r="F48" s="361" t="s">
        <v>1030</v>
      </c>
      <c r="G48" s="372" t="s">
        <v>945</v>
      </c>
      <c r="H48" s="373"/>
    </row>
    <row r="49" spans="2:8">
      <c r="B49" s="358">
        <v>33</v>
      </c>
      <c r="C49" s="359">
        <v>44321</v>
      </c>
      <c r="D49" s="360" t="s">
        <v>1042</v>
      </c>
      <c r="E49" s="361">
        <v>33000</v>
      </c>
      <c r="F49" s="361" t="s">
        <v>1030</v>
      </c>
      <c r="G49" s="372" t="s">
        <v>945</v>
      </c>
      <c r="H49" s="373"/>
    </row>
    <row r="50" spans="2:8">
      <c r="B50" s="358">
        <v>34</v>
      </c>
      <c r="C50" s="359">
        <v>44352</v>
      </c>
      <c r="D50" s="360" t="s">
        <v>1043</v>
      </c>
      <c r="E50" s="361">
        <v>33000</v>
      </c>
      <c r="F50" s="361" t="s">
        <v>1030</v>
      </c>
      <c r="G50" s="372" t="s">
        <v>945</v>
      </c>
      <c r="H50" s="373"/>
    </row>
    <row r="51" spans="2:8">
      <c r="B51" s="358"/>
      <c r="C51" s="359"/>
      <c r="D51" s="360"/>
      <c r="E51" s="361"/>
      <c r="F51" s="361"/>
      <c r="G51" s="372"/>
      <c r="H51" s="373"/>
    </row>
    <row r="52" spans="2:8" ht="13.5" thickBot="1">
      <c r="B52" s="348"/>
      <c r="C52" s="363"/>
      <c r="D52" s="363"/>
      <c r="E52" s="364"/>
      <c r="F52" s="364"/>
      <c r="G52" s="888"/>
      <c r="H52" s="889"/>
    </row>
  </sheetData>
  <mergeCells count="28">
    <mergeCell ref="B15:H15"/>
    <mergeCell ref="G16:H16"/>
    <mergeCell ref="G52:H52"/>
    <mergeCell ref="C5:D5"/>
    <mergeCell ref="C6:D6"/>
    <mergeCell ref="C7:D7"/>
    <mergeCell ref="C8:D8"/>
    <mergeCell ref="C12:D12"/>
    <mergeCell ref="B13:C13"/>
    <mergeCell ref="C9:D9"/>
    <mergeCell ref="C10:D10"/>
    <mergeCell ref="C11:D11"/>
    <mergeCell ref="AC3:AD3"/>
    <mergeCell ref="B2:AD2"/>
    <mergeCell ref="B3:B4"/>
    <mergeCell ref="C3:D4"/>
    <mergeCell ref="E3:F3"/>
    <mergeCell ref="G3:H3"/>
    <mergeCell ref="I3:J3"/>
    <mergeCell ref="K3:L3"/>
    <mergeCell ref="M3:N3"/>
    <mergeCell ref="O3:P3"/>
    <mergeCell ref="Q3:R3"/>
    <mergeCell ref="S3:T3"/>
    <mergeCell ref="U3:V3"/>
    <mergeCell ref="W3:X3"/>
    <mergeCell ref="Y3:Z3"/>
    <mergeCell ref="AA3:AB3"/>
  </mergeCells>
  <dataValidations count="1">
    <dataValidation type="list" allowBlank="1" showInputMessage="1" showErrorMessage="1" sqref="IA65579:IA65580 RW65579:RW65580 ABS65579:ABS65580 ALO65579:ALO65580 AVK65579:AVK65580 BFG65579:BFG65580 BPC65579:BPC65580 BYY65579:BYY65580 CIU65579:CIU65580 CSQ65579:CSQ65580 DCM65579:DCM65580 DMI65579:DMI65580 DWE65579:DWE65580 EGA65579:EGA65580 EPW65579:EPW65580 EZS65579:EZS65580 FJO65579:FJO65580 FTK65579:FTK65580 GDG65579:GDG65580 GNC65579:GNC65580 GWY65579:GWY65580 HGU65579:HGU65580 HQQ65579:HQQ65580 IAM65579:IAM65580 IKI65579:IKI65580 IUE65579:IUE65580 JEA65579:JEA65580 JNW65579:JNW65580 JXS65579:JXS65580 KHO65579:KHO65580 KRK65579:KRK65580 LBG65579:LBG65580 LLC65579:LLC65580 LUY65579:LUY65580 MEU65579:MEU65580 MOQ65579:MOQ65580 MYM65579:MYM65580 NII65579:NII65580 NSE65579:NSE65580 OCA65579:OCA65580 OLW65579:OLW65580 OVS65579:OVS65580 PFO65579:PFO65580 PPK65579:PPK65580 PZG65579:PZG65580 QJC65579:QJC65580 QSY65579:QSY65580 RCU65579:RCU65580 RMQ65579:RMQ65580 RWM65579:RWM65580 SGI65579:SGI65580 SQE65579:SQE65580 TAA65579:TAA65580 TJW65579:TJW65580 TTS65579:TTS65580 UDO65579:UDO65580 UNK65579:UNK65580 UXG65579:UXG65580 VHC65579:VHC65580 VQY65579:VQY65580 WAU65579:WAU65580 WKQ65579:WKQ65580 WUM65579:WUM65580 IA131115:IA131116 RW131115:RW131116 ABS131115:ABS131116 ALO131115:ALO131116 AVK131115:AVK131116 BFG131115:BFG131116 BPC131115:BPC131116 BYY131115:BYY131116 CIU131115:CIU131116 CSQ131115:CSQ131116 DCM131115:DCM131116 DMI131115:DMI131116 DWE131115:DWE131116 EGA131115:EGA131116 EPW131115:EPW131116 EZS131115:EZS131116 FJO131115:FJO131116 FTK131115:FTK131116 GDG131115:GDG131116 GNC131115:GNC131116 GWY131115:GWY131116 HGU131115:HGU131116 HQQ131115:HQQ131116 IAM131115:IAM131116 IKI131115:IKI131116 IUE131115:IUE131116 JEA131115:JEA131116 JNW131115:JNW131116 JXS131115:JXS131116 KHO131115:KHO131116 KRK131115:KRK131116 LBG131115:LBG131116 LLC131115:LLC131116 LUY131115:LUY131116 MEU131115:MEU131116 MOQ131115:MOQ131116 MYM131115:MYM131116 NII131115:NII131116 NSE131115:NSE131116 OCA131115:OCA131116 OLW131115:OLW131116 OVS131115:OVS131116 PFO131115:PFO131116 PPK131115:PPK131116 PZG131115:PZG131116 QJC131115:QJC131116 QSY131115:QSY131116 RCU131115:RCU131116 RMQ131115:RMQ131116 RWM131115:RWM131116 SGI131115:SGI131116 SQE131115:SQE131116 TAA131115:TAA131116 TJW131115:TJW131116 TTS131115:TTS131116 UDO131115:UDO131116 UNK131115:UNK131116 UXG131115:UXG131116 VHC131115:VHC131116 VQY131115:VQY131116 WAU131115:WAU131116 WKQ131115:WKQ131116 WUM131115:WUM131116 IA196651:IA196652 RW196651:RW196652 ABS196651:ABS196652 ALO196651:ALO196652 AVK196651:AVK196652 BFG196651:BFG196652 BPC196651:BPC196652 BYY196651:BYY196652 CIU196651:CIU196652 CSQ196651:CSQ196652 DCM196651:DCM196652 DMI196651:DMI196652 DWE196651:DWE196652 EGA196651:EGA196652 EPW196651:EPW196652 EZS196651:EZS196652 FJO196651:FJO196652 FTK196651:FTK196652 GDG196651:GDG196652 GNC196651:GNC196652 GWY196651:GWY196652 HGU196651:HGU196652 HQQ196651:HQQ196652 IAM196651:IAM196652 IKI196651:IKI196652 IUE196651:IUE196652 JEA196651:JEA196652 JNW196651:JNW196652 JXS196651:JXS196652 KHO196651:KHO196652 KRK196651:KRK196652 LBG196651:LBG196652 LLC196651:LLC196652 LUY196651:LUY196652 MEU196651:MEU196652 MOQ196651:MOQ196652 MYM196651:MYM196652 NII196651:NII196652 NSE196651:NSE196652 OCA196651:OCA196652 OLW196651:OLW196652 OVS196651:OVS196652 PFO196651:PFO196652 PPK196651:PPK196652 PZG196651:PZG196652 QJC196651:QJC196652 QSY196651:QSY196652 RCU196651:RCU196652 RMQ196651:RMQ196652 RWM196651:RWM196652 SGI196651:SGI196652 SQE196651:SQE196652 TAA196651:TAA196652 TJW196651:TJW196652 TTS196651:TTS196652 UDO196651:UDO196652 UNK196651:UNK196652 UXG196651:UXG196652 VHC196651:VHC196652 VQY196651:VQY196652 WAU196651:WAU196652 WKQ196651:WKQ196652 WUM196651:WUM196652 IA262187:IA262188 RW262187:RW262188 ABS262187:ABS262188 ALO262187:ALO262188 AVK262187:AVK262188 BFG262187:BFG262188 BPC262187:BPC262188 BYY262187:BYY262188 CIU262187:CIU262188 CSQ262187:CSQ262188 DCM262187:DCM262188 DMI262187:DMI262188 DWE262187:DWE262188 EGA262187:EGA262188 EPW262187:EPW262188 EZS262187:EZS262188 FJO262187:FJO262188 FTK262187:FTK262188 GDG262187:GDG262188 GNC262187:GNC262188 GWY262187:GWY262188 HGU262187:HGU262188 HQQ262187:HQQ262188 IAM262187:IAM262188 IKI262187:IKI262188 IUE262187:IUE262188 JEA262187:JEA262188 JNW262187:JNW262188 JXS262187:JXS262188 KHO262187:KHO262188 KRK262187:KRK262188 LBG262187:LBG262188 LLC262187:LLC262188 LUY262187:LUY262188 MEU262187:MEU262188 MOQ262187:MOQ262188 MYM262187:MYM262188 NII262187:NII262188 NSE262187:NSE262188 OCA262187:OCA262188 OLW262187:OLW262188 OVS262187:OVS262188 PFO262187:PFO262188 PPK262187:PPK262188 PZG262187:PZG262188 QJC262187:QJC262188 QSY262187:QSY262188 RCU262187:RCU262188 RMQ262187:RMQ262188 RWM262187:RWM262188 SGI262187:SGI262188 SQE262187:SQE262188 TAA262187:TAA262188 TJW262187:TJW262188 TTS262187:TTS262188 UDO262187:UDO262188 UNK262187:UNK262188 UXG262187:UXG262188 VHC262187:VHC262188 VQY262187:VQY262188 WAU262187:WAU262188 WKQ262187:WKQ262188 WUM262187:WUM262188 IA327723:IA327724 RW327723:RW327724 ABS327723:ABS327724 ALO327723:ALO327724 AVK327723:AVK327724 BFG327723:BFG327724 BPC327723:BPC327724 BYY327723:BYY327724 CIU327723:CIU327724 CSQ327723:CSQ327724 DCM327723:DCM327724 DMI327723:DMI327724 DWE327723:DWE327724 EGA327723:EGA327724 EPW327723:EPW327724 EZS327723:EZS327724 FJO327723:FJO327724 FTK327723:FTK327724 GDG327723:GDG327724 GNC327723:GNC327724 GWY327723:GWY327724 HGU327723:HGU327724 HQQ327723:HQQ327724 IAM327723:IAM327724 IKI327723:IKI327724 IUE327723:IUE327724 JEA327723:JEA327724 JNW327723:JNW327724 JXS327723:JXS327724 KHO327723:KHO327724 KRK327723:KRK327724 LBG327723:LBG327724 LLC327723:LLC327724 LUY327723:LUY327724 MEU327723:MEU327724 MOQ327723:MOQ327724 MYM327723:MYM327724 NII327723:NII327724 NSE327723:NSE327724 OCA327723:OCA327724 OLW327723:OLW327724 OVS327723:OVS327724 PFO327723:PFO327724 PPK327723:PPK327724 PZG327723:PZG327724 QJC327723:QJC327724 QSY327723:QSY327724 RCU327723:RCU327724 RMQ327723:RMQ327724 RWM327723:RWM327724 SGI327723:SGI327724 SQE327723:SQE327724 TAA327723:TAA327724 TJW327723:TJW327724 TTS327723:TTS327724 UDO327723:UDO327724 UNK327723:UNK327724 UXG327723:UXG327724 VHC327723:VHC327724 VQY327723:VQY327724 WAU327723:WAU327724 WKQ327723:WKQ327724 WUM327723:WUM327724 IA393259:IA393260 RW393259:RW393260 ABS393259:ABS393260 ALO393259:ALO393260 AVK393259:AVK393260 BFG393259:BFG393260 BPC393259:BPC393260 BYY393259:BYY393260 CIU393259:CIU393260 CSQ393259:CSQ393260 DCM393259:DCM393260 DMI393259:DMI393260 DWE393259:DWE393260 EGA393259:EGA393260 EPW393259:EPW393260 EZS393259:EZS393260 FJO393259:FJO393260 FTK393259:FTK393260 GDG393259:GDG393260 GNC393259:GNC393260 GWY393259:GWY393260 HGU393259:HGU393260 HQQ393259:HQQ393260 IAM393259:IAM393260 IKI393259:IKI393260 IUE393259:IUE393260 JEA393259:JEA393260 JNW393259:JNW393260 JXS393259:JXS393260 KHO393259:KHO393260 KRK393259:KRK393260 LBG393259:LBG393260 LLC393259:LLC393260 LUY393259:LUY393260 MEU393259:MEU393260 MOQ393259:MOQ393260 MYM393259:MYM393260 NII393259:NII393260 NSE393259:NSE393260 OCA393259:OCA393260 OLW393259:OLW393260 OVS393259:OVS393260 PFO393259:PFO393260 PPK393259:PPK393260 PZG393259:PZG393260 QJC393259:QJC393260 QSY393259:QSY393260 RCU393259:RCU393260 RMQ393259:RMQ393260 RWM393259:RWM393260 SGI393259:SGI393260 SQE393259:SQE393260 TAA393259:TAA393260 TJW393259:TJW393260 TTS393259:TTS393260 UDO393259:UDO393260 UNK393259:UNK393260 UXG393259:UXG393260 VHC393259:VHC393260 VQY393259:VQY393260 WAU393259:WAU393260 WKQ393259:WKQ393260 WUM393259:WUM393260 IA458795:IA458796 RW458795:RW458796 ABS458795:ABS458796 ALO458795:ALO458796 AVK458795:AVK458796 BFG458795:BFG458796 BPC458795:BPC458796 BYY458795:BYY458796 CIU458795:CIU458796 CSQ458795:CSQ458796 DCM458795:DCM458796 DMI458795:DMI458796 DWE458795:DWE458796 EGA458795:EGA458796 EPW458795:EPW458796 EZS458795:EZS458796 FJO458795:FJO458796 FTK458795:FTK458796 GDG458795:GDG458796 GNC458795:GNC458796 GWY458795:GWY458796 HGU458795:HGU458796 HQQ458795:HQQ458796 IAM458795:IAM458796 IKI458795:IKI458796 IUE458795:IUE458796 JEA458795:JEA458796 JNW458795:JNW458796 JXS458795:JXS458796 KHO458795:KHO458796 KRK458795:KRK458796 LBG458795:LBG458796 LLC458795:LLC458796 LUY458795:LUY458796 MEU458795:MEU458796 MOQ458795:MOQ458796 MYM458795:MYM458796 NII458795:NII458796 NSE458795:NSE458796 OCA458795:OCA458796 OLW458795:OLW458796 OVS458795:OVS458796 PFO458795:PFO458796 PPK458795:PPK458796 PZG458795:PZG458796 QJC458795:QJC458796 QSY458795:QSY458796 RCU458795:RCU458796 RMQ458795:RMQ458796 RWM458795:RWM458796 SGI458795:SGI458796 SQE458795:SQE458796 TAA458795:TAA458796 TJW458795:TJW458796 TTS458795:TTS458796 UDO458795:UDO458796 UNK458795:UNK458796 UXG458795:UXG458796 VHC458795:VHC458796 VQY458795:VQY458796 WAU458795:WAU458796 WKQ458795:WKQ458796 WUM458795:WUM458796 IA524331:IA524332 RW524331:RW524332 ABS524331:ABS524332 ALO524331:ALO524332 AVK524331:AVK524332 BFG524331:BFG524332 BPC524331:BPC524332 BYY524331:BYY524332 CIU524331:CIU524332 CSQ524331:CSQ524332 DCM524331:DCM524332 DMI524331:DMI524332 DWE524331:DWE524332 EGA524331:EGA524332 EPW524331:EPW524332 EZS524331:EZS524332 FJO524331:FJO524332 FTK524331:FTK524332 GDG524331:GDG524332 GNC524331:GNC524332 GWY524331:GWY524332 HGU524331:HGU524332 HQQ524331:HQQ524332 IAM524331:IAM524332 IKI524331:IKI524332 IUE524331:IUE524332 JEA524331:JEA524332 JNW524331:JNW524332 JXS524331:JXS524332 KHO524331:KHO524332 KRK524331:KRK524332 LBG524331:LBG524332 LLC524331:LLC524332 LUY524331:LUY524332 MEU524331:MEU524332 MOQ524331:MOQ524332 MYM524331:MYM524332 NII524331:NII524332 NSE524331:NSE524332 OCA524331:OCA524332 OLW524331:OLW524332 OVS524331:OVS524332 PFO524331:PFO524332 PPK524331:PPK524332 PZG524331:PZG524332 QJC524331:QJC524332 QSY524331:QSY524332 RCU524331:RCU524332 RMQ524331:RMQ524332 RWM524331:RWM524332 SGI524331:SGI524332 SQE524331:SQE524332 TAA524331:TAA524332 TJW524331:TJW524332 TTS524331:TTS524332 UDO524331:UDO524332 UNK524331:UNK524332 UXG524331:UXG524332 VHC524331:VHC524332 VQY524331:VQY524332 WAU524331:WAU524332 WKQ524331:WKQ524332 WUM524331:WUM524332 IA589867:IA589868 RW589867:RW589868 ABS589867:ABS589868 ALO589867:ALO589868 AVK589867:AVK589868 BFG589867:BFG589868 BPC589867:BPC589868 BYY589867:BYY589868 CIU589867:CIU589868 CSQ589867:CSQ589868 DCM589867:DCM589868 DMI589867:DMI589868 DWE589867:DWE589868 EGA589867:EGA589868 EPW589867:EPW589868 EZS589867:EZS589868 FJO589867:FJO589868 FTK589867:FTK589868 GDG589867:GDG589868 GNC589867:GNC589868 GWY589867:GWY589868 HGU589867:HGU589868 HQQ589867:HQQ589868 IAM589867:IAM589868 IKI589867:IKI589868 IUE589867:IUE589868 JEA589867:JEA589868 JNW589867:JNW589868 JXS589867:JXS589868 KHO589867:KHO589868 KRK589867:KRK589868 LBG589867:LBG589868 LLC589867:LLC589868 LUY589867:LUY589868 MEU589867:MEU589868 MOQ589867:MOQ589868 MYM589867:MYM589868 NII589867:NII589868 NSE589867:NSE589868 OCA589867:OCA589868 OLW589867:OLW589868 OVS589867:OVS589868 PFO589867:PFO589868 PPK589867:PPK589868 PZG589867:PZG589868 QJC589867:QJC589868 QSY589867:QSY589868 RCU589867:RCU589868 RMQ589867:RMQ589868 RWM589867:RWM589868 SGI589867:SGI589868 SQE589867:SQE589868 TAA589867:TAA589868 TJW589867:TJW589868 TTS589867:TTS589868 UDO589867:UDO589868 UNK589867:UNK589868 UXG589867:UXG589868 VHC589867:VHC589868 VQY589867:VQY589868 WAU589867:WAU589868 WKQ589867:WKQ589868 WUM589867:WUM589868 IA655403:IA655404 RW655403:RW655404 ABS655403:ABS655404 ALO655403:ALO655404 AVK655403:AVK655404 BFG655403:BFG655404 BPC655403:BPC655404 BYY655403:BYY655404 CIU655403:CIU655404 CSQ655403:CSQ655404 DCM655403:DCM655404 DMI655403:DMI655404 DWE655403:DWE655404 EGA655403:EGA655404 EPW655403:EPW655404 EZS655403:EZS655404 FJO655403:FJO655404 FTK655403:FTK655404 GDG655403:GDG655404 GNC655403:GNC655404 GWY655403:GWY655404 HGU655403:HGU655404 HQQ655403:HQQ655404 IAM655403:IAM655404 IKI655403:IKI655404 IUE655403:IUE655404 JEA655403:JEA655404 JNW655403:JNW655404 JXS655403:JXS655404 KHO655403:KHO655404 KRK655403:KRK655404 LBG655403:LBG655404 LLC655403:LLC655404 LUY655403:LUY655404 MEU655403:MEU655404 MOQ655403:MOQ655404 MYM655403:MYM655404 NII655403:NII655404 NSE655403:NSE655404 OCA655403:OCA655404 OLW655403:OLW655404 OVS655403:OVS655404 PFO655403:PFO655404 PPK655403:PPK655404 PZG655403:PZG655404 QJC655403:QJC655404 QSY655403:QSY655404 RCU655403:RCU655404 RMQ655403:RMQ655404 RWM655403:RWM655404 SGI655403:SGI655404 SQE655403:SQE655404 TAA655403:TAA655404 TJW655403:TJW655404 TTS655403:TTS655404 UDO655403:UDO655404 UNK655403:UNK655404 UXG655403:UXG655404 VHC655403:VHC655404 VQY655403:VQY655404 WAU655403:WAU655404 WKQ655403:WKQ655404 WUM655403:WUM655404 IA720939:IA720940 RW720939:RW720940 ABS720939:ABS720940 ALO720939:ALO720940 AVK720939:AVK720940 BFG720939:BFG720940 BPC720939:BPC720940 BYY720939:BYY720940 CIU720939:CIU720940 CSQ720939:CSQ720940 DCM720939:DCM720940 DMI720939:DMI720940 DWE720939:DWE720940 EGA720939:EGA720940 EPW720939:EPW720940 EZS720939:EZS720940 FJO720939:FJO720940 FTK720939:FTK720940 GDG720939:GDG720940 GNC720939:GNC720940 GWY720939:GWY720940 HGU720939:HGU720940 HQQ720939:HQQ720940 IAM720939:IAM720940 IKI720939:IKI720940 IUE720939:IUE720940 JEA720939:JEA720940 JNW720939:JNW720940 JXS720939:JXS720940 KHO720939:KHO720940 KRK720939:KRK720940 LBG720939:LBG720940 LLC720939:LLC720940 LUY720939:LUY720940 MEU720939:MEU720940 MOQ720939:MOQ720940 MYM720939:MYM720940 NII720939:NII720940 NSE720939:NSE720940 OCA720939:OCA720940 OLW720939:OLW720940 OVS720939:OVS720940 PFO720939:PFO720940 PPK720939:PPK720940 PZG720939:PZG720940 QJC720939:QJC720940 QSY720939:QSY720940 RCU720939:RCU720940 RMQ720939:RMQ720940 RWM720939:RWM720940 SGI720939:SGI720940 SQE720939:SQE720940 TAA720939:TAA720940 TJW720939:TJW720940 TTS720939:TTS720940 UDO720939:UDO720940 UNK720939:UNK720940 UXG720939:UXG720940 VHC720939:VHC720940 VQY720939:VQY720940 WAU720939:WAU720940 WKQ720939:WKQ720940 WUM720939:WUM720940 IA786475:IA786476 RW786475:RW786476 ABS786475:ABS786476 ALO786475:ALO786476 AVK786475:AVK786476 BFG786475:BFG786476 BPC786475:BPC786476 BYY786475:BYY786476 CIU786475:CIU786476 CSQ786475:CSQ786476 DCM786475:DCM786476 DMI786475:DMI786476 DWE786475:DWE786476 EGA786475:EGA786476 EPW786475:EPW786476 EZS786475:EZS786476 FJO786475:FJO786476 FTK786475:FTK786476 GDG786475:GDG786476 GNC786475:GNC786476 GWY786475:GWY786476 HGU786475:HGU786476 HQQ786475:HQQ786476 IAM786475:IAM786476 IKI786475:IKI786476 IUE786475:IUE786476 JEA786475:JEA786476 JNW786475:JNW786476 JXS786475:JXS786476 KHO786475:KHO786476 KRK786475:KRK786476 LBG786475:LBG786476 LLC786475:LLC786476 LUY786475:LUY786476 MEU786475:MEU786476 MOQ786475:MOQ786476 MYM786475:MYM786476 NII786475:NII786476 NSE786475:NSE786476 OCA786475:OCA786476 OLW786475:OLW786476 OVS786475:OVS786476 PFO786475:PFO786476 PPK786475:PPK786476 PZG786475:PZG786476 QJC786475:QJC786476 QSY786475:QSY786476 RCU786475:RCU786476 RMQ786475:RMQ786476 RWM786475:RWM786476 SGI786475:SGI786476 SQE786475:SQE786476 TAA786475:TAA786476 TJW786475:TJW786476 TTS786475:TTS786476 UDO786475:UDO786476 UNK786475:UNK786476 UXG786475:UXG786476 VHC786475:VHC786476 VQY786475:VQY786476 WAU786475:WAU786476 WKQ786475:WKQ786476 WUM786475:WUM786476 IA852011:IA852012 RW852011:RW852012 ABS852011:ABS852012 ALO852011:ALO852012 AVK852011:AVK852012 BFG852011:BFG852012 BPC852011:BPC852012 BYY852011:BYY852012 CIU852011:CIU852012 CSQ852011:CSQ852012 DCM852011:DCM852012 DMI852011:DMI852012 DWE852011:DWE852012 EGA852011:EGA852012 EPW852011:EPW852012 EZS852011:EZS852012 FJO852011:FJO852012 FTK852011:FTK852012 GDG852011:GDG852012 GNC852011:GNC852012 GWY852011:GWY852012 HGU852011:HGU852012 HQQ852011:HQQ852012 IAM852011:IAM852012 IKI852011:IKI852012 IUE852011:IUE852012 JEA852011:JEA852012 JNW852011:JNW852012 JXS852011:JXS852012 KHO852011:KHO852012 KRK852011:KRK852012 LBG852011:LBG852012 LLC852011:LLC852012 LUY852011:LUY852012 MEU852011:MEU852012 MOQ852011:MOQ852012 MYM852011:MYM852012 NII852011:NII852012 NSE852011:NSE852012 OCA852011:OCA852012 OLW852011:OLW852012 OVS852011:OVS852012 PFO852011:PFO852012 PPK852011:PPK852012 PZG852011:PZG852012 QJC852011:QJC852012 QSY852011:QSY852012 RCU852011:RCU852012 RMQ852011:RMQ852012 RWM852011:RWM852012 SGI852011:SGI852012 SQE852011:SQE852012 TAA852011:TAA852012 TJW852011:TJW852012 TTS852011:TTS852012 UDO852011:UDO852012 UNK852011:UNK852012 UXG852011:UXG852012 VHC852011:VHC852012 VQY852011:VQY852012 WAU852011:WAU852012 WKQ852011:WKQ852012 WUM852011:WUM852012 IA917547:IA917548 RW917547:RW917548 ABS917547:ABS917548 ALO917547:ALO917548 AVK917547:AVK917548 BFG917547:BFG917548 BPC917547:BPC917548 BYY917547:BYY917548 CIU917547:CIU917548 CSQ917547:CSQ917548 DCM917547:DCM917548 DMI917547:DMI917548 DWE917547:DWE917548 EGA917547:EGA917548 EPW917547:EPW917548 EZS917547:EZS917548 FJO917547:FJO917548 FTK917547:FTK917548 GDG917547:GDG917548 GNC917547:GNC917548 GWY917547:GWY917548 HGU917547:HGU917548 HQQ917547:HQQ917548 IAM917547:IAM917548 IKI917547:IKI917548 IUE917547:IUE917548 JEA917547:JEA917548 JNW917547:JNW917548 JXS917547:JXS917548 KHO917547:KHO917548 KRK917547:KRK917548 LBG917547:LBG917548 LLC917547:LLC917548 LUY917547:LUY917548 MEU917547:MEU917548 MOQ917547:MOQ917548 MYM917547:MYM917548 NII917547:NII917548 NSE917547:NSE917548 OCA917547:OCA917548 OLW917547:OLW917548 OVS917547:OVS917548 PFO917547:PFO917548 PPK917547:PPK917548 PZG917547:PZG917548 QJC917547:QJC917548 QSY917547:QSY917548 RCU917547:RCU917548 RMQ917547:RMQ917548 RWM917547:RWM917548 SGI917547:SGI917548 SQE917547:SQE917548 TAA917547:TAA917548 TJW917547:TJW917548 TTS917547:TTS917548 UDO917547:UDO917548 UNK917547:UNK917548 UXG917547:UXG917548 VHC917547:VHC917548 VQY917547:VQY917548 WAU917547:WAU917548 WKQ917547:WKQ917548 WUM917547:WUM917548 IA983083:IA983084 RW983083:RW983084 ABS983083:ABS983084 ALO983083:ALO983084 AVK983083:AVK983084 BFG983083:BFG983084 BPC983083:BPC983084 BYY983083:BYY983084 CIU983083:CIU983084 CSQ983083:CSQ983084 DCM983083:DCM983084 DMI983083:DMI983084 DWE983083:DWE983084 EGA983083:EGA983084 EPW983083:EPW983084 EZS983083:EZS983084 FJO983083:FJO983084 FTK983083:FTK983084 GDG983083:GDG983084 GNC983083:GNC983084 GWY983083:GWY983084 HGU983083:HGU983084 HQQ983083:HQQ983084 IAM983083:IAM983084 IKI983083:IKI983084 IUE983083:IUE983084 JEA983083:JEA983084 JNW983083:JNW983084 JXS983083:JXS983084 KHO983083:KHO983084 KRK983083:KRK983084 LBG983083:LBG983084 LLC983083:LLC983084 LUY983083:LUY983084 MEU983083:MEU983084 MOQ983083:MOQ983084 MYM983083:MYM983084 NII983083:NII983084 NSE983083:NSE983084 OCA983083:OCA983084 OLW983083:OLW983084 OVS983083:OVS983084 PFO983083:PFO983084 PPK983083:PPK983084 PZG983083:PZG983084 QJC983083:QJC983084 QSY983083:QSY983084 RCU983083:RCU983084 RMQ983083:RMQ983084 RWM983083:RWM983084 SGI983083:SGI983084 SQE983083:SQE983084 TAA983083:TAA983084 TJW983083:TJW983084 TTS983083:TTS983084 UDO983083:UDO983084 UNK983083:UNK983084 UXG983083:UXG983084 VHC983083:VHC983084 VQY983083:VQY983084 WAU983083:WAU983084 WKQ983083:WKQ983084 WUM983083:WUM983084 RT5:RT12 ABP5:ABP12 ALL5:ALL12 AVH5:AVH12 BFD5:BFD12 BOZ5:BOZ12 BYV5:BYV12 CIR5:CIR12 CSN5:CSN12 DCJ5:DCJ12 DMF5:DMF12 DWB5:DWB12 EFX5:EFX12 EPT5:EPT12 EZP5:EZP12 FJL5:FJL12 FTH5:FTH12 GDD5:GDD12 GMZ5:GMZ12 GWV5:GWV12 HGR5:HGR12 HQN5:HQN12 IAJ5:IAJ12 IKF5:IKF12 IUB5:IUB12 JDX5:JDX12 JNT5:JNT12 JXP5:JXP12 KHL5:KHL12 KRH5:KRH12 LBD5:LBD12 LKZ5:LKZ12 LUV5:LUV12 MER5:MER12 MON5:MON12 MYJ5:MYJ12 NIF5:NIF12 NSB5:NSB12 OBX5:OBX12 OLT5:OLT12 OVP5:OVP12 PFL5:PFL12 PPH5:PPH12 PZD5:PZD12 QIZ5:QIZ12 QSV5:QSV12 RCR5:RCR12 RMN5:RMN12 RWJ5:RWJ12 SGF5:SGF12 SQB5:SQB12 SZX5:SZX12 TJT5:TJT12 TTP5:TTP12 UDL5:UDL12 UNH5:UNH12 UXD5:UXD12 VGZ5:VGZ12 VQV5:VQV12 WAR5:WAR12 WKN5:WKN12 WUJ5:WUJ12 HX5:HX12" xr:uid="{5D9BC805-EA07-411B-A6E9-8ABA47C58828}">
      <formula1>"Home Loan, LAP,Vehicle Loan,CVL, Personal Loan,Business Loan, CC/OD,Term Loan,Machinery Loan,Education Loan"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whole" allowBlank="1" showInputMessage="1" showErrorMessage="1" errorTitle="Error" error="Not a valid Date" promptTitle="Date" prompt="Insert a date (DD)" xr:uid="{EE9077BE-1733-4478-B6A9-7669FD8F962C}">
          <x14:formula1>
            <xm:f>1</xm:f>
          </x14:formula1>
          <x14:formula2>
            <xm:f>31</xm:f>
          </x14:formula2>
          <xm:sqref>J65580:J65581 IO65579:IO65580 SK65579:SK65580 ACG65579:ACG65580 AMC65579:AMC65580 AVY65579:AVY65580 BFU65579:BFU65580 BPQ65579:BPQ65580 BZM65579:BZM65580 CJI65579:CJI65580 CTE65579:CTE65580 DDA65579:DDA65580 DMW65579:DMW65580 DWS65579:DWS65580 EGO65579:EGO65580 EQK65579:EQK65580 FAG65579:FAG65580 FKC65579:FKC65580 FTY65579:FTY65580 GDU65579:GDU65580 GNQ65579:GNQ65580 GXM65579:GXM65580 HHI65579:HHI65580 HRE65579:HRE65580 IBA65579:IBA65580 IKW65579:IKW65580 IUS65579:IUS65580 JEO65579:JEO65580 JOK65579:JOK65580 JYG65579:JYG65580 KIC65579:KIC65580 KRY65579:KRY65580 LBU65579:LBU65580 LLQ65579:LLQ65580 LVM65579:LVM65580 MFI65579:MFI65580 MPE65579:MPE65580 MZA65579:MZA65580 NIW65579:NIW65580 NSS65579:NSS65580 OCO65579:OCO65580 OMK65579:OMK65580 OWG65579:OWG65580 PGC65579:PGC65580 PPY65579:PPY65580 PZU65579:PZU65580 QJQ65579:QJQ65580 QTM65579:QTM65580 RDI65579:RDI65580 RNE65579:RNE65580 RXA65579:RXA65580 SGW65579:SGW65580 SQS65579:SQS65580 TAO65579:TAO65580 TKK65579:TKK65580 TUG65579:TUG65580 UEC65579:UEC65580 UNY65579:UNY65580 UXU65579:UXU65580 VHQ65579:VHQ65580 VRM65579:VRM65580 WBI65579:WBI65580 WLE65579:WLE65580 WVA65579:WVA65580 J131116:J131117 IO131115:IO131116 SK131115:SK131116 ACG131115:ACG131116 AMC131115:AMC131116 AVY131115:AVY131116 BFU131115:BFU131116 BPQ131115:BPQ131116 BZM131115:BZM131116 CJI131115:CJI131116 CTE131115:CTE131116 DDA131115:DDA131116 DMW131115:DMW131116 DWS131115:DWS131116 EGO131115:EGO131116 EQK131115:EQK131116 FAG131115:FAG131116 FKC131115:FKC131116 FTY131115:FTY131116 GDU131115:GDU131116 GNQ131115:GNQ131116 GXM131115:GXM131116 HHI131115:HHI131116 HRE131115:HRE131116 IBA131115:IBA131116 IKW131115:IKW131116 IUS131115:IUS131116 JEO131115:JEO131116 JOK131115:JOK131116 JYG131115:JYG131116 KIC131115:KIC131116 KRY131115:KRY131116 LBU131115:LBU131116 LLQ131115:LLQ131116 LVM131115:LVM131116 MFI131115:MFI131116 MPE131115:MPE131116 MZA131115:MZA131116 NIW131115:NIW131116 NSS131115:NSS131116 OCO131115:OCO131116 OMK131115:OMK131116 OWG131115:OWG131116 PGC131115:PGC131116 PPY131115:PPY131116 PZU131115:PZU131116 QJQ131115:QJQ131116 QTM131115:QTM131116 RDI131115:RDI131116 RNE131115:RNE131116 RXA131115:RXA131116 SGW131115:SGW131116 SQS131115:SQS131116 TAO131115:TAO131116 TKK131115:TKK131116 TUG131115:TUG131116 UEC131115:UEC131116 UNY131115:UNY131116 UXU131115:UXU131116 VHQ131115:VHQ131116 VRM131115:VRM131116 WBI131115:WBI131116 WLE131115:WLE131116 WVA131115:WVA131116 J196652:J196653 IO196651:IO196652 SK196651:SK196652 ACG196651:ACG196652 AMC196651:AMC196652 AVY196651:AVY196652 BFU196651:BFU196652 BPQ196651:BPQ196652 BZM196651:BZM196652 CJI196651:CJI196652 CTE196651:CTE196652 DDA196651:DDA196652 DMW196651:DMW196652 DWS196651:DWS196652 EGO196651:EGO196652 EQK196651:EQK196652 FAG196651:FAG196652 FKC196651:FKC196652 FTY196651:FTY196652 GDU196651:GDU196652 GNQ196651:GNQ196652 GXM196651:GXM196652 HHI196651:HHI196652 HRE196651:HRE196652 IBA196651:IBA196652 IKW196651:IKW196652 IUS196651:IUS196652 JEO196651:JEO196652 JOK196651:JOK196652 JYG196651:JYG196652 KIC196651:KIC196652 KRY196651:KRY196652 LBU196651:LBU196652 LLQ196651:LLQ196652 LVM196651:LVM196652 MFI196651:MFI196652 MPE196651:MPE196652 MZA196651:MZA196652 NIW196651:NIW196652 NSS196651:NSS196652 OCO196651:OCO196652 OMK196651:OMK196652 OWG196651:OWG196652 PGC196651:PGC196652 PPY196651:PPY196652 PZU196651:PZU196652 QJQ196651:QJQ196652 QTM196651:QTM196652 RDI196651:RDI196652 RNE196651:RNE196652 RXA196651:RXA196652 SGW196651:SGW196652 SQS196651:SQS196652 TAO196651:TAO196652 TKK196651:TKK196652 TUG196651:TUG196652 UEC196651:UEC196652 UNY196651:UNY196652 UXU196651:UXU196652 VHQ196651:VHQ196652 VRM196651:VRM196652 WBI196651:WBI196652 WLE196651:WLE196652 WVA196651:WVA196652 J262188:J262189 IO262187:IO262188 SK262187:SK262188 ACG262187:ACG262188 AMC262187:AMC262188 AVY262187:AVY262188 BFU262187:BFU262188 BPQ262187:BPQ262188 BZM262187:BZM262188 CJI262187:CJI262188 CTE262187:CTE262188 DDA262187:DDA262188 DMW262187:DMW262188 DWS262187:DWS262188 EGO262187:EGO262188 EQK262187:EQK262188 FAG262187:FAG262188 FKC262187:FKC262188 FTY262187:FTY262188 GDU262187:GDU262188 GNQ262187:GNQ262188 GXM262187:GXM262188 HHI262187:HHI262188 HRE262187:HRE262188 IBA262187:IBA262188 IKW262187:IKW262188 IUS262187:IUS262188 JEO262187:JEO262188 JOK262187:JOK262188 JYG262187:JYG262188 KIC262187:KIC262188 KRY262187:KRY262188 LBU262187:LBU262188 LLQ262187:LLQ262188 LVM262187:LVM262188 MFI262187:MFI262188 MPE262187:MPE262188 MZA262187:MZA262188 NIW262187:NIW262188 NSS262187:NSS262188 OCO262187:OCO262188 OMK262187:OMK262188 OWG262187:OWG262188 PGC262187:PGC262188 PPY262187:PPY262188 PZU262187:PZU262188 QJQ262187:QJQ262188 QTM262187:QTM262188 RDI262187:RDI262188 RNE262187:RNE262188 RXA262187:RXA262188 SGW262187:SGW262188 SQS262187:SQS262188 TAO262187:TAO262188 TKK262187:TKK262188 TUG262187:TUG262188 UEC262187:UEC262188 UNY262187:UNY262188 UXU262187:UXU262188 VHQ262187:VHQ262188 VRM262187:VRM262188 WBI262187:WBI262188 WLE262187:WLE262188 WVA262187:WVA262188 J327724:J327725 IO327723:IO327724 SK327723:SK327724 ACG327723:ACG327724 AMC327723:AMC327724 AVY327723:AVY327724 BFU327723:BFU327724 BPQ327723:BPQ327724 BZM327723:BZM327724 CJI327723:CJI327724 CTE327723:CTE327724 DDA327723:DDA327724 DMW327723:DMW327724 DWS327723:DWS327724 EGO327723:EGO327724 EQK327723:EQK327724 FAG327723:FAG327724 FKC327723:FKC327724 FTY327723:FTY327724 GDU327723:GDU327724 GNQ327723:GNQ327724 GXM327723:GXM327724 HHI327723:HHI327724 HRE327723:HRE327724 IBA327723:IBA327724 IKW327723:IKW327724 IUS327723:IUS327724 JEO327723:JEO327724 JOK327723:JOK327724 JYG327723:JYG327724 KIC327723:KIC327724 KRY327723:KRY327724 LBU327723:LBU327724 LLQ327723:LLQ327724 LVM327723:LVM327724 MFI327723:MFI327724 MPE327723:MPE327724 MZA327723:MZA327724 NIW327723:NIW327724 NSS327723:NSS327724 OCO327723:OCO327724 OMK327723:OMK327724 OWG327723:OWG327724 PGC327723:PGC327724 PPY327723:PPY327724 PZU327723:PZU327724 QJQ327723:QJQ327724 QTM327723:QTM327724 RDI327723:RDI327724 RNE327723:RNE327724 RXA327723:RXA327724 SGW327723:SGW327724 SQS327723:SQS327724 TAO327723:TAO327724 TKK327723:TKK327724 TUG327723:TUG327724 UEC327723:UEC327724 UNY327723:UNY327724 UXU327723:UXU327724 VHQ327723:VHQ327724 VRM327723:VRM327724 WBI327723:WBI327724 WLE327723:WLE327724 WVA327723:WVA327724 J393260:J393261 IO393259:IO393260 SK393259:SK393260 ACG393259:ACG393260 AMC393259:AMC393260 AVY393259:AVY393260 BFU393259:BFU393260 BPQ393259:BPQ393260 BZM393259:BZM393260 CJI393259:CJI393260 CTE393259:CTE393260 DDA393259:DDA393260 DMW393259:DMW393260 DWS393259:DWS393260 EGO393259:EGO393260 EQK393259:EQK393260 FAG393259:FAG393260 FKC393259:FKC393260 FTY393259:FTY393260 GDU393259:GDU393260 GNQ393259:GNQ393260 GXM393259:GXM393260 HHI393259:HHI393260 HRE393259:HRE393260 IBA393259:IBA393260 IKW393259:IKW393260 IUS393259:IUS393260 JEO393259:JEO393260 JOK393259:JOK393260 JYG393259:JYG393260 KIC393259:KIC393260 KRY393259:KRY393260 LBU393259:LBU393260 LLQ393259:LLQ393260 LVM393259:LVM393260 MFI393259:MFI393260 MPE393259:MPE393260 MZA393259:MZA393260 NIW393259:NIW393260 NSS393259:NSS393260 OCO393259:OCO393260 OMK393259:OMK393260 OWG393259:OWG393260 PGC393259:PGC393260 PPY393259:PPY393260 PZU393259:PZU393260 QJQ393259:QJQ393260 QTM393259:QTM393260 RDI393259:RDI393260 RNE393259:RNE393260 RXA393259:RXA393260 SGW393259:SGW393260 SQS393259:SQS393260 TAO393259:TAO393260 TKK393259:TKK393260 TUG393259:TUG393260 UEC393259:UEC393260 UNY393259:UNY393260 UXU393259:UXU393260 VHQ393259:VHQ393260 VRM393259:VRM393260 WBI393259:WBI393260 WLE393259:WLE393260 WVA393259:WVA393260 J458796:J458797 IO458795:IO458796 SK458795:SK458796 ACG458795:ACG458796 AMC458795:AMC458796 AVY458795:AVY458796 BFU458795:BFU458796 BPQ458795:BPQ458796 BZM458795:BZM458796 CJI458795:CJI458796 CTE458795:CTE458796 DDA458795:DDA458796 DMW458795:DMW458796 DWS458795:DWS458796 EGO458795:EGO458796 EQK458795:EQK458796 FAG458795:FAG458796 FKC458795:FKC458796 FTY458795:FTY458796 GDU458795:GDU458796 GNQ458795:GNQ458796 GXM458795:GXM458796 HHI458795:HHI458796 HRE458795:HRE458796 IBA458795:IBA458796 IKW458795:IKW458796 IUS458795:IUS458796 JEO458795:JEO458796 JOK458795:JOK458796 JYG458795:JYG458796 KIC458795:KIC458796 KRY458795:KRY458796 LBU458795:LBU458796 LLQ458795:LLQ458796 LVM458795:LVM458796 MFI458795:MFI458796 MPE458795:MPE458796 MZA458795:MZA458796 NIW458795:NIW458796 NSS458795:NSS458796 OCO458795:OCO458796 OMK458795:OMK458796 OWG458795:OWG458796 PGC458795:PGC458796 PPY458795:PPY458796 PZU458795:PZU458796 QJQ458795:QJQ458796 QTM458795:QTM458796 RDI458795:RDI458796 RNE458795:RNE458796 RXA458795:RXA458796 SGW458795:SGW458796 SQS458795:SQS458796 TAO458795:TAO458796 TKK458795:TKK458796 TUG458795:TUG458796 UEC458795:UEC458796 UNY458795:UNY458796 UXU458795:UXU458796 VHQ458795:VHQ458796 VRM458795:VRM458796 WBI458795:WBI458796 WLE458795:WLE458796 WVA458795:WVA458796 J524332:J524333 IO524331:IO524332 SK524331:SK524332 ACG524331:ACG524332 AMC524331:AMC524332 AVY524331:AVY524332 BFU524331:BFU524332 BPQ524331:BPQ524332 BZM524331:BZM524332 CJI524331:CJI524332 CTE524331:CTE524332 DDA524331:DDA524332 DMW524331:DMW524332 DWS524331:DWS524332 EGO524331:EGO524332 EQK524331:EQK524332 FAG524331:FAG524332 FKC524331:FKC524332 FTY524331:FTY524332 GDU524331:GDU524332 GNQ524331:GNQ524332 GXM524331:GXM524332 HHI524331:HHI524332 HRE524331:HRE524332 IBA524331:IBA524332 IKW524331:IKW524332 IUS524331:IUS524332 JEO524331:JEO524332 JOK524331:JOK524332 JYG524331:JYG524332 KIC524331:KIC524332 KRY524331:KRY524332 LBU524331:LBU524332 LLQ524331:LLQ524332 LVM524331:LVM524332 MFI524331:MFI524332 MPE524331:MPE524332 MZA524331:MZA524332 NIW524331:NIW524332 NSS524331:NSS524332 OCO524331:OCO524332 OMK524331:OMK524332 OWG524331:OWG524332 PGC524331:PGC524332 PPY524331:PPY524332 PZU524331:PZU524332 QJQ524331:QJQ524332 QTM524331:QTM524332 RDI524331:RDI524332 RNE524331:RNE524332 RXA524331:RXA524332 SGW524331:SGW524332 SQS524331:SQS524332 TAO524331:TAO524332 TKK524331:TKK524332 TUG524331:TUG524332 UEC524331:UEC524332 UNY524331:UNY524332 UXU524331:UXU524332 VHQ524331:VHQ524332 VRM524331:VRM524332 WBI524331:WBI524332 WLE524331:WLE524332 WVA524331:WVA524332 J589868:J589869 IO589867:IO589868 SK589867:SK589868 ACG589867:ACG589868 AMC589867:AMC589868 AVY589867:AVY589868 BFU589867:BFU589868 BPQ589867:BPQ589868 BZM589867:BZM589868 CJI589867:CJI589868 CTE589867:CTE589868 DDA589867:DDA589868 DMW589867:DMW589868 DWS589867:DWS589868 EGO589867:EGO589868 EQK589867:EQK589868 FAG589867:FAG589868 FKC589867:FKC589868 FTY589867:FTY589868 GDU589867:GDU589868 GNQ589867:GNQ589868 GXM589867:GXM589868 HHI589867:HHI589868 HRE589867:HRE589868 IBA589867:IBA589868 IKW589867:IKW589868 IUS589867:IUS589868 JEO589867:JEO589868 JOK589867:JOK589868 JYG589867:JYG589868 KIC589867:KIC589868 KRY589867:KRY589868 LBU589867:LBU589868 LLQ589867:LLQ589868 LVM589867:LVM589868 MFI589867:MFI589868 MPE589867:MPE589868 MZA589867:MZA589868 NIW589867:NIW589868 NSS589867:NSS589868 OCO589867:OCO589868 OMK589867:OMK589868 OWG589867:OWG589868 PGC589867:PGC589868 PPY589867:PPY589868 PZU589867:PZU589868 QJQ589867:QJQ589868 QTM589867:QTM589868 RDI589867:RDI589868 RNE589867:RNE589868 RXA589867:RXA589868 SGW589867:SGW589868 SQS589867:SQS589868 TAO589867:TAO589868 TKK589867:TKK589868 TUG589867:TUG589868 UEC589867:UEC589868 UNY589867:UNY589868 UXU589867:UXU589868 VHQ589867:VHQ589868 VRM589867:VRM589868 WBI589867:WBI589868 WLE589867:WLE589868 WVA589867:WVA589868 J655404:J655405 IO655403:IO655404 SK655403:SK655404 ACG655403:ACG655404 AMC655403:AMC655404 AVY655403:AVY655404 BFU655403:BFU655404 BPQ655403:BPQ655404 BZM655403:BZM655404 CJI655403:CJI655404 CTE655403:CTE655404 DDA655403:DDA655404 DMW655403:DMW655404 DWS655403:DWS655404 EGO655403:EGO655404 EQK655403:EQK655404 FAG655403:FAG655404 FKC655403:FKC655404 FTY655403:FTY655404 GDU655403:GDU655404 GNQ655403:GNQ655404 GXM655403:GXM655404 HHI655403:HHI655404 HRE655403:HRE655404 IBA655403:IBA655404 IKW655403:IKW655404 IUS655403:IUS655404 JEO655403:JEO655404 JOK655403:JOK655404 JYG655403:JYG655404 KIC655403:KIC655404 KRY655403:KRY655404 LBU655403:LBU655404 LLQ655403:LLQ655404 LVM655403:LVM655404 MFI655403:MFI655404 MPE655403:MPE655404 MZA655403:MZA655404 NIW655403:NIW655404 NSS655403:NSS655404 OCO655403:OCO655404 OMK655403:OMK655404 OWG655403:OWG655404 PGC655403:PGC655404 PPY655403:PPY655404 PZU655403:PZU655404 QJQ655403:QJQ655404 QTM655403:QTM655404 RDI655403:RDI655404 RNE655403:RNE655404 RXA655403:RXA655404 SGW655403:SGW655404 SQS655403:SQS655404 TAO655403:TAO655404 TKK655403:TKK655404 TUG655403:TUG655404 UEC655403:UEC655404 UNY655403:UNY655404 UXU655403:UXU655404 VHQ655403:VHQ655404 VRM655403:VRM655404 WBI655403:WBI655404 WLE655403:WLE655404 WVA655403:WVA655404 J720940:J720941 IO720939:IO720940 SK720939:SK720940 ACG720939:ACG720940 AMC720939:AMC720940 AVY720939:AVY720940 BFU720939:BFU720940 BPQ720939:BPQ720940 BZM720939:BZM720940 CJI720939:CJI720940 CTE720939:CTE720940 DDA720939:DDA720940 DMW720939:DMW720940 DWS720939:DWS720940 EGO720939:EGO720940 EQK720939:EQK720940 FAG720939:FAG720940 FKC720939:FKC720940 FTY720939:FTY720940 GDU720939:GDU720940 GNQ720939:GNQ720940 GXM720939:GXM720940 HHI720939:HHI720940 HRE720939:HRE720940 IBA720939:IBA720940 IKW720939:IKW720940 IUS720939:IUS720940 JEO720939:JEO720940 JOK720939:JOK720940 JYG720939:JYG720940 KIC720939:KIC720940 KRY720939:KRY720940 LBU720939:LBU720940 LLQ720939:LLQ720940 LVM720939:LVM720940 MFI720939:MFI720940 MPE720939:MPE720940 MZA720939:MZA720940 NIW720939:NIW720940 NSS720939:NSS720940 OCO720939:OCO720940 OMK720939:OMK720940 OWG720939:OWG720940 PGC720939:PGC720940 PPY720939:PPY720940 PZU720939:PZU720940 QJQ720939:QJQ720940 QTM720939:QTM720940 RDI720939:RDI720940 RNE720939:RNE720940 RXA720939:RXA720940 SGW720939:SGW720940 SQS720939:SQS720940 TAO720939:TAO720940 TKK720939:TKK720940 TUG720939:TUG720940 UEC720939:UEC720940 UNY720939:UNY720940 UXU720939:UXU720940 VHQ720939:VHQ720940 VRM720939:VRM720940 WBI720939:WBI720940 WLE720939:WLE720940 WVA720939:WVA720940 J786476:J786477 IO786475:IO786476 SK786475:SK786476 ACG786475:ACG786476 AMC786475:AMC786476 AVY786475:AVY786476 BFU786475:BFU786476 BPQ786475:BPQ786476 BZM786475:BZM786476 CJI786475:CJI786476 CTE786475:CTE786476 DDA786475:DDA786476 DMW786475:DMW786476 DWS786475:DWS786476 EGO786475:EGO786476 EQK786475:EQK786476 FAG786475:FAG786476 FKC786475:FKC786476 FTY786475:FTY786476 GDU786475:GDU786476 GNQ786475:GNQ786476 GXM786475:GXM786476 HHI786475:HHI786476 HRE786475:HRE786476 IBA786475:IBA786476 IKW786475:IKW786476 IUS786475:IUS786476 JEO786475:JEO786476 JOK786475:JOK786476 JYG786475:JYG786476 KIC786475:KIC786476 KRY786475:KRY786476 LBU786475:LBU786476 LLQ786475:LLQ786476 LVM786475:LVM786476 MFI786475:MFI786476 MPE786475:MPE786476 MZA786475:MZA786476 NIW786475:NIW786476 NSS786475:NSS786476 OCO786475:OCO786476 OMK786475:OMK786476 OWG786475:OWG786476 PGC786475:PGC786476 PPY786475:PPY786476 PZU786475:PZU786476 QJQ786475:QJQ786476 QTM786475:QTM786476 RDI786475:RDI786476 RNE786475:RNE786476 RXA786475:RXA786476 SGW786475:SGW786476 SQS786475:SQS786476 TAO786475:TAO786476 TKK786475:TKK786476 TUG786475:TUG786476 UEC786475:UEC786476 UNY786475:UNY786476 UXU786475:UXU786476 VHQ786475:VHQ786476 VRM786475:VRM786476 WBI786475:WBI786476 WLE786475:WLE786476 WVA786475:WVA786476 J852012:J852013 IO852011:IO852012 SK852011:SK852012 ACG852011:ACG852012 AMC852011:AMC852012 AVY852011:AVY852012 BFU852011:BFU852012 BPQ852011:BPQ852012 BZM852011:BZM852012 CJI852011:CJI852012 CTE852011:CTE852012 DDA852011:DDA852012 DMW852011:DMW852012 DWS852011:DWS852012 EGO852011:EGO852012 EQK852011:EQK852012 FAG852011:FAG852012 FKC852011:FKC852012 FTY852011:FTY852012 GDU852011:GDU852012 GNQ852011:GNQ852012 GXM852011:GXM852012 HHI852011:HHI852012 HRE852011:HRE852012 IBA852011:IBA852012 IKW852011:IKW852012 IUS852011:IUS852012 JEO852011:JEO852012 JOK852011:JOK852012 JYG852011:JYG852012 KIC852011:KIC852012 KRY852011:KRY852012 LBU852011:LBU852012 LLQ852011:LLQ852012 LVM852011:LVM852012 MFI852011:MFI852012 MPE852011:MPE852012 MZA852011:MZA852012 NIW852011:NIW852012 NSS852011:NSS852012 OCO852011:OCO852012 OMK852011:OMK852012 OWG852011:OWG852012 PGC852011:PGC852012 PPY852011:PPY852012 PZU852011:PZU852012 QJQ852011:QJQ852012 QTM852011:QTM852012 RDI852011:RDI852012 RNE852011:RNE852012 RXA852011:RXA852012 SGW852011:SGW852012 SQS852011:SQS852012 TAO852011:TAO852012 TKK852011:TKK852012 TUG852011:TUG852012 UEC852011:UEC852012 UNY852011:UNY852012 UXU852011:UXU852012 VHQ852011:VHQ852012 VRM852011:VRM852012 WBI852011:WBI852012 WLE852011:WLE852012 WVA852011:WVA852012 J917548:J917549 IO917547:IO917548 SK917547:SK917548 ACG917547:ACG917548 AMC917547:AMC917548 AVY917547:AVY917548 BFU917547:BFU917548 BPQ917547:BPQ917548 BZM917547:BZM917548 CJI917547:CJI917548 CTE917547:CTE917548 DDA917547:DDA917548 DMW917547:DMW917548 DWS917547:DWS917548 EGO917547:EGO917548 EQK917547:EQK917548 FAG917547:FAG917548 FKC917547:FKC917548 FTY917547:FTY917548 GDU917547:GDU917548 GNQ917547:GNQ917548 GXM917547:GXM917548 HHI917547:HHI917548 HRE917547:HRE917548 IBA917547:IBA917548 IKW917547:IKW917548 IUS917547:IUS917548 JEO917547:JEO917548 JOK917547:JOK917548 JYG917547:JYG917548 KIC917547:KIC917548 KRY917547:KRY917548 LBU917547:LBU917548 LLQ917547:LLQ917548 LVM917547:LVM917548 MFI917547:MFI917548 MPE917547:MPE917548 MZA917547:MZA917548 NIW917547:NIW917548 NSS917547:NSS917548 OCO917547:OCO917548 OMK917547:OMK917548 OWG917547:OWG917548 PGC917547:PGC917548 PPY917547:PPY917548 PZU917547:PZU917548 QJQ917547:QJQ917548 QTM917547:QTM917548 RDI917547:RDI917548 RNE917547:RNE917548 RXA917547:RXA917548 SGW917547:SGW917548 SQS917547:SQS917548 TAO917547:TAO917548 TKK917547:TKK917548 TUG917547:TUG917548 UEC917547:UEC917548 UNY917547:UNY917548 UXU917547:UXU917548 VHQ917547:VHQ917548 VRM917547:VRM917548 WBI917547:WBI917548 WLE917547:WLE917548 WVA917547:WVA917548 J983084:J983085 IO983083:IO983084 SK983083:SK983084 ACG983083:ACG983084 AMC983083:AMC983084 AVY983083:AVY983084 BFU983083:BFU983084 BPQ983083:BPQ983084 BZM983083:BZM983084 CJI983083:CJI983084 CTE983083:CTE983084 DDA983083:DDA983084 DMW983083:DMW983084 DWS983083:DWS983084 EGO983083:EGO983084 EQK983083:EQK983084 FAG983083:FAG983084 FKC983083:FKC983084 FTY983083:FTY983084 GDU983083:GDU983084 GNQ983083:GNQ983084 GXM983083:GXM983084 HHI983083:HHI983084 HRE983083:HRE983084 IBA983083:IBA983084 IKW983083:IKW983084 IUS983083:IUS983084 JEO983083:JEO983084 JOK983083:JOK983084 JYG983083:JYG983084 KIC983083:KIC983084 KRY983083:KRY983084 LBU983083:LBU983084 LLQ983083:LLQ983084 LVM983083:LVM983084 MFI983083:MFI983084 MPE983083:MPE983084 MZA983083:MZA983084 NIW983083:NIW983084 NSS983083:NSS983084 OCO983083:OCO983084 OMK983083:OMK983084 OWG983083:OWG983084 PGC983083:PGC983084 PPY983083:PPY983084 PZU983083:PZU983084 QJQ983083:QJQ983084 QTM983083:QTM983084 RDI983083:RDI983084 RNE983083:RNE983084 RXA983083:RXA983084 SGW983083:SGW983084 SQS983083:SQS983084 TAO983083:TAO983084 TKK983083:TKK983084 TUG983083:TUG983084 UEC983083:UEC983084 UNY983083:UNY983084 UXU983083:UXU983084 VHQ983083:VHQ983084 VRM983083:VRM983084 WBI983083:WBI983084 WLE983083:WLE983084 WVA983083:WVA983084 L65580:L65581 IR65579:IR65580 SN65579:SN65580 ACJ65579:ACJ65580 AMF65579:AMF65580 AWB65579:AWB65580 BFX65579:BFX65580 BPT65579:BPT65580 BZP65579:BZP65580 CJL65579:CJL65580 CTH65579:CTH65580 DDD65579:DDD65580 DMZ65579:DMZ65580 DWV65579:DWV65580 EGR65579:EGR65580 EQN65579:EQN65580 FAJ65579:FAJ65580 FKF65579:FKF65580 FUB65579:FUB65580 GDX65579:GDX65580 GNT65579:GNT65580 GXP65579:GXP65580 HHL65579:HHL65580 HRH65579:HRH65580 IBD65579:IBD65580 IKZ65579:IKZ65580 IUV65579:IUV65580 JER65579:JER65580 JON65579:JON65580 JYJ65579:JYJ65580 KIF65579:KIF65580 KSB65579:KSB65580 LBX65579:LBX65580 LLT65579:LLT65580 LVP65579:LVP65580 MFL65579:MFL65580 MPH65579:MPH65580 MZD65579:MZD65580 NIZ65579:NIZ65580 NSV65579:NSV65580 OCR65579:OCR65580 OMN65579:OMN65580 OWJ65579:OWJ65580 PGF65579:PGF65580 PQB65579:PQB65580 PZX65579:PZX65580 QJT65579:QJT65580 QTP65579:QTP65580 RDL65579:RDL65580 RNH65579:RNH65580 RXD65579:RXD65580 SGZ65579:SGZ65580 SQV65579:SQV65580 TAR65579:TAR65580 TKN65579:TKN65580 TUJ65579:TUJ65580 UEF65579:UEF65580 UOB65579:UOB65580 UXX65579:UXX65580 VHT65579:VHT65580 VRP65579:VRP65580 WBL65579:WBL65580 WLH65579:WLH65580 WVD65579:WVD65580 L131116:L131117 IR131115:IR131116 SN131115:SN131116 ACJ131115:ACJ131116 AMF131115:AMF131116 AWB131115:AWB131116 BFX131115:BFX131116 BPT131115:BPT131116 BZP131115:BZP131116 CJL131115:CJL131116 CTH131115:CTH131116 DDD131115:DDD131116 DMZ131115:DMZ131116 DWV131115:DWV131116 EGR131115:EGR131116 EQN131115:EQN131116 FAJ131115:FAJ131116 FKF131115:FKF131116 FUB131115:FUB131116 GDX131115:GDX131116 GNT131115:GNT131116 GXP131115:GXP131116 HHL131115:HHL131116 HRH131115:HRH131116 IBD131115:IBD131116 IKZ131115:IKZ131116 IUV131115:IUV131116 JER131115:JER131116 JON131115:JON131116 JYJ131115:JYJ131116 KIF131115:KIF131116 KSB131115:KSB131116 LBX131115:LBX131116 LLT131115:LLT131116 LVP131115:LVP131116 MFL131115:MFL131116 MPH131115:MPH131116 MZD131115:MZD131116 NIZ131115:NIZ131116 NSV131115:NSV131116 OCR131115:OCR131116 OMN131115:OMN131116 OWJ131115:OWJ131116 PGF131115:PGF131116 PQB131115:PQB131116 PZX131115:PZX131116 QJT131115:QJT131116 QTP131115:QTP131116 RDL131115:RDL131116 RNH131115:RNH131116 RXD131115:RXD131116 SGZ131115:SGZ131116 SQV131115:SQV131116 TAR131115:TAR131116 TKN131115:TKN131116 TUJ131115:TUJ131116 UEF131115:UEF131116 UOB131115:UOB131116 UXX131115:UXX131116 VHT131115:VHT131116 VRP131115:VRP131116 WBL131115:WBL131116 WLH131115:WLH131116 WVD131115:WVD131116 L196652:L196653 IR196651:IR196652 SN196651:SN196652 ACJ196651:ACJ196652 AMF196651:AMF196652 AWB196651:AWB196652 BFX196651:BFX196652 BPT196651:BPT196652 BZP196651:BZP196652 CJL196651:CJL196652 CTH196651:CTH196652 DDD196651:DDD196652 DMZ196651:DMZ196652 DWV196651:DWV196652 EGR196651:EGR196652 EQN196651:EQN196652 FAJ196651:FAJ196652 FKF196651:FKF196652 FUB196651:FUB196652 GDX196651:GDX196652 GNT196651:GNT196652 GXP196651:GXP196652 HHL196651:HHL196652 HRH196651:HRH196652 IBD196651:IBD196652 IKZ196651:IKZ196652 IUV196651:IUV196652 JER196651:JER196652 JON196651:JON196652 JYJ196651:JYJ196652 KIF196651:KIF196652 KSB196651:KSB196652 LBX196651:LBX196652 LLT196651:LLT196652 LVP196651:LVP196652 MFL196651:MFL196652 MPH196651:MPH196652 MZD196651:MZD196652 NIZ196651:NIZ196652 NSV196651:NSV196652 OCR196651:OCR196652 OMN196651:OMN196652 OWJ196651:OWJ196652 PGF196651:PGF196652 PQB196651:PQB196652 PZX196651:PZX196652 QJT196651:QJT196652 QTP196651:QTP196652 RDL196651:RDL196652 RNH196651:RNH196652 RXD196651:RXD196652 SGZ196651:SGZ196652 SQV196651:SQV196652 TAR196651:TAR196652 TKN196651:TKN196652 TUJ196651:TUJ196652 UEF196651:UEF196652 UOB196651:UOB196652 UXX196651:UXX196652 VHT196651:VHT196652 VRP196651:VRP196652 WBL196651:WBL196652 WLH196651:WLH196652 WVD196651:WVD196652 L262188:L262189 IR262187:IR262188 SN262187:SN262188 ACJ262187:ACJ262188 AMF262187:AMF262188 AWB262187:AWB262188 BFX262187:BFX262188 BPT262187:BPT262188 BZP262187:BZP262188 CJL262187:CJL262188 CTH262187:CTH262188 DDD262187:DDD262188 DMZ262187:DMZ262188 DWV262187:DWV262188 EGR262187:EGR262188 EQN262187:EQN262188 FAJ262187:FAJ262188 FKF262187:FKF262188 FUB262187:FUB262188 GDX262187:GDX262188 GNT262187:GNT262188 GXP262187:GXP262188 HHL262187:HHL262188 HRH262187:HRH262188 IBD262187:IBD262188 IKZ262187:IKZ262188 IUV262187:IUV262188 JER262187:JER262188 JON262187:JON262188 JYJ262187:JYJ262188 KIF262187:KIF262188 KSB262187:KSB262188 LBX262187:LBX262188 LLT262187:LLT262188 LVP262187:LVP262188 MFL262187:MFL262188 MPH262187:MPH262188 MZD262187:MZD262188 NIZ262187:NIZ262188 NSV262187:NSV262188 OCR262187:OCR262188 OMN262187:OMN262188 OWJ262187:OWJ262188 PGF262187:PGF262188 PQB262187:PQB262188 PZX262187:PZX262188 QJT262187:QJT262188 QTP262187:QTP262188 RDL262187:RDL262188 RNH262187:RNH262188 RXD262187:RXD262188 SGZ262187:SGZ262188 SQV262187:SQV262188 TAR262187:TAR262188 TKN262187:TKN262188 TUJ262187:TUJ262188 UEF262187:UEF262188 UOB262187:UOB262188 UXX262187:UXX262188 VHT262187:VHT262188 VRP262187:VRP262188 WBL262187:WBL262188 WLH262187:WLH262188 WVD262187:WVD262188 L327724:L327725 IR327723:IR327724 SN327723:SN327724 ACJ327723:ACJ327724 AMF327723:AMF327724 AWB327723:AWB327724 BFX327723:BFX327724 BPT327723:BPT327724 BZP327723:BZP327724 CJL327723:CJL327724 CTH327723:CTH327724 DDD327723:DDD327724 DMZ327723:DMZ327724 DWV327723:DWV327724 EGR327723:EGR327724 EQN327723:EQN327724 FAJ327723:FAJ327724 FKF327723:FKF327724 FUB327723:FUB327724 GDX327723:GDX327724 GNT327723:GNT327724 GXP327723:GXP327724 HHL327723:HHL327724 HRH327723:HRH327724 IBD327723:IBD327724 IKZ327723:IKZ327724 IUV327723:IUV327724 JER327723:JER327724 JON327723:JON327724 JYJ327723:JYJ327724 KIF327723:KIF327724 KSB327723:KSB327724 LBX327723:LBX327724 LLT327723:LLT327724 LVP327723:LVP327724 MFL327723:MFL327724 MPH327723:MPH327724 MZD327723:MZD327724 NIZ327723:NIZ327724 NSV327723:NSV327724 OCR327723:OCR327724 OMN327723:OMN327724 OWJ327723:OWJ327724 PGF327723:PGF327724 PQB327723:PQB327724 PZX327723:PZX327724 QJT327723:QJT327724 QTP327723:QTP327724 RDL327723:RDL327724 RNH327723:RNH327724 RXD327723:RXD327724 SGZ327723:SGZ327724 SQV327723:SQV327724 TAR327723:TAR327724 TKN327723:TKN327724 TUJ327723:TUJ327724 UEF327723:UEF327724 UOB327723:UOB327724 UXX327723:UXX327724 VHT327723:VHT327724 VRP327723:VRP327724 WBL327723:WBL327724 WLH327723:WLH327724 WVD327723:WVD327724 L393260:L393261 IR393259:IR393260 SN393259:SN393260 ACJ393259:ACJ393260 AMF393259:AMF393260 AWB393259:AWB393260 BFX393259:BFX393260 BPT393259:BPT393260 BZP393259:BZP393260 CJL393259:CJL393260 CTH393259:CTH393260 DDD393259:DDD393260 DMZ393259:DMZ393260 DWV393259:DWV393260 EGR393259:EGR393260 EQN393259:EQN393260 FAJ393259:FAJ393260 FKF393259:FKF393260 FUB393259:FUB393260 GDX393259:GDX393260 GNT393259:GNT393260 GXP393259:GXP393260 HHL393259:HHL393260 HRH393259:HRH393260 IBD393259:IBD393260 IKZ393259:IKZ393260 IUV393259:IUV393260 JER393259:JER393260 JON393259:JON393260 JYJ393259:JYJ393260 KIF393259:KIF393260 KSB393259:KSB393260 LBX393259:LBX393260 LLT393259:LLT393260 LVP393259:LVP393260 MFL393259:MFL393260 MPH393259:MPH393260 MZD393259:MZD393260 NIZ393259:NIZ393260 NSV393259:NSV393260 OCR393259:OCR393260 OMN393259:OMN393260 OWJ393259:OWJ393260 PGF393259:PGF393260 PQB393259:PQB393260 PZX393259:PZX393260 QJT393259:QJT393260 QTP393259:QTP393260 RDL393259:RDL393260 RNH393259:RNH393260 RXD393259:RXD393260 SGZ393259:SGZ393260 SQV393259:SQV393260 TAR393259:TAR393260 TKN393259:TKN393260 TUJ393259:TUJ393260 UEF393259:UEF393260 UOB393259:UOB393260 UXX393259:UXX393260 VHT393259:VHT393260 VRP393259:VRP393260 WBL393259:WBL393260 WLH393259:WLH393260 WVD393259:WVD393260 L458796:L458797 IR458795:IR458796 SN458795:SN458796 ACJ458795:ACJ458796 AMF458795:AMF458796 AWB458795:AWB458796 BFX458795:BFX458796 BPT458795:BPT458796 BZP458795:BZP458796 CJL458795:CJL458796 CTH458795:CTH458796 DDD458795:DDD458796 DMZ458795:DMZ458796 DWV458795:DWV458796 EGR458795:EGR458796 EQN458795:EQN458796 FAJ458795:FAJ458796 FKF458795:FKF458796 FUB458795:FUB458796 GDX458795:GDX458796 GNT458795:GNT458796 GXP458795:GXP458796 HHL458795:HHL458796 HRH458795:HRH458796 IBD458795:IBD458796 IKZ458795:IKZ458796 IUV458795:IUV458796 JER458795:JER458796 JON458795:JON458796 JYJ458795:JYJ458796 KIF458795:KIF458796 KSB458795:KSB458796 LBX458795:LBX458796 LLT458795:LLT458796 LVP458795:LVP458796 MFL458795:MFL458796 MPH458795:MPH458796 MZD458795:MZD458796 NIZ458795:NIZ458796 NSV458795:NSV458796 OCR458795:OCR458796 OMN458795:OMN458796 OWJ458795:OWJ458796 PGF458795:PGF458796 PQB458795:PQB458796 PZX458795:PZX458796 QJT458795:QJT458796 QTP458795:QTP458796 RDL458795:RDL458796 RNH458795:RNH458796 RXD458795:RXD458796 SGZ458795:SGZ458796 SQV458795:SQV458796 TAR458795:TAR458796 TKN458795:TKN458796 TUJ458795:TUJ458796 UEF458795:UEF458796 UOB458795:UOB458796 UXX458795:UXX458796 VHT458795:VHT458796 VRP458795:VRP458796 WBL458795:WBL458796 WLH458795:WLH458796 WVD458795:WVD458796 L524332:L524333 IR524331:IR524332 SN524331:SN524332 ACJ524331:ACJ524332 AMF524331:AMF524332 AWB524331:AWB524332 BFX524331:BFX524332 BPT524331:BPT524332 BZP524331:BZP524332 CJL524331:CJL524332 CTH524331:CTH524332 DDD524331:DDD524332 DMZ524331:DMZ524332 DWV524331:DWV524332 EGR524331:EGR524332 EQN524331:EQN524332 FAJ524331:FAJ524332 FKF524331:FKF524332 FUB524331:FUB524332 GDX524331:GDX524332 GNT524331:GNT524332 GXP524331:GXP524332 HHL524331:HHL524332 HRH524331:HRH524332 IBD524331:IBD524332 IKZ524331:IKZ524332 IUV524331:IUV524332 JER524331:JER524332 JON524331:JON524332 JYJ524331:JYJ524332 KIF524331:KIF524332 KSB524331:KSB524332 LBX524331:LBX524332 LLT524331:LLT524332 LVP524331:LVP524332 MFL524331:MFL524332 MPH524331:MPH524332 MZD524331:MZD524332 NIZ524331:NIZ524332 NSV524331:NSV524332 OCR524331:OCR524332 OMN524331:OMN524332 OWJ524331:OWJ524332 PGF524331:PGF524332 PQB524331:PQB524332 PZX524331:PZX524332 QJT524331:QJT524332 QTP524331:QTP524332 RDL524331:RDL524332 RNH524331:RNH524332 RXD524331:RXD524332 SGZ524331:SGZ524332 SQV524331:SQV524332 TAR524331:TAR524332 TKN524331:TKN524332 TUJ524331:TUJ524332 UEF524331:UEF524332 UOB524331:UOB524332 UXX524331:UXX524332 VHT524331:VHT524332 VRP524331:VRP524332 WBL524331:WBL524332 WLH524331:WLH524332 WVD524331:WVD524332 L589868:L589869 IR589867:IR589868 SN589867:SN589868 ACJ589867:ACJ589868 AMF589867:AMF589868 AWB589867:AWB589868 BFX589867:BFX589868 BPT589867:BPT589868 BZP589867:BZP589868 CJL589867:CJL589868 CTH589867:CTH589868 DDD589867:DDD589868 DMZ589867:DMZ589868 DWV589867:DWV589868 EGR589867:EGR589868 EQN589867:EQN589868 FAJ589867:FAJ589868 FKF589867:FKF589868 FUB589867:FUB589868 GDX589867:GDX589868 GNT589867:GNT589868 GXP589867:GXP589868 HHL589867:HHL589868 HRH589867:HRH589868 IBD589867:IBD589868 IKZ589867:IKZ589868 IUV589867:IUV589868 JER589867:JER589868 JON589867:JON589868 JYJ589867:JYJ589868 KIF589867:KIF589868 KSB589867:KSB589868 LBX589867:LBX589868 LLT589867:LLT589868 LVP589867:LVP589868 MFL589867:MFL589868 MPH589867:MPH589868 MZD589867:MZD589868 NIZ589867:NIZ589868 NSV589867:NSV589868 OCR589867:OCR589868 OMN589867:OMN589868 OWJ589867:OWJ589868 PGF589867:PGF589868 PQB589867:PQB589868 PZX589867:PZX589868 QJT589867:QJT589868 QTP589867:QTP589868 RDL589867:RDL589868 RNH589867:RNH589868 RXD589867:RXD589868 SGZ589867:SGZ589868 SQV589867:SQV589868 TAR589867:TAR589868 TKN589867:TKN589868 TUJ589867:TUJ589868 UEF589867:UEF589868 UOB589867:UOB589868 UXX589867:UXX589868 VHT589867:VHT589868 VRP589867:VRP589868 WBL589867:WBL589868 WLH589867:WLH589868 WVD589867:WVD589868 L655404:L655405 IR655403:IR655404 SN655403:SN655404 ACJ655403:ACJ655404 AMF655403:AMF655404 AWB655403:AWB655404 BFX655403:BFX655404 BPT655403:BPT655404 BZP655403:BZP655404 CJL655403:CJL655404 CTH655403:CTH655404 DDD655403:DDD655404 DMZ655403:DMZ655404 DWV655403:DWV655404 EGR655403:EGR655404 EQN655403:EQN655404 FAJ655403:FAJ655404 FKF655403:FKF655404 FUB655403:FUB655404 GDX655403:GDX655404 GNT655403:GNT655404 GXP655403:GXP655404 HHL655403:HHL655404 HRH655403:HRH655404 IBD655403:IBD655404 IKZ655403:IKZ655404 IUV655403:IUV655404 JER655403:JER655404 JON655403:JON655404 JYJ655403:JYJ655404 KIF655403:KIF655404 KSB655403:KSB655404 LBX655403:LBX655404 LLT655403:LLT655404 LVP655403:LVP655404 MFL655403:MFL655404 MPH655403:MPH655404 MZD655403:MZD655404 NIZ655403:NIZ655404 NSV655403:NSV655404 OCR655403:OCR655404 OMN655403:OMN655404 OWJ655403:OWJ655404 PGF655403:PGF655404 PQB655403:PQB655404 PZX655403:PZX655404 QJT655403:QJT655404 QTP655403:QTP655404 RDL655403:RDL655404 RNH655403:RNH655404 RXD655403:RXD655404 SGZ655403:SGZ655404 SQV655403:SQV655404 TAR655403:TAR655404 TKN655403:TKN655404 TUJ655403:TUJ655404 UEF655403:UEF655404 UOB655403:UOB655404 UXX655403:UXX655404 VHT655403:VHT655404 VRP655403:VRP655404 WBL655403:WBL655404 WLH655403:WLH655404 WVD655403:WVD655404 L720940:L720941 IR720939:IR720940 SN720939:SN720940 ACJ720939:ACJ720940 AMF720939:AMF720940 AWB720939:AWB720940 BFX720939:BFX720940 BPT720939:BPT720940 BZP720939:BZP720940 CJL720939:CJL720940 CTH720939:CTH720940 DDD720939:DDD720940 DMZ720939:DMZ720940 DWV720939:DWV720940 EGR720939:EGR720940 EQN720939:EQN720940 FAJ720939:FAJ720940 FKF720939:FKF720940 FUB720939:FUB720940 GDX720939:GDX720940 GNT720939:GNT720940 GXP720939:GXP720940 HHL720939:HHL720940 HRH720939:HRH720940 IBD720939:IBD720940 IKZ720939:IKZ720940 IUV720939:IUV720940 JER720939:JER720940 JON720939:JON720940 JYJ720939:JYJ720940 KIF720939:KIF720940 KSB720939:KSB720940 LBX720939:LBX720940 LLT720939:LLT720940 LVP720939:LVP720940 MFL720939:MFL720940 MPH720939:MPH720940 MZD720939:MZD720940 NIZ720939:NIZ720940 NSV720939:NSV720940 OCR720939:OCR720940 OMN720939:OMN720940 OWJ720939:OWJ720940 PGF720939:PGF720940 PQB720939:PQB720940 PZX720939:PZX720940 QJT720939:QJT720940 QTP720939:QTP720940 RDL720939:RDL720940 RNH720939:RNH720940 RXD720939:RXD720940 SGZ720939:SGZ720940 SQV720939:SQV720940 TAR720939:TAR720940 TKN720939:TKN720940 TUJ720939:TUJ720940 UEF720939:UEF720940 UOB720939:UOB720940 UXX720939:UXX720940 VHT720939:VHT720940 VRP720939:VRP720940 WBL720939:WBL720940 WLH720939:WLH720940 WVD720939:WVD720940 L786476:L786477 IR786475:IR786476 SN786475:SN786476 ACJ786475:ACJ786476 AMF786475:AMF786476 AWB786475:AWB786476 BFX786475:BFX786476 BPT786475:BPT786476 BZP786475:BZP786476 CJL786475:CJL786476 CTH786475:CTH786476 DDD786475:DDD786476 DMZ786475:DMZ786476 DWV786475:DWV786476 EGR786475:EGR786476 EQN786475:EQN786476 FAJ786475:FAJ786476 FKF786475:FKF786476 FUB786475:FUB786476 GDX786475:GDX786476 GNT786475:GNT786476 GXP786475:GXP786476 HHL786475:HHL786476 HRH786475:HRH786476 IBD786475:IBD786476 IKZ786475:IKZ786476 IUV786475:IUV786476 JER786475:JER786476 JON786475:JON786476 JYJ786475:JYJ786476 KIF786475:KIF786476 KSB786475:KSB786476 LBX786475:LBX786476 LLT786475:LLT786476 LVP786475:LVP786476 MFL786475:MFL786476 MPH786475:MPH786476 MZD786475:MZD786476 NIZ786475:NIZ786476 NSV786475:NSV786476 OCR786475:OCR786476 OMN786475:OMN786476 OWJ786475:OWJ786476 PGF786475:PGF786476 PQB786475:PQB786476 PZX786475:PZX786476 QJT786475:QJT786476 QTP786475:QTP786476 RDL786475:RDL786476 RNH786475:RNH786476 RXD786475:RXD786476 SGZ786475:SGZ786476 SQV786475:SQV786476 TAR786475:TAR786476 TKN786475:TKN786476 TUJ786475:TUJ786476 UEF786475:UEF786476 UOB786475:UOB786476 UXX786475:UXX786476 VHT786475:VHT786476 VRP786475:VRP786476 WBL786475:WBL786476 WLH786475:WLH786476 WVD786475:WVD786476 L852012:L852013 IR852011:IR852012 SN852011:SN852012 ACJ852011:ACJ852012 AMF852011:AMF852012 AWB852011:AWB852012 BFX852011:BFX852012 BPT852011:BPT852012 BZP852011:BZP852012 CJL852011:CJL852012 CTH852011:CTH852012 DDD852011:DDD852012 DMZ852011:DMZ852012 DWV852011:DWV852012 EGR852011:EGR852012 EQN852011:EQN852012 FAJ852011:FAJ852012 FKF852011:FKF852012 FUB852011:FUB852012 GDX852011:GDX852012 GNT852011:GNT852012 GXP852011:GXP852012 HHL852011:HHL852012 HRH852011:HRH852012 IBD852011:IBD852012 IKZ852011:IKZ852012 IUV852011:IUV852012 JER852011:JER852012 JON852011:JON852012 JYJ852011:JYJ852012 KIF852011:KIF852012 KSB852011:KSB852012 LBX852011:LBX852012 LLT852011:LLT852012 LVP852011:LVP852012 MFL852011:MFL852012 MPH852011:MPH852012 MZD852011:MZD852012 NIZ852011:NIZ852012 NSV852011:NSV852012 OCR852011:OCR852012 OMN852011:OMN852012 OWJ852011:OWJ852012 PGF852011:PGF852012 PQB852011:PQB852012 PZX852011:PZX852012 QJT852011:QJT852012 QTP852011:QTP852012 RDL852011:RDL852012 RNH852011:RNH852012 RXD852011:RXD852012 SGZ852011:SGZ852012 SQV852011:SQV852012 TAR852011:TAR852012 TKN852011:TKN852012 TUJ852011:TUJ852012 UEF852011:UEF852012 UOB852011:UOB852012 UXX852011:UXX852012 VHT852011:VHT852012 VRP852011:VRP852012 WBL852011:WBL852012 WLH852011:WLH852012 WVD852011:WVD852012 L917548:L917549 IR917547:IR917548 SN917547:SN917548 ACJ917547:ACJ917548 AMF917547:AMF917548 AWB917547:AWB917548 BFX917547:BFX917548 BPT917547:BPT917548 BZP917547:BZP917548 CJL917547:CJL917548 CTH917547:CTH917548 DDD917547:DDD917548 DMZ917547:DMZ917548 DWV917547:DWV917548 EGR917547:EGR917548 EQN917547:EQN917548 FAJ917547:FAJ917548 FKF917547:FKF917548 FUB917547:FUB917548 GDX917547:GDX917548 GNT917547:GNT917548 GXP917547:GXP917548 HHL917547:HHL917548 HRH917547:HRH917548 IBD917547:IBD917548 IKZ917547:IKZ917548 IUV917547:IUV917548 JER917547:JER917548 JON917547:JON917548 JYJ917547:JYJ917548 KIF917547:KIF917548 KSB917547:KSB917548 LBX917547:LBX917548 LLT917547:LLT917548 LVP917547:LVP917548 MFL917547:MFL917548 MPH917547:MPH917548 MZD917547:MZD917548 NIZ917547:NIZ917548 NSV917547:NSV917548 OCR917547:OCR917548 OMN917547:OMN917548 OWJ917547:OWJ917548 PGF917547:PGF917548 PQB917547:PQB917548 PZX917547:PZX917548 QJT917547:QJT917548 QTP917547:QTP917548 RDL917547:RDL917548 RNH917547:RNH917548 RXD917547:RXD917548 SGZ917547:SGZ917548 SQV917547:SQV917548 TAR917547:TAR917548 TKN917547:TKN917548 TUJ917547:TUJ917548 UEF917547:UEF917548 UOB917547:UOB917548 UXX917547:UXX917548 VHT917547:VHT917548 VRP917547:VRP917548 WBL917547:WBL917548 WLH917547:WLH917548 WVD917547:WVD917548 L983084:L983085 IR983083:IR983084 SN983083:SN983084 ACJ983083:ACJ983084 AMF983083:AMF983084 AWB983083:AWB983084 BFX983083:BFX983084 BPT983083:BPT983084 BZP983083:BZP983084 CJL983083:CJL983084 CTH983083:CTH983084 DDD983083:DDD983084 DMZ983083:DMZ983084 DWV983083:DWV983084 EGR983083:EGR983084 EQN983083:EQN983084 FAJ983083:FAJ983084 FKF983083:FKF983084 FUB983083:FUB983084 GDX983083:GDX983084 GNT983083:GNT983084 GXP983083:GXP983084 HHL983083:HHL983084 HRH983083:HRH983084 IBD983083:IBD983084 IKZ983083:IKZ983084 IUV983083:IUV983084 JER983083:JER983084 JON983083:JON983084 JYJ983083:JYJ983084 KIF983083:KIF983084 KSB983083:KSB983084 LBX983083:LBX983084 LLT983083:LLT983084 LVP983083:LVP983084 MFL983083:MFL983084 MPH983083:MPH983084 MZD983083:MZD983084 NIZ983083:NIZ983084 NSV983083:NSV983084 OCR983083:OCR983084 OMN983083:OMN983084 OWJ983083:OWJ983084 PGF983083:PGF983084 PQB983083:PQB983084 PZX983083:PZX983084 QJT983083:QJT983084 QTP983083:QTP983084 RDL983083:RDL983084 RNH983083:RNH983084 RXD983083:RXD983084 SGZ983083:SGZ983084 SQV983083:SQV983084 TAR983083:TAR983084 TKN983083:TKN983084 TUJ983083:TUJ983084 UEF983083:UEF983084 UOB983083:UOB983084 UXX983083:UXX983084 VHT983083:VHT983084 VRP983083:VRP983084 WBL983083:WBL983084 WLH983083:WLH983084 WVD983083:WVD983084 N65580:N65581 IU65579:IU65580 SQ65579:SQ65580 ACM65579:ACM65580 AMI65579:AMI65580 AWE65579:AWE65580 BGA65579:BGA65580 BPW65579:BPW65580 BZS65579:BZS65580 CJO65579:CJO65580 CTK65579:CTK65580 DDG65579:DDG65580 DNC65579:DNC65580 DWY65579:DWY65580 EGU65579:EGU65580 EQQ65579:EQQ65580 FAM65579:FAM65580 FKI65579:FKI65580 FUE65579:FUE65580 GEA65579:GEA65580 GNW65579:GNW65580 GXS65579:GXS65580 HHO65579:HHO65580 HRK65579:HRK65580 IBG65579:IBG65580 ILC65579:ILC65580 IUY65579:IUY65580 JEU65579:JEU65580 JOQ65579:JOQ65580 JYM65579:JYM65580 KII65579:KII65580 KSE65579:KSE65580 LCA65579:LCA65580 LLW65579:LLW65580 LVS65579:LVS65580 MFO65579:MFO65580 MPK65579:MPK65580 MZG65579:MZG65580 NJC65579:NJC65580 NSY65579:NSY65580 OCU65579:OCU65580 OMQ65579:OMQ65580 OWM65579:OWM65580 PGI65579:PGI65580 PQE65579:PQE65580 QAA65579:QAA65580 QJW65579:QJW65580 QTS65579:QTS65580 RDO65579:RDO65580 RNK65579:RNK65580 RXG65579:RXG65580 SHC65579:SHC65580 SQY65579:SQY65580 TAU65579:TAU65580 TKQ65579:TKQ65580 TUM65579:TUM65580 UEI65579:UEI65580 UOE65579:UOE65580 UYA65579:UYA65580 VHW65579:VHW65580 VRS65579:VRS65580 WBO65579:WBO65580 WLK65579:WLK65580 WVG65579:WVG65580 N131116:N131117 IU131115:IU131116 SQ131115:SQ131116 ACM131115:ACM131116 AMI131115:AMI131116 AWE131115:AWE131116 BGA131115:BGA131116 BPW131115:BPW131116 BZS131115:BZS131116 CJO131115:CJO131116 CTK131115:CTK131116 DDG131115:DDG131116 DNC131115:DNC131116 DWY131115:DWY131116 EGU131115:EGU131116 EQQ131115:EQQ131116 FAM131115:FAM131116 FKI131115:FKI131116 FUE131115:FUE131116 GEA131115:GEA131116 GNW131115:GNW131116 GXS131115:GXS131116 HHO131115:HHO131116 HRK131115:HRK131116 IBG131115:IBG131116 ILC131115:ILC131116 IUY131115:IUY131116 JEU131115:JEU131116 JOQ131115:JOQ131116 JYM131115:JYM131116 KII131115:KII131116 KSE131115:KSE131116 LCA131115:LCA131116 LLW131115:LLW131116 LVS131115:LVS131116 MFO131115:MFO131116 MPK131115:MPK131116 MZG131115:MZG131116 NJC131115:NJC131116 NSY131115:NSY131116 OCU131115:OCU131116 OMQ131115:OMQ131116 OWM131115:OWM131116 PGI131115:PGI131116 PQE131115:PQE131116 QAA131115:QAA131116 QJW131115:QJW131116 QTS131115:QTS131116 RDO131115:RDO131116 RNK131115:RNK131116 RXG131115:RXG131116 SHC131115:SHC131116 SQY131115:SQY131116 TAU131115:TAU131116 TKQ131115:TKQ131116 TUM131115:TUM131116 UEI131115:UEI131116 UOE131115:UOE131116 UYA131115:UYA131116 VHW131115:VHW131116 VRS131115:VRS131116 WBO131115:WBO131116 WLK131115:WLK131116 WVG131115:WVG131116 N196652:N196653 IU196651:IU196652 SQ196651:SQ196652 ACM196651:ACM196652 AMI196651:AMI196652 AWE196651:AWE196652 BGA196651:BGA196652 BPW196651:BPW196652 BZS196651:BZS196652 CJO196651:CJO196652 CTK196651:CTK196652 DDG196651:DDG196652 DNC196651:DNC196652 DWY196651:DWY196652 EGU196651:EGU196652 EQQ196651:EQQ196652 FAM196651:FAM196652 FKI196651:FKI196652 FUE196651:FUE196652 GEA196651:GEA196652 GNW196651:GNW196652 GXS196651:GXS196652 HHO196651:HHO196652 HRK196651:HRK196652 IBG196651:IBG196652 ILC196651:ILC196652 IUY196651:IUY196652 JEU196651:JEU196652 JOQ196651:JOQ196652 JYM196651:JYM196652 KII196651:KII196652 KSE196651:KSE196652 LCA196651:LCA196652 LLW196651:LLW196652 LVS196651:LVS196652 MFO196651:MFO196652 MPK196651:MPK196652 MZG196651:MZG196652 NJC196651:NJC196652 NSY196651:NSY196652 OCU196651:OCU196652 OMQ196651:OMQ196652 OWM196651:OWM196652 PGI196651:PGI196652 PQE196651:PQE196652 QAA196651:QAA196652 QJW196651:QJW196652 QTS196651:QTS196652 RDO196651:RDO196652 RNK196651:RNK196652 RXG196651:RXG196652 SHC196651:SHC196652 SQY196651:SQY196652 TAU196651:TAU196652 TKQ196651:TKQ196652 TUM196651:TUM196652 UEI196651:UEI196652 UOE196651:UOE196652 UYA196651:UYA196652 VHW196651:VHW196652 VRS196651:VRS196652 WBO196651:WBO196652 WLK196651:WLK196652 WVG196651:WVG196652 N262188:N262189 IU262187:IU262188 SQ262187:SQ262188 ACM262187:ACM262188 AMI262187:AMI262188 AWE262187:AWE262188 BGA262187:BGA262188 BPW262187:BPW262188 BZS262187:BZS262188 CJO262187:CJO262188 CTK262187:CTK262188 DDG262187:DDG262188 DNC262187:DNC262188 DWY262187:DWY262188 EGU262187:EGU262188 EQQ262187:EQQ262188 FAM262187:FAM262188 FKI262187:FKI262188 FUE262187:FUE262188 GEA262187:GEA262188 GNW262187:GNW262188 GXS262187:GXS262188 HHO262187:HHO262188 HRK262187:HRK262188 IBG262187:IBG262188 ILC262187:ILC262188 IUY262187:IUY262188 JEU262187:JEU262188 JOQ262187:JOQ262188 JYM262187:JYM262188 KII262187:KII262188 KSE262187:KSE262188 LCA262187:LCA262188 LLW262187:LLW262188 LVS262187:LVS262188 MFO262187:MFO262188 MPK262187:MPK262188 MZG262187:MZG262188 NJC262187:NJC262188 NSY262187:NSY262188 OCU262187:OCU262188 OMQ262187:OMQ262188 OWM262187:OWM262188 PGI262187:PGI262188 PQE262187:PQE262188 QAA262187:QAA262188 QJW262187:QJW262188 QTS262187:QTS262188 RDO262187:RDO262188 RNK262187:RNK262188 RXG262187:RXG262188 SHC262187:SHC262188 SQY262187:SQY262188 TAU262187:TAU262188 TKQ262187:TKQ262188 TUM262187:TUM262188 UEI262187:UEI262188 UOE262187:UOE262188 UYA262187:UYA262188 VHW262187:VHW262188 VRS262187:VRS262188 WBO262187:WBO262188 WLK262187:WLK262188 WVG262187:WVG262188 N327724:N327725 IU327723:IU327724 SQ327723:SQ327724 ACM327723:ACM327724 AMI327723:AMI327724 AWE327723:AWE327724 BGA327723:BGA327724 BPW327723:BPW327724 BZS327723:BZS327724 CJO327723:CJO327724 CTK327723:CTK327724 DDG327723:DDG327724 DNC327723:DNC327724 DWY327723:DWY327724 EGU327723:EGU327724 EQQ327723:EQQ327724 FAM327723:FAM327724 FKI327723:FKI327724 FUE327723:FUE327724 GEA327723:GEA327724 GNW327723:GNW327724 GXS327723:GXS327724 HHO327723:HHO327724 HRK327723:HRK327724 IBG327723:IBG327724 ILC327723:ILC327724 IUY327723:IUY327724 JEU327723:JEU327724 JOQ327723:JOQ327724 JYM327723:JYM327724 KII327723:KII327724 KSE327723:KSE327724 LCA327723:LCA327724 LLW327723:LLW327724 LVS327723:LVS327724 MFO327723:MFO327724 MPK327723:MPK327724 MZG327723:MZG327724 NJC327723:NJC327724 NSY327723:NSY327724 OCU327723:OCU327724 OMQ327723:OMQ327724 OWM327723:OWM327724 PGI327723:PGI327724 PQE327723:PQE327724 QAA327723:QAA327724 QJW327723:QJW327724 QTS327723:QTS327724 RDO327723:RDO327724 RNK327723:RNK327724 RXG327723:RXG327724 SHC327723:SHC327724 SQY327723:SQY327724 TAU327723:TAU327724 TKQ327723:TKQ327724 TUM327723:TUM327724 UEI327723:UEI327724 UOE327723:UOE327724 UYA327723:UYA327724 VHW327723:VHW327724 VRS327723:VRS327724 WBO327723:WBO327724 WLK327723:WLK327724 WVG327723:WVG327724 N393260:N393261 IU393259:IU393260 SQ393259:SQ393260 ACM393259:ACM393260 AMI393259:AMI393260 AWE393259:AWE393260 BGA393259:BGA393260 BPW393259:BPW393260 BZS393259:BZS393260 CJO393259:CJO393260 CTK393259:CTK393260 DDG393259:DDG393260 DNC393259:DNC393260 DWY393259:DWY393260 EGU393259:EGU393260 EQQ393259:EQQ393260 FAM393259:FAM393260 FKI393259:FKI393260 FUE393259:FUE393260 GEA393259:GEA393260 GNW393259:GNW393260 GXS393259:GXS393260 HHO393259:HHO393260 HRK393259:HRK393260 IBG393259:IBG393260 ILC393259:ILC393260 IUY393259:IUY393260 JEU393259:JEU393260 JOQ393259:JOQ393260 JYM393259:JYM393260 KII393259:KII393260 KSE393259:KSE393260 LCA393259:LCA393260 LLW393259:LLW393260 LVS393259:LVS393260 MFO393259:MFO393260 MPK393259:MPK393260 MZG393259:MZG393260 NJC393259:NJC393260 NSY393259:NSY393260 OCU393259:OCU393260 OMQ393259:OMQ393260 OWM393259:OWM393260 PGI393259:PGI393260 PQE393259:PQE393260 QAA393259:QAA393260 QJW393259:QJW393260 QTS393259:QTS393260 RDO393259:RDO393260 RNK393259:RNK393260 RXG393259:RXG393260 SHC393259:SHC393260 SQY393259:SQY393260 TAU393259:TAU393260 TKQ393259:TKQ393260 TUM393259:TUM393260 UEI393259:UEI393260 UOE393259:UOE393260 UYA393259:UYA393260 VHW393259:VHW393260 VRS393259:VRS393260 WBO393259:WBO393260 WLK393259:WLK393260 WVG393259:WVG393260 N458796:N458797 IU458795:IU458796 SQ458795:SQ458796 ACM458795:ACM458796 AMI458795:AMI458796 AWE458795:AWE458796 BGA458795:BGA458796 BPW458795:BPW458796 BZS458795:BZS458796 CJO458795:CJO458796 CTK458795:CTK458796 DDG458795:DDG458796 DNC458795:DNC458796 DWY458795:DWY458796 EGU458795:EGU458796 EQQ458795:EQQ458796 FAM458795:FAM458796 FKI458795:FKI458796 FUE458795:FUE458796 GEA458795:GEA458796 GNW458795:GNW458796 GXS458795:GXS458796 HHO458795:HHO458796 HRK458795:HRK458796 IBG458795:IBG458796 ILC458795:ILC458796 IUY458795:IUY458796 JEU458795:JEU458796 JOQ458795:JOQ458796 JYM458795:JYM458796 KII458795:KII458796 KSE458795:KSE458796 LCA458795:LCA458796 LLW458795:LLW458796 LVS458795:LVS458796 MFO458795:MFO458796 MPK458795:MPK458796 MZG458795:MZG458796 NJC458795:NJC458796 NSY458795:NSY458796 OCU458795:OCU458796 OMQ458795:OMQ458796 OWM458795:OWM458796 PGI458795:PGI458796 PQE458795:PQE458796 QAA458795:QAA458796 QJW458795:QJW458796 QTS458795:QTS458796 RDO458795:RDO458796 RNK458795:RNK458796 RXG458795:RXG458796 SHC458795:SHC458796 SQY458795:SQY458796 TAU458795:TAU458796 TKQ458795:TKQ458796 TUM458795:TUM458796 UEI458795:UEI458796 UOE458795:UOE458796 UYA458795:UYA458796 VHW458795:VHW458796 VRS458795:VRS458796 WBO458795:WBO458796 WLK458795:WLK458796 WVG458795:WVG458796 N524332:N524333 IU524331:IU524332 SQ524331:SQ524332 ACM524331:ACM524332 AMI524331:AMI524332 AWE524331:AWE524332 BGA524331:BGA524332 BPW524331:BPW524332 BZS524331:BZS524332 CJO524331:CJO524332 CTK524331:CTK524332 DDG524331:DDG524332 DNC524331:DNC524332 DWY524331:DWY524332 EGU524331:EGU524332 EQQ524331:EQQ524332 FAM524331:FAM524332 FKI524331:FKI524332 FUE524331:FUE524332 GEA524331:GEA524332 GNW524331:GNW524332 GXS524331:GXS524332 HHO524331:HHO524332 HRK524331:HRK524332 IBG524331:IBG524332 ILC524331:ILC524332 IUY524331:IUY524332 JEU524331:JEU524332 JOQ524331:JOQ524332 JYM524331:JYM524332 KII524331:KII524332 KSE524331:KSE524332 LCA524331:LCA524332 LLW524331:LLW524332 LVS524331:LVS524332 MFO524331:MFO524332 MPK524331:MPK524332 MZG524331:MZG524332 NJC524331:NJC524332 NSY524331:NSY524332 OCU524331:OCU524332 OMQ524331:OMQ524332 OWM524331:OWM524332 PGI524331:PGI524332 PQE524331:PQE524332 QAA524331:QAA524332 QJW524331:QJW524332 QTS524331:QTS524332 RDO524331:RDO524332 RNK524331:RNK524332 RXG524331:RXG524332 SHC524331:SHC524332 SQY524331:SQY524332 TAU524331:TAU524332 TKQ524331:TKQ524332 TUM524331:TUM524332 UEI524331:UEI524332 UOE524331:UOE524332 UYA524331:UYA524332 VHW524331:VHW524332 VRS524331:VRS524332 WBO524331:WBO524332 WLK524331:WLK524332 WVG524331:WVG524332 N589868:N589869 IU589867:IU589868 SQ589867:SQ589868 ACM589867:ACM589868 AMI589867:AMI589868 AWE589867:AWE589868 BGA589867:BGA589868 BPW589867:BPW589868 BZS589867:BZS589868 CJO589867:CJO589868 CTK589867:CTK589868 DDG589867:DDG589868 DNC589867:DNC589868 DWY589867:DWY589868 EGU589867:EGU589868 EQQ589867:EQQ589868 FAM589867:FAM589868 FKI589867:FKI589868 FUE589867:FUE589868 GEA589867:GEA589868 GNW589867:GNW589868 GXS589867:GXS589868 HHO589867:HHO589868 HRK589867:HRK589868 IBG589867:IBG589868 ILC589867:ILC589868 IUY589867:IUY589868 JEU589867:JEU589868 JOQ589867:JOQ589868 JYM589867:JYM589868 KII589867:KII589868 KSE589867:KSE589868 LCA589867:LCA589868 LLW589867:LLW589868 LVS589867:LVS589868 MFO589867:MFO589868 MPK589867:MPK589868 MZG589867:MZG589868 NJC589867:NJC589868 NSY589867:NSY589868 OCU589867:OCU589868 OMQ589867:OMQ589868 OWM589867:OWM589868 PGI589867:PGI589868 PQE589867:PQE589868 QAA589867:QAA589868 QJW589867:QJW589868 QTS589867:QTS589868 RDO589867:RDO589868 RNK589867:RNK589868 RXG589867:RXG589868 SHC589867:SHC589868 SQY589867:SQY589868 TAU589867:TAU589868 TKQ589867:TKQ589868 TUM589867:TUM589868 UEI589867:UEI589868 UOE589867:UOE589868 UYA589867:UYA589868 VHW589867:VHW589868 VRS589867:VRS589868 WBO589867:WBO589868 WLK589867:WLK589868 WVG589867:WVG589868 N655404:N655405 IU655403:IU655404 SQ655403:SQ655404 ACM655403:ACM655404 AMI655403:AMI655404 AWE655403:AWE655404 BGA655403:BGA655404 BPW655403:BPW655404 BZS655403:BZS655404 CJO655403:CJO655404 CTK655403:CTK655404 DDG655403:DDG655404 DNC655403:DNC655404 DWY655403:DWY655404 EGU655403:EGU655404 EQQ655403:EQQ655404 FAM655403:FAM655404 FKI655403:FKI655404 FUE655403:FUE655404 GEA655403:GEA655404 GNW655403:GNW655404 GXS655403:GXS655404 HHO655403:HHO655404 HRK655403:HRK655404 IBG655403:IBG655404 ILC655403:ILC655404 IUY655403:IUY655404 JEU655403:JEU655404 JOQ655403:JOQ655404 JYM655403:JYM655404 KII655403:KII655404 KSE655403:KSE655404 LCA655403:LCA655404 LLW655403:LLW655404 LVS655403:LVS655404 MFO655403:MFO655404 MPK655403:MPK655404 MZG655403:MZG655404 NJC655403:NJC655404 NSY655403:NSY655404 OCU655403:OCU655404 OMQ655403:OMQ655404 OWM655403:OWM655404 PGI655403:PGI655404 PQE655403:PQE655404 QAA655403:QAA655404 QJW655403:QJW655404 QTS655403:QTS655404 RDO655403:RDO655404 RNK655403:RNK655404 RXG655403:RXG655404 SHC655403:SHC655404 SQY655403:SQY655404 TAU655403:TAU655404 TKQ655403:TKQ655404 TUM655403:TUM655404 UEI655403:UEI655404 UOE655403:UOE655404 UYA655403:UYA655404 VHW655403:VHW655404 VRS655403:VRS655404 WBO655403:WBO655404 WLK655403:WLK655404 WVG655403:WVG655404 N720940:N720941 IU720939:IU720940 SQ720939:SQ720940 ACM720939:ACM720940 AMI720939:AMI720940 AWE720939:AWE720940 BGA720939:BGA720940 BPW720939:BPW720940 BZS720939:BZS720940 CJO720939:CJO720940 CTK720939:CTK720940 DDG720939:DDG720940 DNC720939:DNC720940 DWY720939:DWY720940 EGU720939:EGU720940 EQQ720939:EQQ720940 FAM720939:FAM720940 FKI720939:FKI720940 FUE720939:FUE720940 GEA720939:GEA720940 GNW720939:GNW720940 GXS720939:GXS720940 HHO720939:HHO720940 HRK720939:HRK720940 IBG720939:IBG720940 ILC720939:ILC720940 IUY720939:IUY720940 JEU720939:JEU720940 JOQ720939:JOQ720940 JYM720939:JYM720940 KII720939:KII720940 KSE720939:KSE720940 LCA720939:LCA720940 LLW720939:LLW720940 LVS720939:LVS720940 MFO720939:MFO720940 MPK720939:MPK720940 MZG720939:MZG720940 NJC720939:NJC720940 NSY720939:NSY720940 OCU720939:OCU720940 OMQ720939:OMQ720940 OWM720939:OWM720940 PGI720939:PGI720940 PQE720939:PQE720940 QAA720939:QAA720940 QJW720939:QJW720940 QTS720939:QTS720940 RDO720939:RDO720940 RNK720939:RNK720940 RXG720939:RXG720940 SHC720939:SHC720940 SQY720939:SQY720940 TAU720939:TAU720940 TKQ720939:TKQ720940 TUM720939:TUM720940 UEI720939:UEI720940 UOE720939:UOE720940 UYA720939:UYA720940 VHW720939:VHW720940 VRS720939:VRS720940 WBO720939:WBO720940 WLK720939:WLK720940 WVG720939:WVG720940 N786476:N786477 IU786475:IU786476 SQ786475:SQ786476 ACM786475:ACM786476 AMI786475:AMI786476 AWE786475:AWE786476 BGA786475:BGA786476 BPW786475:BPW786476 BZS786475:BZS786476 CJO786475:CJO786476 CTK786475:CTK786476 DDG786475:DDG786476 DNC786475:DNC786476 DWY786475:DWY786476 EGU786475:EGU786476 EQQ786475:EQQ786476 FAM786475:FAM786476 FKI786475:FKI786476 FUE786475:FUE786476 GEA786475:GEA786476 GNW786475:GNW786476 GXS786475:GXS786476 HHO786475:HHO786476 HRK786475:HRK786476 IBG786475:IBG786476 ILC786475:ILC786476 IUY786475:IUY786476 JEU786475:JEU786476 JOQ786475:JOQ786476 JYM786475:JYM786476 KII786475:KII786476 KSE786475:KSE786476 LCA786475:LCA786476 LLW786475:LLW786476 LVS786475:LVS786476 MFO786475:MFO786476 MPK786475:MPK786476 MZG786475:MZG786476 NJC786475:NJC786476 NSY786475:NSY786476 OCU786475:OCU786476 OMQ786475:OMQ786476 OWM786475:OWM786476 PGI786475:PGI786476 PQE786475:PQE786476 QAA786475:QAA786476 QJW786475:QJW786476 QTS786475:QTS786476 RDO786475:RDO786476 RNK786475:RNK786476 RXG786475:RXG786476 SHC786475:SHC786476 SQY786475:SQY786476 TAU786475:TAU786476 TKQ786475:TKQ786476 TUM786475:TUM786476 UEI786475:UEI786476 UOE786475:UOE786476 UYA786475:UYA786476 VHW786475:VHW786476 VRS786475:VRS786476 WBO786475:WBO786476 WLK786475:WLK786476 WVG786475:WVG786476 N852012:N852013 IU852011:IU852012 SQ852011:SQ852012 ACM852011:ACM852012 AMI852011:AMI852012 AWE852011:AWE852012 BGA852011:BGA852012 BPW852011:BPW852012 BZS852011:BZS852012 CJO852011:CJO852012 CTK852011:CTK852012 DDG852011:DDG852012 DNC852011:DNC852012 DWY852011:DWY852012 EGU852011:EGU852012 EQQ852011:EQQ852012 FAM852011:FAM852012 FKI852011:FKI852012 FUE852011:FUE852012 GEA852011:GEA852012 GNW852011:GNW852012 GXS852011:GXS852012 HHO852011:HHO852012 HRK852011:HRK852012 IBG852011:IBG852012 ILC852011:ILC852012 IUY852011:IUY852012 JEU852011:JEU852012 JOQ852011:JOQ852012 JYM852011:JYM852012 KII852011:KII852012 KSE852011:KSE852012 LCA852011:LCA852012 LLW852011:LLW852012 LVS852011:LVS852012 MFO852011:MFO852012 MPK852011:MPK852012 MZG852011:MZG852012 NJC852011:NJC852012 NSY852011:NSY852012 OCU852011:OCU852012 OMQ852011:OMQ852012 OWM852011:OWM852012 PGI852011:PGI852012 PQE852011:PQE852012 QAA852011:QAA852012 QJW852011:QJW852012 QTS852011:QTS852012 RDO852011:RDO852012 RNK852011:RNK852012 RXG852011:RXG852012 SHC852011:SHC852012 SQY852011:SQY852012 TAU852011:TAU852012 TKQ852011:TKQ852012 TUM852011:TUM852012 UEI852011:UEI852012 UOE852011:UOE852012 UYA852011:UYA852012 VHW852011:VHW852012 VRS852011:VRS852012 WBO852011:WBO852012 WLK852011:WLK852012 WVG852011:WVG852012 N917548:N917549 IU917547:IU917548 SQ917547:SQ917548 ACM917547:ACM917548 AMI917547:AMI917548 AWE917547:AWE917548 BGA917547:BGA917548 BPW917547:BPW917548 BZS917547:BZS917548 CJO917547:CJO917548 CTK917547:CTK917548 DDG917547:DDG917548 DNC917547:DNC917548 DWY917547:DWY917548 EGU917547:EGU917548 EQQ917547:EQQ917548 FAM917547:FAM917548 FKI917547:FKI917548 FUE917547:FUE917548 GEA917547:GEA917548 GNW917547:GNW917548 GXS917547:GXS917548 HHO917547:HHO917548 HRK917547:HRK917548 IBG917547:IBG917548 ILC917547:ILC917548 IUY917547:IUY917548 JEU917547:JEU917548 JOQ917547:JOQ917548 JYM917547:JYM917548 KII917547:KII917548 KSE917547:KSE917548 LCA917547:LCA917548 LLW917547:LLW917548 LVS917547:LVS917548 MFO917547:MFO917548 MPK917547:MPK917548 MZG917547:MZG917548 NJC917547:NJC917548 NSY917547:NSY917548 OCU917547:OCU917548 OMQ917547:OMQ917548 OWM917547:OWM917548 PGI917547:PGI917548 PQE917547:PQE917548 QAA917547:QAA917548 QJW917547:QJW917548 QTS917547:QTS917548 RDO917547:RDO917548 RNK917547:RNK917548 RXG917547:RXG917548 SHC917547:SHC917548 SQY917547:SQY917548 TAU917547:TAU917548 TKQ917547:TKQ917548 TUM917547:TUM917548 UEI917547:UEI917548 UOE917547:UOE917548 UYA917547:UYA917548 VHW917547:VHW917548 VRS917547:VRS917548 WBO917547:WBO917548 WLK917547:WLK917548 WVG917547:WVG917548 N983084:N983085 IU983083:IU983084 SQ983083:SQ983084 ACM983083:ACM983084 AMI983083:AMI983084 AWE983083:AWE983084 BGA983083:BGA983084 BPW983083:BPW983084 BZS983083:BZS983084 CJO983083:CJO983084 CTK983083:CTK983084 DDG983083:DDG983084 DNC983083:DNC983084 DWY983083:DWY983084 EGU983083:EGU983084 EQQ983083:EQQ983084 FAM983083:FAM983084 FKI983083:FKI983084 FUE983083:FUE983084 GEA983083:GEA983084 GNW983083:GNW983084 GXS983083:GXS983084 HHO983083:HHO983084 HRK983083:HRK983084 IBG983083:IBG983084 ILC983083:ILC983084 IUY983083:IUY983084 JEU983083:JEU983084 JOQ983083:JOQ983084 JYM983083:JYM983084 KII983083:KII983084 KSE983083:KSE983084 LCA983083:LCA983084 LLW983083:LLW983084 LVS983083:LVS983084 MFO983083:MFO983084 MPK983083:MPK983084 MZG983083:MZG983084 NJC983083:NJC983084 NSY983083:NSY983084 OCU983083:OCU983084 OMQ983083:OMQ983084 OWM983083:OWM983084 PGI983083:PGI983084 PQE983083:PQE983084 QAA983083:QAA983084 QJW983083:QJW983084 QTS983083:QTS983084 RDO983083:RDO983084 RNK983083:RNK983084 RXG983083:RXG983084 SHC983083:SHC983084 SQY983083:SQY983084 TAU983083:TAU983084 TKQ983083:TKQ983084 TUM983083:TUM983084 UEI983083:UEI983084 UOE983083:UOE983084 UYA983083:UYA983084 VHW983083:VHW983084 VRS983083:VRS983084 WBO983083:WBO983084 WLK983083:WLK983084 WVG983083:WVG983084 P65580:P65581 IX65579:IX65580 ST65579:ST65580 ACP65579:ACP65580 AML65579:AML65580 AWH65579:AWH65580 BGD65579:BGD65580 BPZ65579:BPZ65580 BZV65579:BZV65580 CJR65579:CJR65580 CTN65579:CTN65580 DDJ65579:DDJ65580 DNF65579:DNF65580 DXB65579:DXB65580 EGX65579:EGX65580 EQT65579:EQT65580 FAP65579:FAP65580 FKL65579:FKL65580 FUH65579:FUH65580 GED65579:GED65580 GNZ65579:GNZ65580 GXV65579:GXV65580 HHR65579:HHR65580 HRN65579:HRN65580 IBJ65579:IBJ65580 ILF65579:ILF65580 IVB65579:IVB65580 JEX65579:JEX65580 JOT65579:JOT65580 JYP65579:JYP65580 KIL65579:KIL65580 KSH65579:KSH65580 LCD65579:LCD65580 LLZ65579:LLZ65580 LVV65579:LVV65580 MFR65579:MFR65580 MPN65579:MPN65580 MZJ65579:MZJ65580 NJF65579:NJF65580 NTB65579:NTB65580 OCX65579:OCX65580 OMT65579:OMT65580 OWP65579:OWP65580 PGL65579:PGL65580 PQH65579:PQH65580 QAD65579:QAD65580 QJZ65579:QJZ65580 QTV65579:QTV65580 RDR65579:RDR65580 RNN65579:RNN65580 RXJ65579:RXJ65580 SHF65579:SHF65580 SRB65579:SRB65580 TAX65579:TAX65580 TKT65579:TKT65580 TUP65579:TUP65580 UEL65579:UEL65580 UOH65579:UOH65580 UYD65579:UYD65580 VHZ65579:VHZ65580 VRV65579:VRV65580 WBR65579:WBR65580 WLN65579:WLN65580 WVJ65579:WVJ65580 P131116:P131117 IX131115:IX131116 ST131115:ST131116 ACP131115:ACP131116 AML131115:AML131116 AWH131115:AWH131116 BGD131115:BGD131116 BPZ131115:BPZ131116 BZV131115:BZV131116 CJR131115:CJR131116 CTN131115:CTN131116 DDJ131115:DDJ131116 DNF131115:DNF131116 DXB131115:DXB131116 EGX131115:EGX131116 EQT131115:EQT131116 FAP131115:FAP131116 FKL131115:FKL131116 FUH131115:FUH131116 GED131115:GED131116 GNZ131115:GNZ131116 GXV131115:GXV131116 HHR131115:HHR131116 HRN131115:HRN131116 IBJ131115:IBJ131116 ILF131115:ILF131116 IVB131115:IVB131116 JEX131115:JEX131116 JOT131115:JOT131116 JYP131115:JYP131116 KIL131115:KIL131116 KSH131115:KSH131116 LCD131115:LCD131116 LLZ131115:LLZ131116 LVV131115:LVV131116 MFR131115:MFR131116 MPN131115:MPN131116 MZJ131115:MZJ131116 NJF131115:NJF131116 NTB131115:NTB131116 OCX131115:OCX131116 OMT131115:OMT131116 OWP131115:OWP131116 PGL131115:PGL131116 PQH131115:PQH131116 QAD131115:QAD131116 QJZ131115:QJZ131116 QTV131115:QTV131116 RDR131115:RDR131116 RNN131115:RNN131116 RXJ131115:RXJ131116 SHF131115:SHF131116 SRB131115:SRB131116 TAX131115:TAX131116 TKT131115:TKT131116 TUP131115:TUP131116 UEL131115:UEL131116 UOH131115:UOH131116 UYD131115:UYD131116 VHZ131115:VHZ131116 VRV131115:VRV131116 WBR131115:WBR131116 WLN131115:WLN131116 WVJ131115:WVJ131116 P196652:P196653 IX196651:IX196652 ST196651:ST196652 ACP196651:ACP196652 AML196651:AML196652 AWH196651:AWH196652 BGD196651:BGD196652 BPZ196651:BPZ196652 BZV196651:BZV196652 CJR196651:CJR196652 CTN196651:CTN196652 DDJ196651:DDJ196652 DNF196651:DNF196652 DXB196651:DXB196652 EGX196651:EGX196652 EQT196651:EQT196652 FAP196651:FAP196652 FKL196651:FKL196652 FUH196651:FUH196652 GED196651:GED196652 GNZ196651:GNZ196652 GXV196651:GXV196652 HHR196651:HHR196652 HRN196651:HRN196652 IBJ196651:IBJ196652 ILF196651:ILF196652 IVB196651:IVB196652 JEX196651:JEX196652 JOT196651:JOT196652 JYP196651:JYP196652 KIL196651:KIL196652 KSH196651:KSH196652 LCD196651:LCD196652 LLZ196651:LLZ196652 LVV196651:LVV196652 MFR196651:MFR196652 MPN196651:MPN196652 MZJ196651:MZJ196652 NJF196651:NJF196652 NTB196651:NTB196652 OCX196651:OCX196652 OMT196651:OMT196652 OWP196651:OWP196652 PGL196651:PGL196652 PQH196651:PQH196652 QAD196651:QAD196652 QJZ196651:QJZ196652 QTV196651:QTV196652 RDR196651:RDR196652 RNN196651:RNN196652 RXJ196651:RXJ196652 SHF196651:SHF196652 SRB196651:SRB196652 TAX196651:TAX196652 TKT196651:TKT196652 TUP196651:TUP196652 UEL196651:UEL196652 UOH196651:UOH196652 UYD196651:UYD196652 VHZ196651:VHZ196652 VRV196651:VRV196652 WBR196651:WBR196652 WLN196651:WLN196652 WVJ196651:WVJ196652 P262188:P262189 IX262187:IX262188 ST262187:ST262188 ACP262187:ACP262188 AML262187:AML262188 AWH262187:AWH262188 BGD262187:BGD262188 BPZ262187:BPZ262188 BZV262187:BZV262188 CJR262187:CJR262188 CTN262187:CTN262188 DDJ262187:DDJ262188 DNF262187:DNF262188 DXB262187:DXB262188 EGX262187:EGX262188 EQT262187:EQT262188 FAP262187:FAP262188 FKL262187:FKL262188 FUH262187:FUH262188 GED262187:GED262188 GNZ262187:GNZ262188 GXV262187:GXV262188 HHR262187:HHR262188 HRN262187:HRN262188 IBJ262187:IBJ262188 ILF262187:ILF262188 IVB262187:IVB262188 JEX262187:JEX262188 JOT262187:JOT262188 JYP262187:JYP262188 KIL262187:KIL262188 KSH262187:KSH262188 LCD262187:LCD262188 LLZ262187:LLZ262188 LVV262187:LVV262188 MFR262187:MFR262188 MPN262187:MPN262188 MZJ262187:MZJ262188 NJF262187:NJF262188 NTB262187:NTB262188 OCX262187:OCX262188 OMT262187:OMT262188 OWP262187:OWP262188 PGL262187:PGL262188 PQH262187:PQH262188 QAD262187:QAD262188 QJZ262187:QJZ262188 QTV262187:QTV262188 RDR262187:RDR262188 RNN262187:RNN262188 RXJ262187:RXJ262188 SHF262187:SHF262188 SRB262187:SRB262188 TAX262187:TAX262188 TKT262187:TKT262188 TUP262187:TUP262188 UEL262187:UEL262188 UOH262187:UOH262188 UYD262187:UYD262188 VHZ262187:VHZ262188 VRV262187:VRV262188 WBR262187:WBR262188 WLN262187:WLN262188 WVJ262187:WVJ262188 P327724:P327725 IX327723:IX327724 ST327723:ST327724 ACP327723:ACP327724 AML327723:AML327724 AWH327723:AWH327724 BGD327723:BGD327724 BPZ327723:BPZ327724 BZV327723:BZV327724 CJR327723:CJR327724 CTN327723:CTN327724 DDJ327723:DDJ327724 DNF327723:DNF327724 DXB327723:DXB327724 EGX327723:EGX327724 EQT327723:EQT327724 FAP327723:FAP327724 FKL327723:FKL327724 FUH327723:FUH327724 GED327723:GED327724 GNZ327723:GNZ327724 GXV327723:GXV327724 HHR327723:HHR327724 HRN327723:HRN327724 IBJ327723:IBJ327724 ILF327723:ILF327724 IVB327723:IVB327724 JEX327723:JEX327724 JOT327723:JOT327724 JYP327723:JYP327724 KIL327723:KIL327724 KSH327723:KSH327724 LCD327723:LCD327724 LLZ327723:LLZ327724 LVV327723:LVV327724 MFR327723:MFR327724 MPN327723:MPN327724 MZJ327723:MZJ327724 NJF327723:NJF327724 NTB327723:NTB327724 OCX327723:OCX327724 OMT327723:OMT327724 OWP327723:OWP327724 PGL327723:PGL327724 PQH327723:PQH327724 QAD327723:QAD327724 QJZ327723:QJZ327724 QTV327723:QTV327724 RDR327723:RDR327724 RNN327723:RNN327724 RXJ327723:RXJ327724 SHF327723:SHF327724 SRB327723:SRB327724 TAX327723:TAX327724 TKT327723:TKT327724 TUP327723:TUP327724 UEL327723:UEL327724 UOH327723:UOH327724 UYD327723:UYD327724 VHZ327723:VHZ327724 VRV327723:VRV327724 WBR327723:WBR327724 WLN327723:WLN327724 WVJ327723:WVJ327724 P393260:P393261 IX393259:IX393260 ST393259:ST393260 ACP393259:ACP393260 AML393259:AML393260 AWH393259:AWH393260 BGD393259:BGD393260 BPZ393259:BPZ393260 BZV393259:BZV393260 CJR393259:CJR393260 CTN393259:CTN393260 DDJ393259:DDJ393260 DNF393259:DNF393260 DXB393259:DXB393260 EGX393259:EGX393260 EQT393259:EQT393260 FAP393259:FAP393260 FKL393259:FKL393260 FUH393259:FUH393260 GED393259:GED393260 GNZ393259:GNZ393260 GXV393259:GXV393260 HHR393259:HHR393260 HRN393259:HRN393260 IBJ393259:IBJ393260 ILF393259:ILF393260 IVB393259:IVB393260 JEX393259:JEX393260 JOT393259:JOT393260 JYP393259:JYP393260 KIL393259:KIL393260 KSH393259:KSH393260 LCD393259:LCD393260 LLZ393259:LLZ393260 LVV393259:LVV393260 MFR393259:MFR393260 MPN393259:MPN393260 MZJ393259:MZJ393260 NJF393259:NJF393260 NTB393259:NTB393260 OCX393259:OCX393260 OMT393259:OMT393260 OWP393259:OWP393260 PGL393259:PGL393260 PQH393259:PQH393260 QAD393259:QAD393260 QJZ393259:QJZ393260 QTV393259:QTV393260 RDR393259:RDR393260 RNN393259:RNN393260 RXJ393259:RXJ393260 SHF393259:SHF393260 SRB393259:SRB393260 TAX393259:TAX393260 TKT393259:TKT393260 TUP393259:TUP393260 UEL393259:UEL393260 UOH393259:UOH393260 UYD393259:UYD393260 VHZ393259:VHZ393260 VRV393259:VRV393260 WBR393259:WBR393260 WLN393259:WLN393260 WVJ393259:WVJ393260 P458796:P458797 IX458795:IX458796 ST458795:ST458796 ACP458795:ACP458796 AML458795:AML458796 AWH458795:AWH458796 BGD458795:BGD458796 BPZ458795:BPZ458796 BZV458795:BZV458796 CJR458795:CJR458796 CTN458795:CTN458796 DDJ458795:DDJ458796 DNF458795:DNF458796 DXB458795:DXB458796 EGX458795:EGX458796 EQT458795:EQT458796 FAP458795:FAP458796 FKL458795:FKL458796 FUH458795:FUH458796 GED458795:GED458796 GNZ458795:GNZ458796 GXV458795:GXV458796 HHR458795:HHR458796 HRN458795:HRN458796 IBJ458795:IBJ458796 ILF458795:ILF458796 IVB458795:IVB458796 JEX458795:JEX458796 JOT458795:JOT458796 JYP458795:JYP458796 KIL458795:KIL458796 KSH458795:KSH458796 LCD458795:LCD458796 LLZ458795:LLZ458796 LVV458795:LVV458796 MFR458795:MFR458796 MPN458795:MPN458796 MZJ458795:MZJ458796 NJF458795:NJF458796 NTB458795:NTB458796 OCX458795:OCX458796 OMT458795:OMT458796 OWP458795:OWP458796 PGL458795:PGL458796 PQH458795:PQH458796 QAD458795:QAD458796 QJZ458795:QJZ458796 QTV458795:QTV458796 RDR458795:RDR458796 RNN458795:RNN458796 RXJ458795:RXJ458796 SHF458795:SHF458796 SRB458795:SRB458796 TAX458795:TAX458796 TKT458795:TKT458796 TUP458795:TUP458796 UEL458795:UEL458796 UOH458795:UOH458796 UYD458795:UYD458796 VHZ458795:VHZ458796 VRV458795:VRV458796 WBR458795:WBR458796 WLN458795:WLN458796 WVJ458795:WVJ458796 P524332:P524333 IX524331:IX524332 ST524331:ST524332 ACP524331:ACP524332 AML524331:AML524332 AWH524331:AWH524332 BGD524331:BGD524332 BPZ524331:BPZ524332 BZV524331:BZV524332 CJR524331:CJR524332 CTN524331:CTN524332 DDJ524331:DDJ524332 DNF524331:DNF524332 DXB524331:DXB524332 EGX524331:EGX524332 EQT524331:EQT524332 FAP524331:FAP524332 FKL524331:FKL524332 FUH524331:FUH524332 GED524331:GED524332 GNZ524331:GNZ524332 GXV524331:GXV524332 HHR524331:HHR524332 HRN524331:HRN524332 IBJ524331:IBJ524332 ILF524331:ILF524332 IVB524331:IVB524332 JEX524331:JEX524332 JOT524331:JOT524332 JYP524331:JYP524332 KIL524331:KIL524332 KSH524331:KSH524332 LCD524331:LCD524332 LLZ524331:LLZ524332 LVV524331:LVV524332 MFR524331:MFR524332 MPN524331:MPN524332 MZJ524331:MZJ524332 NJF524331:NJF524332 NTB524331:NTB524332 OCX524331:OCX524332 OMT524331:OMT524332 OWP524331:OWP524332 PGL524331:PGL524332 PQH524331:PQH524332 QAD524331:QAD524332 QJZ524331:QJZ524332 QTV524331:QTV524332 RDR524331:RDR524332 RNN524331:RNN524332 RXJ524331:RXJ524332 SHF524331:SHF524332 SRB524331:SRB524332 TAX524331:TAX524332 TKT524331:TKT524332 TUP524331:TUP524332 UEL524331:UEL524332 UOH524331:UOH524332 UYD524331:UYD524332 VHZ524331:VHZ524332 VRV524331:VRV524332 WBR524331:WBR524332 WLN524331:WLN524332 WVJ524331:WVJ524332 P589868:P589869 IX589867:IX589868 ST589867:ST589868 ACP589867:ACP589868 AML589867:AML589868 AWH589867:AWH589868 BGD589867:BGD589868 BPZ589867:BPZ589868 BZV589867:BZV589868 CJR589867:CJR589868 CTN589867:CTN589868 DDJ589867:DDJ589868 DNF589867:DNF589868 DXB589867:DXB589868 EGX589867:EGX589868 EQT589867:EQT589868 FAP589867:FAP589868 FKL589867:FKL589868 FUH589867:FUH589868 GED589867:GED589868 GNZ589867:GNZ589868 GXV589867:GXV589868 HHR589867:HHR589868 HRN589867:HRN589868 IBJ589867:IBJ589868 ILF589867:ILF589868 IVB589867:IVB589868 JEX589867:JEX589868 JOT589867:JOT589868 JYP589867:JYP589868 KIL589867:KIL589868 KSH589867:KSH589868 LCD589867:LCD589868 LLZ589867:LLZ589868 LVV589867:LVV589868 MFR589867:MFR589868 MPN589867:MPN589868 MZJ589867:MZJ589868 NJF589867:NJF589868 NTB589867:NTB589868 OCX589867:OCX589868 OMT589867:OMT589868 OWP589867:OWP589868 PGL589867:PGL589868 PQH589867:PQH589868 QAD589867:QAD589868 QJZ589867:QJZ589868 QTV589867:QTV589868 RDR589867:RDR589868 RNN589867:RNN589868 RXJ589867:RXJ589868 SHF589867:SHF589868 SRB589867:SRB589868 TAX589867:TAX589868 TKT589867:TKT589868 TUP589867:TUP589868 UEL589867:UEL589868 UOH589867:UOH589868 UYD589867:UYD589868 VHZ589867:VHZ589868 VRV589867:VRV589868 WBR589867:WBR589868 WLN589867:WLN589868 WVJ589867:WVJ589868 P655404:P655405 IX655403:IX655404 ST655403:ST655404 ACP655403:ACP655404 AML655403:AML655404 AWH655403:AWH655404 BGD655403:BGD655404 BPZ655403:BPZ655404 BZV655403:BZV655404 CJR655403:CJR655404 CTN655403:CTN655404 DDJ655403:DDJ655404 DNF655403:DNF655404 DXB655403:DXB655404 EGX655403:EGX655404 EQT655403:EQT655404 FAP655403:FAP655404 FKL655403:FKL655404 FUH655403:FUH655404 GED655403:GED655404 GNZ655403:GNZ655404 GXV655403:GXV655404 HHR655403:HHR655404 HRN655403:HRN655404 IBJ655403:IBJ655404 ILF655403:ILF655404 IVB655403:IVB655404 JEX655403:JEX655404 JOT655403:JOT655404 JYP655403:JYP655404 KIL655403:KIL655404 KSH655403:KSH655404 LCD655403:LCD655404 LLZ655403:LLZ655404 LVV655403:LVV655404 MFR655403:MFR655404 MPN655403:MPN655404 MZJ655403:MZJ655404 NJF655403:NJF655404 NTB655403:NTB655404 OCX655403:OCX655404 OMT655403:OMT655404 OWP655403:OWP655404 PGL655403:PGL655404 PQH655403:PQH655404 QAD655403:QAD655404 QJZ655403:QJZ655404 QTV655403:QTV655404 RDR655403:RDR655404 RNN655403:RNN655404 RXJ655403:RXJ655404 SHF655403:SHF655404 SRB655403:SRB655404 TAX655403:TAX655404 TKT655403:TKT655404 TUP655403:TUP655404 UEL655403:UEL655404 UOH655403:UOH655404 UYD655403:UYD655404 VHZ655403:VHZ655404 VRV655403:VRV655404 WBR655403:WBR655404 WLN655403:WLN655404 WVJ655403:WVJ655404 P720940:P720941 IX720939:IX720940 ST720939:ST720940 ACP720939:ACP720940 AML720939:AML720940 AWH720939:AWH720940 BGD720939:BGD720940 BPZ720939:BPZ720940 BZV720939:BZV720940 CJR720939:CJR720940 CTN720939:CTN720940 DDJ720939:DDJ720940 DNF720939:DNF720940 DXB720939:DXB720940 EGX720939:EGX720940 EQT720939:EQT720940 FAP720939:FAP720940 FKL720939:FKL720940 FUH720939:FUH720940 GED720939:GED720940 GNZ720939:GNZ720940 GXV720939:GXV720940 HHR720939:HHR720940 HRN720939:HRN720940 IBJ720939:IBJ720940 ILF720939:ILF720940 IVB720939:IVB720940 JEX720939:JEX720940 JOT720939:JOT720940 JYP720939:JYP720940 KIL720939:KIL720940 KSH720939:KSH720940 LCD720939:LCD720940 LLZ720939:LLZ720940 LVV720939:LVV720940 MFR720939:MFR720940 MPN720939:MPN720940 MZJ720939:MZJ720940 NJF720939:NJF720940 NTB720939:NTB720940 OCX720939:OCX720940 OMT720939:OMT720940 OWP720939:OWP720940 PGL720939:PGL720940 PQH720939:PQH720940 QAD720939:QAD720940 QJZ720939:QJZ720940 QTV720939:QTV720940 RDR720939:RDR720940 RNN720939:RNN720940 RXJ720939:RXJ720940 SHF720939:SHF720940 SRB720939:SRB720940 TAX720939:TAX720940 TKT720939:TKT720940 TUP720939:TUP720940 UEL720939:UEL720940 UOH720939:UOH720940 UYD720939:UYD720940 VHZ720939:VHZ720940 VRV720939:VRV720940 WBR720939:WBR720940 WLN720939:WLN720940 WVJ720939:WVJ720940 P786476:P786477 IX786475:IX786476 ST786475:ST786476 ACP786475:ACP786476 AML786475:AML786476 AWH786475:AWH786476 BGD786475:BGD786476 BPZ786475:BPZ786476 BZV786475:BZV786476 CJR786475:CJR786476 CTN786475:CTN786476 DDJ786475:DDJ786476 DNF786475:DNF786476 DXB786475:DXB786476 EGX786475:EGX786476 EQT786475:EQT786476 FAP786475:FAP786476 FKL786475:FKL786476 FUH786475:FUH786476 GED786475:GED786476 GNZ786475:GNZ786476 GXV786475:GXV786476 HHR786475:HHR786476 HRN786475:HRN786476 IBJ786475:IBJ786476 ILF786475:ILF786476 IVB786475:IVB786476 JEX786475:JEX786476 JOT786475:JOT786476 JYP786475:JYP786476 KIL786475:KIL786476 KSH786475:KSH786476 LCD786475:LCD786476 LLZ786475:LLZ786476 LVV786475:LVV786476 MFR786475:MFR786476 MPN786475:MPN786476 MZJ786475:MZJ786476 NJF786475:NJF786476 NTB786475:NTB786476 OCX786475:OCX786476 OMT786475:OMT786476 OWP786475:OWP786476 PGL786475:PGL786476 PQH786475:PQH786476 QAD786475:QAD786476 QJZ786475:QJZ786476 QTV786475:QTV786476 RDR786475:RDR786476 RNN786475:RNN786476 RXJ786475:RXJ786476 SHF786475:SHF786476 SRB786475:SRB786476 TAX786475:TAX786476 TKT786475:TKT786476 TUP786475:TUP786476 UEL786475:UEL786476 UOH786475:UOH786476 UYD786475:UYD786476 VHZ786475:VHZ786476 VRV786475:VRV786476 WBR786475:WBR786476 WLN786475:WLN786476 WVJ786475:WVJ786476 P852012:P852013 IX852011:IX852012 ST852011:ST852012 ACP852011:ACP852012 AML852011:AML852012 AWH852011:AWH852012 BGD852011:BGD852012 BPZ852011:BPZ852012 BZV852011:BZV852012 CJR852011:CJR852012 CTN852011:CTN852012 DDJ852011:DDJ852012 DNF852011:DNF852012 DXB852011:DXB852012 EGX852011:EGX852012 EQT852011:EQT852012 FAP852011:FAP852012 FKL852011:FKL852012 FUH852011:FUH852012 GED852011:GED852012 GNZ852011:GNZ852012 GXV852011:GXV852012 HHR852011:HHR852012 HRN852011:HRN852012 IBJ852011:IBJ852012 ILF852011:ILF852012 IVB852011:IVB852012 JEX852011:JEX852012 JOT852011:JOT852012 JYP852011:JYP852012 KIL852011:KIL852012 KSH852011:KSH852012 LCD852011:LCD852012 LLZ852011:LLZ852012 LVV852011:LVV852012 MFR852011:MFR852012 MPN852011:MPN852012 MZJ852011:MZJ852012 NJF852011:NJF852012 NTB852011:NTB852012 OCX852011:OCX852012 OMT852011:OMT852012 OWP852011:OWP852012 PGL852011:PGL852012 PQH852011:PQH852012 QAD852011:QAD852012 QJZ852011:QJZ852012 QTV852011:QTV852012 RDR852011:RDR852012 RNN852011:RNN852012 RXJ852011:RXJ852012 SHF852011:SHF852012 SRB852011:SRB852012 TAX852011:TAX852012 TKT852011:TKT852012 TUP852011:TUP852012 UEL852011:UEL852012 UOH852011:UOH852012 UYD852011:UYD852012 VHZ852011:VHZ852012 VRV852011:VRV852012 WBR852011:WBR852012 WLN852011:WLN852012 WVJ852011:WVJ852012 P917548:P917549 IX917547:IX917548 ST917547:ST917548 ACP917547:ACP917548 AML917547:AML917548 AWH917547:AWH917548 BGD917547:BGD917548 BPZ917547:BPZ917548 BZV917547:BZV917548 CJR917547:CJR917548 CTN917547:CTN917548 DDJ917547:DDJ917548 DNF917547:DNF917548 DXB917547:DXB917548 EGX917547:EGX917548 EQT917547:EQT917548 FAP917547:FAP917548 FKL917547:FKL917548 FUH917547:FUH917548 GED917547:GED917548 GNZ917547:GNZ917548 GXV917547:GXV917548 HHR917547:HHR917548 HRN917547:HRN917548 IBJ917547:IBJ917548 ILF917547:ILF917548 IVB917547:IVB917548 JEX917547:JEX917548 JOT917547:JOT917548 JYP917547:JYP917548 KIL917547:KIL917548 KSH917547:KSH917548 LCD917547:LCD917548 LLZ917547:LLZ917548 LVV917547:LVV917548 MFR917547:MFR917548 MPN917547:MPN917548 MZJ917547:MZJ917548 NJF917547:NJF917548 NTB917547:NTB917548 OCX917547:OCX917548 OMT917547:OMT917548 OWP917547:OWP917548 PGL917547:PGL917548 PQH917547:PQH917548 QAD917547:QAD917548 QJZ917547:QJZ917548 QTV917547:QTV917548 RDR917547:RDR917548 RNN917547:RNN917548 RXJ917547:RXJ917548 SHF917547:SHF917548 SRB917547:SRB917548 TAX917547:TAX917548 TKT917547:TKT917548 TUP917547:TUP917548 UEL917547:UEL917548 UOH917547:UOH917548 UYD917547:UYD917548 VHZ917547:VHZ917548 VRV917547:VRV917548 WBR917547:WBR917548 WLN917547:WLN917548 WVJ917547:WVJ917548 P983084:P983085 IX983083:IX983084 ST983083:ST983084 ACP983083:ACP983084 AML983083:AML983084 AWH983083:AWH983084 BGD983083:BGD983084 BPZ983083:BPZ983084 BZV983083:BZV983084 CJR983083:CJR983084 CTN983083:CTN983084 DDJ983083:DDJ983084 DNF983083:DNF983084 DXB983083:DXB983084 EGX983083:EGX983084 EQT983083:EQT983084 FAP983083:FAP983084 FKL983083:FKL983084 FUH983083:FUH983084 GED983083:GED983084 GNZ983083:GNZ983084 GXV983083:GXV983084 HHR983083:HHR983084 HRN983083:HRN983084 IBJ983083:IBJ983084 ILF983083:ILF983084 IVB983083:IVB983084 JEX983083:JEX983084 JOT983083:JOT983084 JYP983083:JYP983084 KIL983083:KIL983084 KSH983083:KSH983084 LCD983083:LCD983084 LLZ983083:LLZ983084 LVV983083:LVV983084 MFR983083:MFR983084 MPN983083:MPN983084 MZJ983083:MZJ983084 NJF983083:NJF983084 NTB983083:NTB983084 OCX983083:OCX983084 OMT983083:OMT983084 OWP983083:OWP983084 PGL983083:PGL983084 PQH983083:PQH983084 QAD983083:QAD983084 QJZ983083:QJZ983084 QTV983083:QTV983084 RDR983083:RDR983084 RNN983083:RNN983084 RXJ983083:RXJ983084 SHF983083:SHF983084 SRB983083:SRB983084 TAX983083:TAX983084 TKT983083:TKT983084 TUP983083:TUP983084 UEL983083:UEL983084 UOH983083:UOH983084 UYD983083:UYD983084 VHZ983083:VHZ983084 VRV983083:VRV983084 WBR983083:WBR983084 WLN983083:WLN983084 WVJ983083:WVJ983084 R65580:R65581 JA65579:JA65580 SW65579:SW65580 ACS65579:ACS65580 AMO65579:AMO65580 AWK65579:AWK65580 BGG65579:BGG65580 BQC65579:BQC65580 BZY65579:BZY65580 CJU65579:CJU65580 CTQ65579:CTQ65580 DDM65579:DDM65580 DNI65579:DNI65580 DXE65579:DXE65580 EHA65579:EHA65580 EQW65579:EQW65580 FAS65579:FAS65580 FKO65579:FKO65580 FUK65579:FUK65580 GEG65579:GEG65580 GOC65579:GOC65580 GXY65579:GXY65580 HHU65579:HHU65580 HRQ65579:HRQ65580 IBM65579:IBM65580 ILI65579:ILI65580 IVE65579:IVE65580 JFA65579:JFA65580 JOW65579:JOW65580 JYS65579:JYS65580 KIO65579:KIO65580 KSK65579:KSK65580 LCG65579:LCG65580 LMC65579:LMC65580 LVY65579:LVY65580 MFU65579:MFU65580 MPQ65579:MPQ65580 MZM65579:MZM65580 NJI65579:NJI65580 NTE65579:NTE65580 ODA65579:ODA65580 OMW65579:OMW65580 OWS65579:OWS65580 PGO65579:PGO65580 PQK65579:PQK65580 QAG65579:QAG65580 QKC65579:QKC65580 QTY65579:QTY65580 RDU65579:RDU65580 RNQ65579:RNQ65580 RXM65579:RXM65580 SHI65579:SHI65580 SRE65579:SRE65580 TBA65579:TBA65580 TKW65579:TKW65580 TUS65579:TUS65580 UEO65579:UEO65580 UOK65579:UOK65580 UYG65579:UYG65580 VIC65579:VIC65580 VRY65579:VRY65580 WBU65579:WBU65580 WLQ65579:WLQ65580 WVM65579:WVM65580 R131116:R131117 JA131115:JA131116 SW131115:SW131116 ACS131115:ACS131116 AMO131115:AMO131116 AWK131115:AWK131116 BGG131115:BGG131116 BQC131115:BQC131116 BZY131115:BZY131116 CJU131115:CJU131116 CTQ131115:CTQ131116 DDM131115:DDM131116 DNI131115:DNI131116 DXE131115:DXE131116 EHA131115:EHA131116 EQW131115:EQW131116 FAS131115:FAS131116 FKO131115:FKO131116 FUK131115:FUK131116 GEG131115:GEG131116 GOC131115:GOC131116 GXY131115:GXY131116 HHU131115:HHU131116 HRQ131115:HRQ131116 IBM131115:IBM131116 ILI131115:ILI131116 IVE131115:IVE131116 JFA131115:JFA131116 JOW131115:JOW131116 JYS131115:JYS131116 KIO131115:KIO131116 KSK131115:KSK131116 LCG131115:LCG131116 LMC131115:LMC131116 LVY131115:LVY131116 MFU131115:MFU131116 MPQ131115:MPQ131116 MZM131115:MZM131116 NJI131115:NJI131116 NTE131115:NTE131116 ODA131115:ODA131116 OMW131115:OMW131116 OWS131115:OWS131116 PGO131115:PGO131116 PQK131115:PQK131116 QAG131115:QAG131116 QKC131115:QKC131116 QTY131115:QTY131116 RDU131115:RDU131116 RNQ131115:RNQ131116 RXM131115:RXM131116 SHI131115:SHI131116 SRE131115:SRE131116 TBA131115:TBA131116 TKW131115:TKW131116 TUS131115:TUS131116 UEO131115:UEO131116 UOK131115:UOK131116 UYG131115:UYG131116 VIC131115:VIC131116 VRY131115:VRY131116 WBU131115:WBU131116 WLQ131115:WLQ131116 WVM131115:WVM131116 R196652:R196653 JA196651:JA196652 SW196651:SW196652 ACS196651:ACS196652 AMO196651:AMO196652 AWK196651:AWK196652 BGG196651:BGG196652 BQC196651:BQC196652 BZY196651:BZY196652 CJU196651:CJU196652 CTQ196651:CTQ196652 DDM196651:DDM196652 DNI196651:DNI196652 DXE196651:DXE196652 EHA196651:EHA196652 EQW196651:EQW196652 FAS196651:FAS196652 FKO196651:FKO196652 FUK196651:FUK196652 GEG196651:GEG196652 GOC196651:GOC196652 GXY196651:GXY196652 HHU196651:HHU196652 HRQ196651:HRQ196652 IBM196651:IBM196652 ILI196651:ILI196652 IVE196651:IVE196652 JFA196651:JFA196652 JOW196651:JOW196652 JYS196651:JYS196652 KIO196651:KIO196652 KSK196651:KSK196652 LCG196651:LCG196652 LMC196651:LMC196652 LVY196651:LVY196652 MFU196651:MFU196652 MPQ196651:MPQ196652 MZM196651:MZM196652 NJI196651:NJI196652 NTE196651:NTE196652 ODA196651:ODA196652 OMW196651:OMW196652 OWS196651:OWS196652 PGO196651:PGO196652 PQK196651:PQK196652 QAG196651:QAG196652 QKC196651:QKC196652 QTY196651:QTY196652 RDU196651:RDU196652 RNQ196651:RNQ196652 RXM196651:RXM196652 SHI196651:SHI196652 SRE196651:SRE196652 TBA196651:TBA196652 TKW196651:TKW196652 TUS196651:TUS196652 UEO196651:UEO196652 UOK196651:UOK196652 UYG196651:UYG196652 VIC196651:VIC196652 VRY196651:VRY196652 WBU196651:WBU196652 WLQ196651:WLQ196652 WVM196651:WVM196652 R262188:R262189 JA262187:JA262188 SW262187:SW262188 ACS262187:ACS262188 AMO262187:AMO262188 AWK262187:AWK262188 BGG262187:BGG262188 BQC262187:BQC262188 BZY262187:BZY262188 CJU262187:CJU262188 CTQ262187:CTQ262188 DDM262187:DDM262188 DNI262187:DNI262188 DXE262187:DXE262188 EHA262187:EHA262188 EQW262187:EQW262188 FAS262187:FAS262188 FKO262187:FKO262188 FUK262187:FUK262188 GEG262187:GEG262188 GOC262187:GOC262188 GXY262187:GXY262188 HHU262187:HHU262188 HRQ262187:HRQ262188 IBM262187:IBM262188 ILI262187:ILI262188 IVE262187:IVE262188 JFA262187:JFA262188 JOW262187:JOW262188 JYS262187:JYS262188 KIO262187:KIO262188 KSK262187:KSK262188 LCG262187:LCG262188 LMC262187:LMC262188 LVY262187:LVY262188 MFU262187:MFU262188 MPQ262187:MPQ262188 MZM262187:MZM262188 NJI262187:NJI262188 NTE262187:NTE262188 ODA262187:ODA262188 OMW262187:OMW262188 OWS262187:OWS262188 PGO262187:PGO262188 PQK262187:PQK262188 QAG262187:QAG262188 QKC262187:QKC262188 QTY262187:QTY262188 RDU262187:RDU262188 RNQ262187:RNQ262188 RXM262187:RXM262188 SHI262187:SHI262188 SRE262187:SRE262188 TBA262187:TBA262188 TKW262187:TKW262188 TUS262187:TUS262188 UEO262187:UEO262188 UOK262187:UOK262188 UYG262187:UYG262188 VIC262187:VIC262188 VRY262187:VRY262188 WBU262187:WBU262188 WLQ262187:WLQ262188 WVM262187:WVM262188 R327724:R327725 JA327723:JA327724 SW327723:SW327724 ACS327723:ACS327724 AMO327723:AMO327724 AWK327723:AWK327724 BGG327723:BGG327724 BQC327723:BQC327724 BZY327723:BZY327724 CJU327723:CJU327724 CTQ327723:CTQ327724 DDM327723:DDM327724 DNI327723:DNI327724 DXE327723:DXE327724 EHA327723:EHA327724 EQW327723:EQW327724 FAS327723:FAS327724 FKO327723:FKO327724 FUK327723:FUK327724 GEG327723:GEG327724 GOC327723:GOC327724 GXY327723:GXY327724 HHU327723:HHU327724 HRQ327723:HRQ327724 IBM327723:IBM327724 ILI327723:ILI327724 IVE327723:IVE327724 JFA327723:JFA327724 JOW327723:JOW327724 JYS327723:JYS327724 KIO327723:KIO327724 KSK327723:KSK327724 LCG327723:LCG327724 LMC327723:LMC327724 LVY327723:LVY327724 MFU327723:MFU327724 MPQ327723:MPQ327724 MZM327723:MZM327724 NJI327723:NJI327724 NTE327723:NTE327724 ODA327723:ODA327724 OMW327723:OMW327724 OWS327723:OWS327724 PGO327723:PGO327724 PQK327723:PQK327724 QAG327723:QAG327724 QKC327723:QKC327724 QTY327723:QTY327724 RDU327723:RDU327724 RNQ327723:RNQ327724 RXM327723:RXM327724 SHI327723:SHI327724 SRE327723:SRE327724 TBA327723:TBA327724 TKW327723:TKW327724 TUS327723:TUS327724 UEO327723:UEO327724 UOK327723:UOK327724 UYG327723:UYG327724 VIC327723:VIC327724 VRY327723:VRY327724 WBU327723:WBU327724 WLQ327723:WLQ327724 WVM327723:WVM327724 R393260:R393261 JA393259:JA393260 SW393259:SW393260 ACS393259:ACS393260 AMO393259:AMO393260 AWK393259:AWK393260 BGG393259:BGG393260 BQC393259:BQC393260 BZY393259:BZY393260 CJU393259:CJU393260 CTQ393259:CTQ393260 DDM393259:DDM393260 DNI393259:DNI393260 DXE393259:DXE393260 EHA393259:EHA393260 EQW393259:EQW393260 FAS393259:FAS393260 FKO393259:FKO393260 FUK393259:FUK393260 GEG393259:GEG393260 GOC393259:GOC393260 GXY393259:GXY393260 HHU393259:HHU393260 HRQ393259:HRQ393260 IBM393259:IBM393260 ILI393259:ILI393260 IVE393259:IVE393260 JFA393259:JFA393260 JOW393259:JOW393260 JYS393259:JYS393260 KIO393259:KIO393260 KSK393259:KSK393260 LCG393259:LCG393260 LMC393259:LMC393260 LVY393259:LVY393260 MFU393259:MFU393260 MPQ393259:MPQ393260 MZM393259:MZM393260 NJI393259:NJI393260 NTE393259:NTE393260 ODA393259:ODA393260 OMW393259:OMW393260 OWS393259:OWS393260 PGO393259:PGO393260 PQK393259:PQK393260 QAG393259:QAG393260 QKC393259:QKC393260 QTY393259:QTY393260 RDU393259:RDU393260 RNQ393259:RNQ393260 RXM393259:RXM393260 SHI393259:SHI393260 SRE393259:SRE393260 TBA393259:TBA393260 TKW393259:TKW393260 TUS393259:TUS393260 UEO393259:UEO393260 UOK393259:UOK393260 UYG393259:UYG393260 VIC393259:VIC393260 VRY393259:VRY393260 WBU393259:WBU393260 WLQ393259:WLQ393260 WVM393259:WVM393260 R458796:R458797 JA458795:JA458796 SW458795:SW458796 ACS458795:ACS458796 AMO458795:AMO458796 AWK458795:AWK458796 BGG458795:BGG458796 BQC458795:BQC458796 BZY458795:BZY458796 CJU458795:CJU458796 CTQ458795:CTQ458796 DDM458795:DDM458796 DNI458795:DNI458796 DXE458795:DXE458796 EHA458795:EHA458796 EQW458795:EQW458796 FAS458795:FAS458796 FKO458795:FKO458796 FUK458795:FUK458796 GEG458795:GEG458796 GOC458795:GOC458796 GXY458795:GXY458796 HHU458795:HHU458796 HRQ458795:HRQ458796 IBM458795:IBM458796 ILI458795:ILI458796 IVE458795:IVE458796 JFA458795:JFA458796 JOW458795:JOW458796 JYS458795:JYS458796 KIO458795:KIO458796 KSK458795:KSK458796 LCG458795:LCG458796 LMC458795:LMC458796 LVY458795:LVY458796 MFU458795:MFU458796 MPQ458795:MPQ458796 MZM458795:MZM458796 NJI458795:NJI458796 NTE458795:NTE458796 ODA458795:ODA458796 OMW458795:OMW458796 OWS458795:OWS458796 PGO458795:PGO458796 PQK458795:PQK458796 QAG458795:QAG458796 QKC458795:QKC458796 QTY458795:QTY458796 RDU458795:RDU458796 RNQ458795:RNQ458796 RXM458795:RXM458796 SHI458795:SHI458796 SRE458795:SRE458796 TBA458795:TBA458796 TKW458795:TKW458796 TUS458795:TUS458796 UEO458795:UEO458796 UOK458795:UOK458796 UYG458795:UYG458796 VIC458795:VIC458796 VRY458795:VRY458796 WBU458795:WBU458796 WLQ458795:WLQ458796 WVM458795:WVM458796 R524332:R524333 JA524331:JA524332 SW524331:SW524332 ACS524331:ACS524332 AMO524331:AMO524332 AWK524331:AWK524332 BGG524331:BGG524332 BQC524331:BQC524332 BZY524331:BZY524332 CJU524331:CJU524332 CTQ524331:CTQ524332 DDM524331:DDM524332 DNI524331:DNI524332 DXE524331:DXE524332 EHA524331:EHA524332 EQW524331:EQW524332 FAS524331:FAS524332 FKO524331:FKO524332 FUK524331:FUK524332 GEG524331:GEG524332 GOC524331:GOC524332 GXY524331:GXY524332 HHU524331:HHU524332 HRQ524331:HRQ524332 IBM524331:IBM524332 ILI524331:ILI524332 IVE524331:IVE524332 JFA524331:JFA524332 JOW524331:JOW524332 JYS524331:JYS524332 KIO524331:KIO524332 KSK524331:KSK524332 LCG524331:LCG524332 LMC524331:LMC524332 LVY524331:LVY524332 MFU524331:MFU524332 MPQ524331:MPQ524332 MZM524331:MZM524332 NJI524331:NJI524332 NTE524331:NTE524332 ODA524331:ODA524332 OMW524331:OMW524332 OWS524331:OWS524332 PGO524331:PGO524332 PQK524331:PQK524332 QAG524331:QAG524332 QKC524331:QKC524332 QTY524331:QTY524332 RDU524331:RDU524332 RNQ524331:RNQ524332 RXM524331:RXM524332 SHI524331:SHI524332 SRE524331:SRE524332 TBA524331:TBA524332 TKW524331:TKW524332 TUS524331:TUS524332 UEO524331:UEO524332 UOK524331:UOK524332 UYG524331:UYG524332 VIC524331:VIC524332 VRY524331:VRY524332 WBU524331:WBU524332 WLQ524331:WLQ524332 WVM524331:WVM524332 R589868:R589869 JA589867:JA589868 SW589867:SW589868 ACS589867:ACS589868 AMO589867:AMO589868 AWK589867:AWK589868 BGG589867:BGG589868 BQC589867:BQC589868 BZY589867:BZY589868 CJU589867:CJU589868 CTQ589867:CTQ589868 DDM589867:DDM589868 DNI589867:DNI589868 DXE589867:DXE589868 EHA589867:EHA589868 EQW589867:EQW589868 FAS589867:FAS589868 FKO589867:FKO589868 FUK589867:FUK589868 GEG589867:GEG589868 GOC589867:GOC589868 GXY589867:GXY589868 HHU589867:HHU589868 HRQ589867:HRQ589868 IBM589867:IBM589868 ILI589867:ILI589868 IVE589867:IVE589868 JFA589867:JFA589868 JOW589867:JOW589868 JYS589867:JYS589868 KIO589867:KIO589868 KSK589867:KSK589868 LCG589867:LCG589868 LMC589867:LMC589868 LVY589867:LVY589868 MFU589867:MFU589868 MPQ589867:MPQ589868 MZM589867:MZM589868 NJI589867:NJI589868 NTE589867:NTE589868 ODA589867:ODA589868 OMW589867:OMW589868 OWS589867:OWS589868 PGO589867:PGO589868 PQK589867:PQK589868 QAG589867:QAG589868 QKC589867:QKC589868 QTY589867:QTY589868 RDU589867:RDU589868 RNQ589867:RNQ589868 RXM589867:RXM589868 SHI589867:SHI589868 SRE589867:SRE589868 TBA589867:TBA589868 TKW589867:TKW589868 TUS589867:TUS589868 UEO589867:UEO589868 UOK589867:UOK589868 UYG589867:UYG589868 VIC589867:VIC589868 VRY589867:VRY589868 WBU589867:WBU589868 WLQ589867:WLQ589868 WVM589867:WVM589868 R655404:R655405 JA655403:JA655404 SW655403:SW655404 ACS655403:ACS655404 AMO655403:AMO655404 AWK655403:AWK655404 BGG655403:BGG655404 BQC655403:BQC655404 BZY655403:BZY655404 CJU655403:CJU655404 CTQ655403:CTQ655404 DDM655403:DDM655404 DNI655403:DNI655404 DXE655403:DXE655404 EHA655403:EHA655404 EQW655403:EQW655404 FAS655403:FAS655404 FKO655403:FKO655404 FUK655403:FUK655404 GEG655403:GEG655404 GOC655403:GOC655404 GXY655403:GXY655404 HHU655403:HHU655404 HRQ655403:HRQ655404 IBM655403:IBM655404 ILI655403:ILI655404 IVE655403:IVE655404 JFA655403:JFA655404 JOW655403:JOW655404 JYS655403:JYS655404 KIO655403:KIO655404 KSK655403:KSK655404 LCG655403:LCG655404 LMC655403:LMC655404 LVY655403:LVY655404 MFU655403:MFU655404 MPQ655403:MPQ655404 MZM655403:MZM655404 NJI655403:NJI655404 NTE655403:NTE655404 ODA655403:ODA655404 OMW655403:OMW655404 OWS655403:OWS655404 PGO655403:PGO655404 PQK655403:PQK655404 QAG655403:QAG655404 QKC655403:QKC655404 QTY655403:QTY655404 RDU655403:RDU655404 RNQ655403:RNQ655404 RXM655403:RXM655404 SHI655403:SHI655404 SRE655403:SRE655404 TBA655403:TBA655404 TKW655403:TKW655404 TUS655403:TUS655404 UEO655403:UEO655404 UOK655403:UOK655404 UYG655403:UYG655404 VIC655403:VIC655404 VRY655403:VRY655404 WBU655403:WBU655404 WLQ655403:WLQ655404 WVM655403:WVM655404 R720940:R720941 JA720939:JA720940 SW720939:SW720940 ACS720939:ACS720940 AMO720939:AMO720940 AWK720939:AWK720940 BGG720939:BGG720940 BQC720939:BQC720940 BZY720939:BZY720940 CJU720939:CJU720940 CTQ720939:CTQ720940 DDM720939:DDM720940 DNI720939:DNI720940 DXE720939:DXE720940 EHA720939:EHA720940 EQW720939:EQW720940 FAS720939:FAS720940 FKO720939:FKO720940 FUK720939:FUK720940 GEG720939:GEG720940 GOC720939:GOC720940 GXY720939:GXY720940 HHU720939:HHU720940 HRQ720939:HRQ720940 IBM720939:IBM720940 ILI720939:ILI720940 IVE720939:IVE720940 JFA720939:JFA720940 JOW720939:JOW720940 JYS720939:JYS720940 KIO720939:KIO720940 KSK720939:KSK720940 LCG720939:LCG720940 LMC720939:LMC720940 LVY720939:LVY720940 MFU720939:MFU720940 MPQ720939:MPQ720940 MZM720939:MZM720940 NJI720939:NJI720940 NTE720939:NTE720940 ODA720939:ODA720940 OMW720939:OMW720940 OWS720939:OWS720940 PGO720939:PGO720940 PQK720939:PQK720940 QAG720939:QAG720940 QKC720939:QKC720940 QTY720939:QTY720940 RDU720939:RDU720940 RNQ720939:RNQ720940 RXM720939:RXM720940 SHI720939:SHI720940 SRE720939:SRE720940 TBA720939:TBA720940 TKW720939:TKW720940 TUS720939:TUS720940 UEO720939:UEO720940 UOK720939:UOK720940 UYG720939:UYG720940 VIC720939:VIC720940 VRY720939:VRY720940 WBU720939:WBU720940 WLQ720939:WLQ720940 WVM720939:WVM720940 R786476:R786477 JA786475:JA786476 SW786475:SW786476 ACS786475:ACS786476 AMO786475:AMO786476 AWK786475:AWK786476 BGG786475:BGG786476 BQC786475:BQC786476 BZY786475:BZY786476 CJU786475:CJU786476 CTQ786475:CTQ786476 DDM786475:DDM786476 DNI786475:DNI786476 DXE786475:DXE786476 EHA786475:EHA786476 EQW786475:EQW786476 FAS786475:FAS786476 FKO786475:FKO786476 FUK786475:FUK786476 GEG786475:GEG786476 GOC786475:GOC786476 GXY786475:GXY786476 HHU786475:HHU786476 HRQ786475:HRQ786476 IBM786475:IBM786476 ILI786475:ILI786476 IVE786475:IVE786476 JFA786475:JFA786476 JOW786475:JOW786476 JYS786475:JYS786476 KIO786475:KIO786476 KSK786475:KSK786476 LCG786475:LCG786476 LMC786475:LMC786476 LVY786475:LVY786476 MFU786475:MFU786476 MPQ786475:MPQ786476 MZM786475:MZM786476 NJI786475:NJI786476 NTE786475:NTE786476 ODA786475:ODA786476 OMW786475:OMW786476 OWS786475:OWS786476 PGO786475:PGO786476 PQK786475:PQK786476 QAG786475:QAG786476 QKC786475:QKC786476 QTY786475:QTY786476 RDU786475:RDU786476 RNQ786475:RNQ786476 RXM786475:RXM786476 SHI786475:SHI786476 SRE786475:SRE786476 TBA786475:TBA786476 TKW786475:TKW786476 TUS786475:TUS786476 UEO786475:UEO786476 UOK786475:UOK786476 UYG786475:UYG786476 VIC786475:VIC786476 VRY786475:VRY786476 WBU786475:WBU786476 WLQ786475:WLQ786476 WVM786475:WVM786476 R852012:R852013 JA852011:JA852012 SW852011:SW852012 ACS852011:ACS852012 AMO852011:AMO852012 AWK852011:AWK852012 BGG852011:BGG852012 BQC852011:BQC852012 BZY852011:BZY852012 CJU852011:CJU852012 CTQ852011:CTQ852012 DDM852011:DDM852012 DNI852011:DNI852012 DXE852011:DXE852012 EHA852011:EHA852012 EQW852011:EQW852012 FAS852011:FAS852012 FKO852011:FKO852012 FUK852011:FUK852012 GEG852011:GEG852012 GOC852011:GOC852012 GXY852011:GXY852012 HHU852011:HHU852012 HRQ852011:HRQ852012 IBM852011:IBM852012 ILI852011:ILI852012 IVE852011:IVE852012 JFA852011:JFA852012 JOW852011:JOW852012 JYS852011:JYS852012 KIO852011:KIO852012 KSK852011:KSK852012 LCG852011:LCG852012 LMC852011:LMC852012 LVY852011:LVY852012 MFU852011:MFU852012 MPQ852011:MPQ852012 MZM852011:MZM852012 NJI852011:NJI852012 NTE852011:NTE852012 ODA852011:ODA852012 OMW852011:OMW852012 OWS852011:OWS852012 PGO852011:PGO852012 PQK852011:PQK852012 QAG852011:QAG852012 QKC852011:QKC852012 QTY852011:QTY852012 RDU852011:RDU852012 RNQ852011:RNQ852012 RXM852011:RXM852012 SHI852011:SHI852012 SRE852011:SRE852012 TBA852011:TBA852012 TKW852011:TKW852012 TUS852011:TUS852012 UEO852011:UEO852012 UOK852011:UOK852012 UYG852011:UYG852012 VIC852011:VIC852012 VRY852011:VRY852012 WBU852011:WBU852012 WLQ852011:WLQ852012 WVM852011:WVM852012 R917548:R917549 JA917547:JA917548 SW917547:SW917548 ACS917547:ACS917548 AMO917547:AMO917548 AWK917547:AWK917548 BGG917547:BGG917548 BQC917547:BQC917548 BZY917547:BZY917548 CJU917547:CJU917548 CTQ917547:CTQ917548 DDM917547:DDM917548 DNI917547:DNI917548 DXE917547:DXE917548 EHA917547:EHA917548 EQW917547:EQW917548 FAS917547:FAS917548 FKO917547:FKO917548 FUK917547:FUK917548 GEG917547:GEG917548 GOC917547:GOC917548 GXY917547:GXY917548 HHU917547:HHU917548 HRQ917547:HRQ917548 IBM917547:IBM917548 ILI917547:ILI917548 IVE917547:IVE917548 JFA917547:JFA917548 JOW917547:JOW917548 JYS917547:JYS917548 KIO917547:KIO917548 KSK917547:KSK917548 LCG917547:LCG917548 LMC917547:LMC917548 LVY917547:LVY917548 MFU917547:MFU917548 MPQ917547:MPQ917548 MZM917547:MZM917548 NJI917547:NJI917548 NTE917547:NTE917548 ODA917547:ODA917548 OMW917547:OMW917548 OWS917547:OWS917548 PGO917547:PGO917548 PQK917547:PQK917548 QAG917547:QAG917548 QKC917547:QKC917548 QTY917547:QTY917548 RDU917547:RDU917548 RNQ917547:RNQ917548 RXM917547:RXM917548 SHI917547:SHI917548 SRE917547:SRE917548 TBA917547:TBA917548 TKW917547:TKW917548 TUS917547:TUS917548 UEO917547:UEO917548 UOK917547:UOK917548 UYG917547:UYG917548 VIC917547:VIC917548 VRY917547:VRY917548 WBU917547:WBU917548 WLQ917547:WLQ917548 WVM917547:WVM917548 R983084:R983085 JA983083:JA983084 SW983083:SW983084 ACS983083:ACS983084 AMO983083:AMO983084 AWK983083:AWK983084 BGG983083:BGG983084 BQC983083:BQC983084 BZY983083:BZY983084 CJU983083:CJU983084 CTQ983083:CTQ983084 DDM983083:DDM983084 DNI983083:DNI983084 DXE983083:DXE983084 EHA983083:EHA983084 EQW983083:EQW983084 FAS983083:FAS983084 FKO983083:FKO983084 FUK983083:FUK983084 GEG983083:GEG983084 GOC983083:GOC983084 GXY983083:GXY983084 HHU983083:HHU983084 HRQ983083:HRQ983084 IBM983083:IBM983084 ILI983083:ILI983084 IVE983083:IVE983084 JFA983083:JFA983084 JOW983083:JOW983084 JYS983083:JYS983084 KIO983083:KIO983084 KSK983083:KSK983084 LCG983083:LCG983084 LMC983083:LMC983084 LVY983083:LVY983084 MFU983083:MFU983084 MPQ983083:MPQ983084 MZM983083:MZM983084 NJI983083:NJI983084 NTE983083:NTE983084 ODA983083:ODA983084 OMW983083:OMW983084 OWS983083:OWS983084 PGO983083:PGO983084 PQK983083:PQK983084 QAG983083:QAG983084 QKC983083:QKC983084 QTY983083:QTY983084 RDU983083:RDU983084 RNQ983083:RNQ983084 RXM983083:RXM983084 SHI983083:SHI983084 SRE983083:SRE983084 TBA983083:TBA983084 TKW983083:TKW983084 TUS983083:TUS983084 UEO983083:UEO983084 UOK983083:UOK983084 UYG983083:UYG983084 VIC983083:VIC983084 VRY983083:VRY983084 WBU983083:WBU983084 WLQ983083:WLQ983084 WVM983083:WVM983084 T65580:T65581 JD65579:JD65580 SZ65579:SZ65580 ACV65579:ACV65580 AMR65579:AMR65580 AWN65579:AWN65580 BGJ65579:BGJ65580 BQF65579:BQF65580 CAB65579:CAB65580 CJX65579:CJX65580 CTT65579:CTT65580 DDP65579:DDP65580 DNL65579:DNL65580 DXH65579:DXH65580 EHD65579:EHD65580 EQZ65579:EQZ65580 FAV65579:FAV65580 FKR65579:FKR65580 FUN65579:FUN65580 GEJ65579:GEJ65580 GOF65579:GOF65580 GYB65579:GYB65580 HHX65579:HHX65580 HRT65579:HRT65580 IBP65579:IBP65580 ILL65579:ILL65580 IVH65579:IVH65580 JFD65579:JFD65580 JOZ65579:JOZ65580 JYV65579:JYV65580 KIR65579:KIR65580 KSN65579:KSN65580 LCJ65579:LCJ65580 LMF65579:LMF65580 LWB65579:LWB65580 MFX65579:MFX65580 MPT65579:MPT65580 MZP65579:MZP65580 NJL65579:NJL65580 NTH65579:NTH65580 ODD65579:ODD65580 OMZ65579:OMZ65580 OWV65579:OWV65580 PGR65579:PGR65580 PQN65579:PQN65580 QAJ65579:QAJ65580 QKF65579:QKF65580 QUB65579:QUB65580 RDX65579:RDX65580 RNT65579:RNT65580 RXP65579:RXP65580 SHL65579:SHL65580 SRH65579:SRH65580 TBD65579:TBD65580 TKZ65579:TKZ65580 TUV65579:TUV65580 UER65579:UER65580 UON65579:UON65580 UYJ65579:UYJ65580 VIF65579:VIF65580 VSB65579:VSB65580 WBX65579:WBX65580 WLT65579:WLT65580 WVP65579:WVP65580 T131116:T131117 JD131115:JD131116 SZ131115:SZ131116 ACV131115:ACV131116 AMR131115:AMR131116 AWN131115:AWN131116 BGJ131115:BGJ131116 BQF131115:BQF131116 CAB131115:CAB131116 CJX131115:CJX131116 CTT131115:CTT131116 DDP131115:DDP131116 DNL131115:DNL131116 DXH131115:DXH131116 EHD131115:EHD131116 EQZ131115:EQZ131116 FAV131115:FAV131116 FKR131115:FKR131116 FUN131115:FUN131116 GEJ131115:GEJ131116 GOF131115:GOF131116 GYB131115:GYB131116 HHX131115:HHX131116 HRT131115:HRT131116 IBP131115:IBP131116 ILL131115:ILL131116 IVH131115:IVH131116 JFD131115:JFD131116 JOZ131115:JOZ131116 JYV131115:JYV131116 KIR131115:KIR131116 KSN131115:KSN131116 LCJ131115:LCJ131116 LMF131115:LMF131116 LWB131115:LWB131116 MFX131115:MFX131116 MPT131115:MPT131116 MZP131115:MZP131116 NJL131115:NJL131116 NTH131115:NTH131116 ODD131115:ODD131116 OMZ131115:OMZ131116 OWV131115:OWV131116 PGR131115:PGR131116 PQN131115:PQN131116 QAJ131115:QAJ131116 QKF131115:QKF131116 QUB131115:QUB131116 RDX131115:RDX131116 RNT131115:RNT131116 RXP131115:RXP131116 SHL131115:SHL131116 SRH131115:SRH131116 TBD131115:TBD131116 TKZ131115:TKZ131116 TUV131115:TUV131116 UER131115:UER131116 UON131115:UON131116 UYJ131115:UYJ131116 VIF131115:VIF131116 VSB131115:VSB131116 WBX131115:WBX131116 WLT131115:WLT131116 WVP131115:WVP131116 T196652:T196653 JD196651:JD196652 SZ196651:SZ196652 ACV196651:ACV196652 AMR196651:AMR196652 AWN196651:AWN196652 BGJ196651:BGJ196652 BQF196651:BQF196652 CAB196651:CAB196652 CJX196651:CJX196652 CTT196651:CTT196652 DDP196651:DDP196652 DNL196651:DNL196652 DXH196651:DXH196652 EHD196651:EHD196652 EQZ196651:EQZ196652 FAV196651:FAV196652 FKR196651:FKR196652 FUN196651:FUN196652 GEJ196651:GEJ196652 GOF196651:GOF196652 GYB196651:GYB196652 HHX196651:HHX196652 HRT196651:HRT196652 IBP196651:IBP196652 ILL196651:ILL196652 IVH196651:IVH196652 JFD196651:JFD196652 JOZ196651:JOZ196652 JYV196651:JYV196652 KIR196651:KIR196652 KSN196651:KSN196652 LCJ196651:LCJ196652 LMF196651:LMF196652 LWB196651:LWB196652 MFX196651:MFX196652 MPT196651:MPT196652 MZP196651:MZP196652 NJL196651:NJL196652 NTH196651:NTH196652 ODD196651:ODD196652 OMZ196651:OMZ196652 OWV196651:OWV196652 PGR196651:PGR196652 PQN196651:PQN196652 QAJ196651:QAJ196652 QKF196651:QKF196652 QUB196651:QUB196652 RDX196651:RDX196652 RNT196651:RNT196652 RXP196651:RXP196652 SHL196651:SHL196652 SRH196651:SRH196652 TBD196651:TBD196652 TKZ196651:TKZ196652 TUV196651:TUV196652 UER196651:UER196652 UON196651:UON196652 UYJ196651:UYJ196652 VIF196651:VIF196652 VSB196651:VSB196652 WBX196651:WBX196652 WLT196651:WLT196652 WVP196651:WVP196652 T262188:T262189 JD262187:JD262188 SZ262187:SZ262188 ACV262187:ACV262188 AMR262187:AMR262188 AWN262187:AWN262188 BGJ262187:BGJ262188 BQF262187:BQF262188 CAB262187:CAB262188 CJX262187:CJX262188 CTT262187:CTT262188 DDP262187:DDP262188 DNL262187:DNL262188 DXH262187:DXH262188 EHD262187:EHD262188 EQZ262187:EQZ262188 FAV262187:FAV262188 FKR262187:FKR262188 FUN262187:FUN262188 GEJ262187:GEJ262188 GOF262187:GOF262188 GYB262187:GYB262188 HHX262187:HHX262188 HRT262187:HRT262188 IBP262187:IBP262188 ILL262187:ILL262188 IVH262187:IVH262188 JFD262187:JFD262188 JOZ262187:JOZ262188 JYV262187:JYV262188 KIR262187:KIR262188 KSN262187:KSN262188 LCJ262187:LCJ262188 LMF262187:LMF262188 LWB262187:LWB262188 MFX262187:MFX262188 MPT262187:MPT262188 MZP262187:MZP262188 NJL262187:NJL262188 NTH262187:NTH262188 ODD262187:ODD262188 OMZ262187:OMZ262188 OWV262187:OWV262188 PGR262187:PGR262188 PQN262187:PQN262188 QAJ262187:QAJ262188 QKF262187:QKF262188 QUB262187:QUB262188 RDX262187:RDX262188 RNT262187:RNT262188 RXP262187:RXP262188 SHL262187:SHL262188 SRH262187:SRH262188 TBD262187:TBD262188 TKZ262187:TKZ262188 TUV262187:TUV262188 UER262187:UER262188 UON262187:UON262188 UYJ262187:UYJ262188 VIF262187:VIF262188 VSB262187:VSB262188 WBX262187:WBX262188 WLT262187:WLT262188 WVP262187:WVP262188 T327724:T327725 JD327723:JD327724 SZ327723:SZ327724 ACV327723:ACV327724 AMR327723:AMR327724 AWN327723:AWN327724 BGJ327723:BGJ327724 BQF327723:BQF327724 CAB327723:CAB327724 CJX327723:CJX327724 CTT327723:CTT327724 DDP327723:DDP327724 DNL327723:DNL327724 DXH327723:DXH327724 EHD327723:EHD327724 EQZ327723:EQZ327724 FAV327723:FAV327724 FKR327723:FKR327724 FUN327723:FUN327724 GEJ327723:GEJ327724 GOF327723:GOF327724 GYB327723:GYB327724 HHX327723:HHX327724 HRT327723:HRT327724 IBP327723:IBP327724 ILL327723:ILL327724 IVH327723:IVH327724 JFD327723:JFD327724 JOZ327723:JOZ327724 JYV327723:JYV327724 KIR327723:KIR327724 KSN327723:KSN327724 LCJ327723:LCJ327724 LMF327723:LMF327724 LWB327723:LWB327724 MFX327723:MFX327724 MPT327723:MPT327724 MZP327723:MZP327724 NJL327723:NJL327724 NTH327723:NTH327724 ODD327723:ODD327724 OMZ327723:OMZ327724 OWV327723:OWV327724 PGR327723:PGR327724 PQN327723:PQN327724 QAJ327723:QAJ327724 QKF327723:QKF327724 QUB327723:QUB327724 RDX327723:RDX327724 RNT327723:RNT327724 RXP327723:RXP327724 SHL327723:SHL327724 SRH327723:SRH327724 TBD327723:TBD327724 TKZ327723:TKZ327724 TUV327723:TUV327724 UER327723:UER327724 UON327723:UON327724 UYJ327723:UYJ327724 VIF327723:VIF327724 VSB327723:VSB327724 WBX327723:WBX327724 WLT327723:WLT327724 WVP327723:WVP327724 T393260:T393261 JD393259:JD393260 SZ393259:SZ393260 ACV393259:ACV393260 AMR393259:AMR393260 AWN393259:AWN393260 BGJ393259:BGJ393260 BQF393259:BQF393260 CAB393259:CAB393260 CJX393259:CJX393260 CTT393259:CTT393260 DDP393259:DDP393260 DNL393259:DNL393260 DXH393259:DXH393260 EHD393259:EHD393260 EQZ393259:EQZ393260 FAV393259:FAV393260 FKR393259:FKR393260 FUN393259:FUN393260 GEJ393259:GEJ393260 GOF393259:GOF393260 GYB393259:GYB393260 HHX393259:HHX393260 HRT393259:HRT393260 IBP393259:IBP393260 ILL393259:ILL393260 IVH393259:IVH393260 JFD393259:JFD393260 JOZ393259:JOZ393260 JYV393259:JYV393260 KIR393259:KIR393260 KSN393259:KSN393260 LCJ393259:LCJ393260 LMF393259:LMF393260 LWB393259:LWB393260 MFX393259:MFX393260 MPT393259:MPT393260 MZP393259:MZP393260 NJL393259:NJL393260 NTH393259:NTH393260 ODD393259:ODD393260 OMZ393259:OMZ393260 OWV393259:OWV393260 PGR393259:PGR393260 PQN393259:PQN393260 QAJ393259:QAJ393260 QKF393259:QKF393260 QUB393259:QUB393260 RDX393259:RDX393260 RNT393259:RNT393260 RXP393259:RXP393260 SHL393259:SHL393260 SRH393259:SRH393260 TBD393259:TBD393260 TKZ393259:TKZ393260 TUV393259:TUV393260 UER393259:UER393260 UON393259:UON393260 UYJ393259:UYJ393260 VIF393259:VIF393260 VSB393259:VSB393260 WBX393259:WBX393260 WLT393259:WLT393260 WVP393259:WVP393260 T458796:T458797 JD458795:JD458796 SZ458795:SZ458796 ACV458795:ACV458796 AMR458795:AMR458796 AWN458795:AWN458796 BGJ458795:BGJ458796 BQF458795:BQF458796 CAB458795:CAB458796 CJX458795:CJX458796 CTT458795:CTT458796 DDP458795:DDP458796 DNL458795:DNL458796 DXH458795:DXH458796 EHD458795:EHD458796 EQZ458795:EQZ458796 FAV458795:FAV458796 FKR458795:FKR458796 FUN458795:FUN458796 GEJ458795:GEJ458796 GOF458795:GOF458796 GYB458795:GYB458796 HHX458795:HHX458796 HRT458795:HRT458796 IBP458795:IBP458796 ILL458795:ILL458796 IVH458795:IVH458796 JFD458795:JFD458796 JOZ458795:JOZ458796 JYV458795:JYV458796 KIR458795:KIR458796 KSN458795:KSN458796 LCJ458795:LCJ458796 LMF458795:LMF458796 LWB458795:LWB458796 MFX458795:MFX458796 MPT458795:MPT458796 MZP458795:MZP458796 NJL458795:NJL458796 NTH458795:NTH458796 ODD458795:ODD458796 OMZ458795:OMZ458796 OWV458795:OWV458796 PGR458795:PGR458796 PQN458795:PQN458796 QAJ458795:QAJ458796 QKF458795:QKF458796 QUB458795:QUB458796 RDX458795:RDX458796 RNT458795:RNT458796 RXP458795:RXP458796 SHL458795:SHL458796 SRH458795:SRH458796 TBD458795:TBD458796 TKZ458795:TKZ458796 TUV458795:TUV458796 UER458795:UER458796 UON458795:UON458796 UYJ458795:UYJ458796 VIF458795:VIF458796 VSB458795:VSB458796 WBX458795:WBX458796 WLT458795:WLT458796 WVP458795:WVP458796 T524332:T524333 JD524331:JD524332 SZ524331:SZ524332 ACV524331:ACV524332 AMR524331:AMR524332 AWN524331:AWN524332 BGJ524331:BGJ524332 BQF524331:BQF524332 CAB524331:CAB524332 CJX524331:CJX524332 CTT524331:CTT524332 DDP524331:DDP524332 DNL524331:DNL524332 DXH524331:DXH524332 EHD524331:EHD524332 EQZ524331:EQZ524332 FAV524331:FAV524332 FKR524331:FKR524332 FUN524331:FUN524332 GEJ524331:GEJ524332 GOF524331:GOF524332 GYB524331:GYB524332 HHX524331:HHX524332 HRT524331:HRT524332 IBP524331:IBP524332 ILL524331:ILL524332 IVH524331:IVH524332 JFD524331:JFD524332 JOZ524331:JOZ524332 JYV524331:JYV524332 KIR524331:KIR524332 KSN524331:KSN524332 LCJ524331:LCJ524332 LMF524331:LMF524332 LWB524331:LWB524332 MFX524331:MFX524332 MPT524331:MPT524332 MZP524331:MZP524332 NJL524331:NJL524332 NTH524331:NTH524332 ODD524331:ODD524332 OMZ524331:OMZ524332 OWV524331:OWV524332 PGR524331:PGR524332 PQN524331:PQN524332 QAJ524331:QAJ524332 QKF524331:QKF524332 QUB524331:QUB524332 RDX524331:RDX524332 RNT524331:RNT524332 RXP524331:RXP524332 SHL524331:SHL524332 SRH524331:SRH524332 TBD524331:TBD524332 TKZ524331:TKZ524332 TUV524331:TUV524332 UER524331:UER524332 UON524331:UON524332 UYJ524331:UYJ524332 VIF524331:VIF524332 VSB524331:VSB524332 WBX524331:WBX524332 WLT524331:WLT524332 WVP524331:WVP524332 T589868:T589869 JD589867:JD589868 SZ589867:SZ589868 ACV589867:ACV589868 AMR589867:AMR589868 AWN589867:AWN589868 BGJ589867:BGJ589868 BQF589867:BQF589868 CAB589867:CAB589868 CJX589867:CJX589868 CTT589867:CTT589868 DDP589867:DDP589868 DNL589867:DNL589868 DXH589867:DXH589868 EHD589867:EHD589868 EQZ589867:EQZ589868 FAV589867:FAV589868 FKR589867:FKR589868 FUN589867:FUN589868 GEJ589867:GEJ589868 GOF589867:GOF589868 GYB589867:GYB589868 HHX589867:HHX589868 HRT589867:HRT589868 IBP589867:IBP589868 ILL589867:ILL589868 IVH589867:IVH589868 JFD589867:JFD589868 JOZ589867:JOZ589868 JYV589867:JYV589868 KIR589867:KIR589868 KSN589867:KSN589868 LCJ589867:LCJ589868 LMF589867:LMF589868 LWB589867:LWB589868 MFX589867:MFX589868 MPT589867:MPT589868 MZP589867:MZP589868 NJL589867:NJL589868 NTH589867:NTH589868 ODD589867:ODD589868 OMZ589867:OMZ589868 OWV589867:OWV589868 PGR589867:PGR589868 PQN589867:PQN589868 QAJ589867:QAJ589868 QKF589867:QKF589868 QUB589867:QUB589868 RDX589867:RDX589868 RNT589867:RNT589868 RXP589867:RXP589868 SHL589867:SHL589868 SRH589867:SRH589868 TBD589867:TBD589868 TKZ589867:TKZ589868 TUV589867:TUV589868 UER589867:UER589868 UON589867:UON589868 UYJ589867:UYJ589868 VIF589867:VIF589868 VSB589867:VSB589868 WBX589867:WBX589868 WLT589867:WLT589868 WVP589867:WVP589868 T655404:T655405 JD655403:JD655404 SZ655403:SZ655404 ACV655403:ACV655404 AMR655403:AMR655404 AWN655403:AWN655404 BGJ655403:BGJ655404 BQF655403:BQF655404 CAB655403:CAB655404 CJX655403:CJX655404 CTT655403:CTT655404 DDP655403:DDP655404 DNL655403:DNL655404 DXH655403:DXH655404 EHD655403:EHD655404 EQZ655403:EQZ655404 FAV655403:FAV655404 FKR655403:FKR655404 FUN655403:FUN655404 GEJ655403:GEJ655404 GOF655403:GOF655404 GYB655403:GYB655404 HHX655403:HHX655404 HRT655403:HRT655404 IBP655403:IBP655404 ILL655403:ILL655404 IVH655403:IVH655404 JFD655403:JFD655404 JOZ655403:JOZ655404 JYV655403:JYV655404 KIR655403:KIR655404 KSN655403:KSN655404 LCJ655403:LCJ655404 LMF655403:LMF655404 LWB655403:LWB655404 MFX655403:MFX655404 MPT655403:MPT655404 MZP655403:MZP655404 NJL655403:NJL655404 NTH655403:NTH655404 ODD655403:ODD655404 OMZ655403:OMZ655404 OWV655403:OWV655404 PGR655403:PGR655404 PQN655403:PQN655404 QAJ655403:QAJ655404 QKF655403:QKF655404 QUB655403:QUB655404 RDX655403:RDX655404 RNT655403:RNT655404 RXP655403:RXP655404 SHL655403:SHL655404 SRH655403:SRH655404 TBD655403:TBD655404 TKZ655403:TKZ655404 TUV655403:TUV655404 UER655403:UER655404 UON655403:UON655404 UYJ655403:UYJ655404 VIF655403:VIF655404 VSB655403:VSB655404 WBX655403:WBX655404 WLT655403:WLT655404 WVP655403:WVP655404 T720940:T720941 JD720939:JD720940 SZ720939:SZ720940 ACV720939:ACV720940 AMR720939:AMR720940 AWN720939:AWN720940 BGJ720939:BGJ720940 BQF720939:BQF720940 CAB720939:CAB720940 CJX720939:CJX720940 CTT720939:CTT720940 DDP720939:DDP720940 DNL720939:DNL720940 DXH720939:DXH720940 EHD720939:EHD720940 EQZ720939:EQZ720940 FAV720939:FAV720940 FKR720939:FKR720940 FUN720939:FUN720940 GEJ720939:GEJ720940 GOF720939:GOF720940 GYB720939:GYB720940 HHX720939:HHX720940 HRT720939:HRT720940 IBP720939:IBP720940 ILL720939:ILL720940 IVH720939:IVH720940 JFD720939:JFD720940 JOZ720939:JOZ720940 JYV720939:JYV720940 KIR720939:KIR720940 KSN720939:KSN720940 LCJ720939:LCJ720940 LMF720939:LMF720940 LWB720939:LWB720940 MFX720939:MFX720940 MPT720939:MPT720940 MZP720939:MZP720940 NJL720939:NJL720940 NTH720939:NTH720940 ODD720939:ODD720940 OMZ720939:OMZ720940 OWV720939:OWV720940 PGR720939:PGR720940 PQN720939:PQN720940 QAJ720939:QAJ720940 QKF720939:QKF720940 QUB720939:QUB720940 RDX720939:RDX720940 RNT720939:RNT720940 RXP720939:RXP720940 SHL720939:SHL720940 SRH720939:SRH720940 TBD720939:TBD720940 TKZ720939:TKZ720940 TUV720939:TUV720940 UER720939:UER720940 UON720939:UON720940 UYJ720939:UYJ720940 VIF720939:VIF720940 VSB720939:VSB720940 WBX720939:WBX720940 WLT720939:WLT720940 WVP720939:WVP720940 T786476:T786477 JD786475:JD786476 SZ786475:SZ786476 ACV786475:ACV786476 AMR786475:AMR786476 AWN786475:AWN786476 BGJ786475:BGJ786476 BQF786475:BQF786476 CAB786475:CAB786476 CJX786475:CJX786476 CTT786475:CTT786476 DDP786475:DDP786476 DNL786475:DNL786476 DXH786475:DXH786476 EHD786475:EHD786476 EQZ786475:EQZ786476 FAV786475:FAV786476 FKR786475:FKR786476 FUN786475:FUN786476 GEJ786475:GEJ786476 GOF786475:GOF786476 GYB786475:GYB786476 HHX786475:HHX786476 HRT786475:HRT786476 IBP786475:IBP786476 ILL786475:ILL786476 IVH786475:IVH786476 JFD786475:JFD786476 JOZ786475:JOZ786476 JYV786475:JYV786476 KIR786475:KIR786476 KSN786475:KSN786476 LCJ786475:LCJ786476 LMF786475:LMF786476 LWB786475:LWB786476 MFX786475:MFX786476 MPT786475:MPT786476 MZP786475:MZP786476 NJL786475:NJL786476 NTH786475:NTH786476 ODD786475:ODD786476 OMZ786475:OMZ786476 OWV786475:OWV786476 PGR786475:PGR786476 PQN786475:PQN786476 QAJ786475:QAJ786476 QKF786475:QKF786476 QUB786475:QUB786476 RDX786475:RDX786476 RNT786475:RNT786476 RXP786475:RXP786476 SHL786475:SHL786476 SRH786475:SRH786476 TBD786475:TBD786476 TKZ786475:TKZ786476 TUV786475:TUV786476 UER786475:UER786476 UON786475:UON786476 UYJ786475:UYJ786476 VIF786475:VIF786476 VSB786475:VSB786476 WBX786475:WBX786476 WLT786475:WLT786476 WVP786475:WVP786476 T852012:T852013 JD852011:JD852012 SZ852011:SZ852012 ACV852011:ACV852012 AMR852011:AMR852012 AWN852011:AWN852012 BGJ852011:BGJ852012 BQF852011:BQF852012 CAB852011:CAB852012 CJX852011:CJX852012 CTT852011:CTT852012 DDP852011:DDP852012 DNL852011:DNL852012 DXH852011:DXH852012 EHD852011:EHD852012 EQZ852011:EQZ852012 FAV852011:FAV852012 FKR852011:FKR852012 FUN852011:FUN852012 GEJ852011:GEJ852012 GOF852011:GOF852012 GYB852011:GYB852012 HHX852011:HHX852012 HRT852011:HRT852012 IBP852011:IBP852012 ILL852011:ILL852012 IVH852011:IVH852012 JFD852011:JFD852012 JOZ852011:JOZ852012 JYV852011:JYV852012 KIR852011:KIR852012 KSN852011:KSN852012 LCJ852011:LCJ852012 LMF852011:LMF852012 LWB852011:LWB852012 MFX852011:MFX852012 MPT852011:MPT852012 MZP852011:MZP852012 NJL852011:NJL852012 NTH852011:NTH852012 ODD852011:ODD852012 OMZ852011:OMZ852012 OWV852011:OWV852012 PGR852011:PGR852012 PQN852011:PQN852012 QAJ852011:QAJ852012 QKF852011:QKF852012 QUB852011:QUB852012 RDX852011:RDX852012 RNT852011:RNT852012 RXP852011:RXP852012 SHL852011:SHL852012 SRH852011:SRH852012 TBD852011:TBD852012 TKZ852011:TKZ852012 TUV852011:TUV852012 UER852011:UER852012 UON852011:UON852012 UYJ852011:UYJ852012 VIF852011:VIF852012 VSB852011:VSB852012 WBX852011:WBX852012 WLT852011:WLT852012 WVP852011:WVP852012 T917548:T917549 JD917547:JD917548 SZ917547:SZ917548 ACV917547:ACV917548 AMR917547:AMR917548 AWN917547:AWN917548 BGJ917547:BGJ917548 BQF917547:BQF917548 CAB917547:CAB917548 CJX917547:CJX917548 CTT917547:CTT917548 DDP917547:DDP917548 DNL917547:DNL917548 DXH917547:DXH917548 EHD917547:EHD917548 EQZ917547:EQZ917548 FAV917547:FAV917548 FKR917547:FKR917548 FUN917547:FUN917548 GEJ917547:GEJ917548 GOF917547:GOF917548 GYB917547:GYB917548 HHX917547:HHX917548 HRT917547:HRT917548 IBP917547:IBP917548 ILL917547:ILL917548 IVH917547:IVH917548 JFD917547:JFD917548 JOZ917547:JOZ917548 JYV917547:JYV917548 KIR917547:KIR917548 KSN917547:KSN917548 LCJ917547:LCJ917548 LMF917547:LMF917548 LWB917547:LWB917548 MFX917547:MFX917548 MPT917547:MPT917548 MZP917547:MZP917548 NJL917547:NJL917548 NTH917547:NTH917548 ODD917547:ODD917548 OMZ917547:OMZ917548 OWV917547:OWV917548 PGR917547:PGR917548 PQN917547:PQN917548 QAJ917547:QAJ917548 QKF917547:QKF917548 QUB917547:QUB917548 RDX917547:RDX917548 RNT917547:RNT917548 RXP917547:RXP917548 SHL917547:SHL917548 SRH917547:SRH917548 TBD917547:TBD917548 TKZ917547:TKZ917548 TUV917547:TUV917548 UER917547:UER917548 UON917547:UON917548 UYJ917547:UYJ917548 VIF917547:VIF917548 VSB917547:VSB917548 WBX917547:WBX917548 WLT917547:WLT917548 WVP917547:WVP917548 T983084:T983085 JD983083:JD983084 SZ983083:SZ983084 ACV983083:ACV983084 AMR983083:AMR983084 AWN983083:AWN983084 BGJ983083:BGJ983084 BQF983083:BQF983084 CAB983083:CAB983084 CJX983083:CJX983084 CTT983083:CTT983084 DDP983083:DDP983084 DNL983083:DNL983084 DXH983083:DXH983084 EHD983083:EHD983084 EQZ983083:EQZ983084 FAV983083:FAV983084 FKR983083:FKR983084 FUN983083:FUN983084 GEJ983083:GEJ983084 GOF983083:GOF983084 GYB983083:GYB983084 HHX983083:HHX983084 HRT983083:HRT983084 IBP983083:IBP983084 ILL983083:ILL983084 IVH983083:IVH983084 JFD983083:JFD983084 JOZ983083:JOZ983084 JYV983083:JYV983084 KIR983083:KIR983084 KSN983083:KSN983084 LCJ983083:LCJ983084 LMF983083:LMF983084 LWB983083:LWB983084 MFX983083:MFX983084 MPT983083:MPT983084 MZP983083:MZP983084 NJL983083:NJL983084 NTH983083:NTH983084 ODD983083:ODD983084 OMZ983083:OMZ983084 OWV983083:OWV983084 PGR983083:PGR983084 PQN983083:PQN983084 QAJ983083:QAJ983084 QKF983083:QKF983084 QUB983083:QUB983084 RDX983083:RDX983084 RNT983083:RNT983084 RXP983083:RXP983084 SHL983083:SHL983084 SRH983083:SRH983084 TBD983083:TBD983084 TKZ983083:TKZ983084 TUV983083:TUV983084 UER983083:UER983084 UON983083:UON983084 UYJ983083:UYJ983084 VIF983083:VIF983084 VSB983083:VSB983084 WBX983083:WBX983084 WLT983083:WLT983084 WVP983083:WVP983084 V65580:V65581 JG65579:JG65580 TC65579:TC65580 ACY65579:ACY65580 AMU65579:AMU65580 AWQ65579:AWQ65580 BGM65579:BGM65580 BQI65579:BQI65580 CAE65579:CAE65580 CKA65579:CKA65580 CTW65579:CTW65580 DDS65579:DDS65580 DNO65579:DNO65580 DXK65579:DXK65580 EHG65579:EHG65580 ERC65579:ERC65580 FAY65579:FAY65580 FKU65579:FKU65580 FUQ65579:FUQ65580 GEM65579:GEM65580 GOI65579:GOI65580 GYE65579:GYE65580 HIA65579:HIA65580 HRW65579:HRW65580 IBS65579:IBS65580 ILO65579:ILO65580 IVK65579:IVK65580 JFG65579:JFG65580 JPC65579:JPC65580 JYY65579:JYY65580 KIU65579:KIU65580 KSQ65579:KSQ65580 LCM65579:LCM65580 LMI65579:LMI65580 LWE65579:LWE65580 MGA65579:MGA65580 MPW65579:MPW65580 MZS65579:MZS65580 NJO65579:NJO65580 NTK65579:NTK65580 ODG65579:ODG65580 ONC65579:ONC65580 OWY65579:OWY65580 PGU65579:PGU65580 PQQ65579:PQQ65580 QAM65579:QAM65580 QKI65579:QKI65580 QUE65579:QUE65580 REA65579:REA65580 RNW65579:RNW65580 RXS65579:RXS65580 SHO65579:SHO65580 SRK65579:SRK65580 TBG65579:TBG65580 TLC65579:TLC65580 TUY65579:TUY65580 UEU65579:UEU65580 UOQ65579:UOQ65580 UYM65579:UYM65580 VII65579:VII65580 VSE65579:VSE65580 WCA65579:WCA65580 WLW65579:WLW65580 WVS65579:WVS65580 V131116:V131117 JG131115:JG131116 TC131115:TC131116 ACY131115:ACY131116 AMU131115:AMU131116 AWQ131115:AWQ131116 BGM131115:BGM131116 BQI131115:BQI131116 CAE131115:CAE131116 CKA131115:CKA131116 CTW131115:CTW131116 DDS131115:DDS131116 DNO131115:DNO131116 DXK131115:DXK131116 EHG131115:EHG131116 ERC131115:ERC131116 FAY131115:FAY131116 FKU131115:FKU131116 FUQ131115:FUQ131116 GEM131115:GEM131116 GOI131115:GOI131116 GYE131115:GYE131116 HIA131115:HIA131116 HRW131115:HRW131116 IBS131115:IBS131116 ILO131115:ILO131116 IVK131115:IVK131116 JFG131115:JFG131116 JPC131115:JPC131116 JYY131115:JYY131116 KIU131115:KIU131116 KSQ131115:KSQ131116 LCM131115:LCM131116 LMI131115:LMI131116 LWE131115:LWE131116 MGA131115:MGA131116 MPW131115:MPW131116 MZS131115:MZS131116 NJO131115:NJO131116 NTK131115:NTK131116 ODG131115:ODG131116 ONC131115:ONC131116 OWY131115:OWY131116 PGU131115:PGU131116 PQQ131115:PQQ131116 QAM131115:QAM131116 QKI131115:QKI131116 QUE131115:QUE131116 REA131115:REA131116 RNW131115:RNW131116 RXS131115:RXS131116 SHO131115:SHO131116 SRK131115:SRK131116 TBG131115:TBG131116 TLC131115:TLC131116 TUY131115:TUY131116 UEU131115:UEU131116 UOQ131115:UOQ131116 UYM131115:UYM131116 VII131115:VII131116 VSE131115:VSE131116 WCA131115:WCA131116 WLW131115:WLW131116 WVS131115:WVS131116 V196652:V196653 JG196651:JG196652 TC196651:TC196652 ACY196651:ACY196652 AMU196651:AMU196652 AWQ196651:AWQ196652 BGM196651:BGM196652 BQI196651:BQI196652 CAE196651:CAE196652 CKA196651:CKA196652 CTW196651:CTW196652 DDS196651:DDS196652 DNO196651:DNO196652 DXK196651:DXK196652 EHG196651:EHG196652 ERC196651:ERC196652 FAY196651:FAY196652 FKU196651:FKU196652 FUQ196651:FUQ196652 GEM196651:GEM196652 GOI196651:GOI196652 GYE196651:GYE196652 HIA196651:HIA196652 HRW196651:HRW196652 IBS196651:IBS196652 ILO196651:ILO196652 IVK196651:IVK196652 JFG196651:JFG196652 JPC196651:JPC196652 JYY196651:JYY196652 KIU196651:KIU196652 KSQ196651:KSQ196652 LCM196651:LCM196652 LMI196651:LMI196652 LWE196651:LWE196652 MGA196651:MGA196652 MPW196651:MPW196652 MZS196651:MZS196652 NJO196651:NJO196652 NTK196651:NTK196652 ODG196651:ODG196652 ONC196651:ONC196652 OWY196651:OWY196652 PGU196651:PGU196652 PQQ196651:PQQ196652 QAM196651:QAM196652 QKI196651:QKI196652 QUE196651:QUE196652 REA196651:REA196652 RNW196651:RNW196652 RXS196651:RXS196652 SHO196651:SHO196652 SRK196651:SRK196652 TBG196651:TBG196652 TLC196651:TLC196652 TUY196651:TUY196652 UEU196651:UEU196652 UOQ196651:UOQ196652 UYM196651:UYM196652 VII196651:VII196652 VSE196651:VSE196652 WCA196651:WCA196652 WLW196651:WLW196652 WVS196651:WVS196652 V262188:V262189 JG262187:JG262188 TC262187:TC262188 ACY262187:ACY262188 AMU262187:AMU262188 AWQ262187:AWQ262188 BGM262187:BGM262188 BQI262187:BQI262188 CAE262187:CAE262188 CKA262187:CKA262188 CTW262187:CTW262188 DDS262187:DDS262188 DNO262187:DNO262188 DXK262187:DXK262188 EHG262187:EHG262188 ERC262187:ERC262188 FAY262187:FAY262188 FKU262187:FKU262188 FUQ262187:FUQ262188 GEM262187:GEM262188 GOI262187:GOI262188 GYE262187:GYE262188 HIA262187:HIA262188 HRW262187:HRW262188 IBS262187:IBS262188 ILO262187:ILO262188 IVK262187:IVK262188 JFG262187:JFG262188 JPC262187:JPC262188 JYY262187:JYY262188 KIU262187:KIU262188 KSQ262187:KSQ262188 LCM262187:LCM262188 LMI262187:LMI262188 LWE262187:LWE262188 MGA262187:MGA262188 MPW262187:MPW262188 MZS262187:MZS262188 NJO262187:NJO262188 NTK262187:NTK262188 ODG262187:ODG262188 ONC262187:ONC262188 OWY262187:OWY262188 PGU262187:PGU262188 PQQ262187:PQQ262188 QAM262187:QAM262188 QKI262187:QKI262188 QUE262187:QUE262188 REA262187:REA262188 RNW262187:RNW262188 RXS262187:RXS262188 SHO262187:SHO262188 SRK262187:SRK262188 TBG262187:TBG262188 TLC262187:TLC262188 TUY262187:TUY262188 UEU262187:UEU262188 UOQ262187:UOQ262188 UYM262187:UYM262188 VII262187:VII262188 VSE262187:VSE262188 WCA262187:WCA262188 WLW262187:WLW262188 WVS262187:WVS262188 V327724:V327725 JG327723:JG327724 TC327723:TC327724 ACY327723:ACY327724 AMU327723:AMU327724 AWQ327723:AWQ327724 BGM327723:BGM327724 BQI327723:BQI327724 CAE327723:CAE327724 CKA327723:CKA327724 CTW327723:CTW327724 DDS327723:DDS327724 DNO327723:DNO327724 DXK327723:DXK327724 EHG327723:EHG327724 ERC327723:ERC327724 FAY327723:FAY327724 FKU327723:FKU327724 FUQ327723:FUQ327724 GEM327723:GEM327724 GOI327723:GOI327724 GYE327723:GYE327724 HIA327723:HIA327724 HRW327723:HRW327724 IBS327723:IBS327724 ILO327723:ILO327724 IVK327723:IVK327724 JFG327723:JFG327724 JPC327723:JPC327724 JYY327723:JYY327724 KIU327723:KIU327724 KSQ327723:KSQ327724 LCM327723:LCM327724 LMI327723:LMI327724 LWE327723:LWE327724 MGA327723:MGA327724 MPW327723:MPW327724 MZS327723:MZS327724 NJO327723:NJO327724 NTK327723:NTK327724 ODG327723:ODG327724 ONC327723:ONC327724 OWY327723:OWY327724 PGU327723:PGU327724 PQQ327723:PQQ327724 QAM327723:QAM327724 QKI327723:QKI327724 QUE327723:QUE327724 REA327723:REA327724 RNW327723:RNW327724 RXS327723:RXS327724 SHO327723:SHO327724 SRK327723:SRK327724 TBG327723:TBG327724 TLC327723:TLC327724 TUY327723:TUY327724 UEU327723:UEU327724 UOQ327723:UOQ327724 UYM327723:UYM327724 VII327723:VII327724 VSE327723:VSE327724 WCA327723:WCA327724 WLW327723:WLW327724 WVS327723:WVS327724 V393260:V393261 JG393259:JG393260 TC393259:TC393260 ACY393259:ACY393260 AMU393259:AMU393260 AWQ393259:AWQ393260 BGM393259:BGM393260 BQI393259:BQI393260 CAE393259:CAE393260 CKA393259:CKA393260 CTW393259:CTW393260 DDS393259:DDS393260 DNO393259:DNO393260 DXK393259:DXK393260 EHG393259:EHG393260 ERC393259:ERC393260 FAY393259:FAY393260 FKU393259:FKU393260 FUQ393259:FUQ393260 GEM393259:GEM393260 GOI393259:GOI393260 GYE393259:GYE393260 HIA393259:HIA393260 HRW393259:HRW393260 IBS393259:IBS393260 ILO393259:ILO393260 IVK393259:IVK393260 JFG393259:JFG393260 JPC393259:JPC393260 JYY393259:JYY393260 KIU393259:KIU393260 KSQ393259:KSQ393260 LCM393259:LCM393260 LMI393259:LMI393260 LWE393259:LWE393260 MGA393259:MGA393260 MPW393259:MPW393260 MZS393259:MZS393260 NJO393259:NJO393260 NTK393259:NTK393260 ODG393259:ODG393260 ONC393259:ONC393260 OWY393259:OWY393260 PGU393259:PGU393260 PQQ393259:PQQ393260 QAM393259:QAM393260 QKI393259:QKI393260 QUE393259:QUE393260 REA393259:REA393260 RNW393259:RNW393260 RXS393259:RXS393260 SHO393259:SHO393260 SRK393259:SRK393260 TBG393259:TBG393260 TLC393259:TLC393260 TUY393259:TUY393260 UEU393259:UEU393260 UOQ393259:UOQ393260 UYM393259:UYM393260 VII393259:VII393260 VSE393259:VSE393260 WCA393259:WCA393260 WLW393259:WLW393260 WVS393259:WVS393260 V458796:V458797 JG458795:JG458796 TC458795:TC458796 ACY458795:ACY458796 AMU458795:AMU458796 AWQ458795:AWQ458796 BGM458795:BGM458796 BQI458795:BQI458796 CAE458795:CAE458796 CKA458795:CKA458796 CTW458795:CTW458796 DDS458795:DDS458796 DNO458795:DNO458796 DXK458795:DXK458796 EHG458795:EHG458796 ERC458795:ERC458796 FAY458795:FAY458796 FKU458795:FKU458796 FUQ458795:FUQ458796 GEM458795:GEM458796 GOI458795:GOI458796 GYE458795:GYE458796 HIA458795:HIA458796 HRW458795:HRW458796 IBS458795:IBS458796 ILO458795:ILO458796 IVK458795:IVK458796 JFG458795:JFG458796 JPC458795:JPC458796 JYY458795:JYY458796 KIU458795:KIU458796 KSQ458795:KSQ458796 LCM458795:LCM458796 LMI458795:LMI458796 LWE458795:LWE458796 MGA458795:MGA458796 MPW458795:MPW458796 MZS458795:MZS458796 NJO458795:NJO458796 NTK458795:NTK458796 ODG458795:ODG458796 ONC458795:ONC458796 OWY458795:OWY458796 PGU458795:PGU458796 PQQ458795:PQQ458796 QAM458795:QAM458796 QKI458795:QKI458796 QUE458795:QUE458796 REA458795:REA458796 RNW458795:RNW458796 RXS458795:RXS458796 SHO458795:SHO458796 SRK458795:SRK458796 TBG458795:TBG458796 TLC458795:TLC458796 TUY458795:TUY458796 UEU458795:UEU458796 UOQ458795:UOQ458796 UYM458795:UYM458796 VII458795:VII458796 VSE458795:VSE458796 WCA458795:WCA458796 WLW458795:WLW458796 WVS458795:WVS458796 V524332:V524333 JG524331:JG524332 TC524331:TC524332 ACY524331:ACY524332 AMU524331:AMU524332 AWQ524331:AWQ524332 BGM524331:BGM524332 BQI524331:BQI524332 CAE524331:CAE524332 CKA524331:CKA524332 CTW524331:CTW524332 DDS524331:DDS524332 DNO524331:DNO524332 DXK524331:DXK524332 EHG524331:EHG524332 ERC524331:ERC524332 FAY524331:FAY524332 FKU524331:FKU524332 FUQ524331:FUQ524332 GEM524331:GEM524332 GOI524331:GOI524332 GYE524331:GYE524332 HIA524331:HIA524332 HRW524331:HRW524332 IBS524331:IBS524332 ILO524331:ILO524332 IVK524331:IVK524332 JFG524331:JFG524332 JPC524331:JPC524332 JYY524331:JYY524332 KIU524331:KIU524332 KSQ524331:KSQ524332 LCM524331:LCM524332 LMI524331:LMI524332 LWE524331:LWE524332 MGA524331:MGA524332 MPW524331:MPW524332 MZS524331:MZS524332 NJO524331:NJO524332 NTK524331:NTK524332 ODG524331:ODG524332 ONC524331:ONC524332 OWY524331:OWY524332 PGU524331:PGU524332 PQQ524331:PQQ524332 QAM524331:QAM524332 QKI524331:QKI524332 QUE524331:QUE524332 REA524331:REA524332 RNW524331:RNW524332 RXS524331:RXS524332 SHO524331:SHO524332 SRK524331:SRK524332 TBG524331:TBG524332 TLC524331:TLC524332 TUY524331:TUY524332 UEU524331:UEU524332 UOQ524331:UOQ524332 UYM524331:UYM524332 VII524331:VII524332 VSE524331:VSE524332 WCA524331:WCA524332 WLW524331:WLW524332 WVS524331:WVS524332 V589868:V589869 JG589867:JG589868 TC589867:TC589868 ACY589867:ACY589868 AMU589867:AMU589868 AWQ589867:AWQ589868 BGM589867:BGM589868 BQI589867:BQI589868 CAE589867:CAE589868 CKA589867:CKA589868 CTW589867:CTW589868 DDS589867:DDS589868 DNO589867:DNO589868 DXK589867:DXK589868 EHG589867:EHG589868 ERC589867:ERC589868 FAY589867:FAY589868 FKU589867:FKU589868 FUQ589867:FUQ589868 GEM589867:GEM589868 GOI589867:GOI589868 GYE589867:GYE589868 HIA589867:HIA589868 HRW589867:HRW589868 IBS589867:IBS589868 ILO589867:ILO589868 IVK589867:IVK589868 JFG589867:JFG589868 JPC589867:JPC589868 JYY589867:JYY589868 KIU589867:KIU589868 KSQ589867:KSQ589868 LCM589867:LCM589868 LMI589867:LMI589868 LWE589867:LWE589868 MGA589867:MGA589868 MPW589867:MPW589868 MZS589867:MZS589868 NJO589867:NJO589868 NTK589867:NTK589868 ODG589867:ODG589868 ONC589867:ONC589868 OWY589867:OWY589868 PGU589867:PGU589868 PQQ589867:PQQ589868 QAM589867:QAM589868 QKI589867:QKI589868 QUE589867:QUE589868 REA589867:REA589868 RNW589867:RNW589868 RXS589867:RXS589868 SHO589867:SHO589868 SRK589867:SRK589868 TBG589867:TBG589868 TLC589867:TLC589868 TUY589867:TUY589868 UEU589867:UEU589868 UOQ589867:UOQ589868 UYM589867:UYM589868 VII589867:VII589868 VSE589867:VSE589868 WCA589867:WCA589868 WLW589867:WLW589868 WVS589867:WVS589868 V655404:V655405 JG655403:JG655404 TC655403:TC655404 ACY655403:ACY655404 AMU655403:AMU655404 AWQ655403:AWQ655404 BGM655403:BGM655404 BQI655403:BQI655404 CAE655403:CAE655404 CKA655403:CKA655404 CTW655403:CTW655404 DDS655403:DDS655404 DNO655403:DNO655404 DXK655403:DXK655404 EHG655403:EHG655404 ERC655403:ERC655404 FAY655403:FAY655404 FKU655403:FKU655404 FUQ655403:FUQ655404 GEM655403:GEM655404 GOI655403:GOI655404 GYE655403:GYE655404 HIA655403:HIA655404 HRW655403:HRW655404 IBS655403:IBS655404 ILO655403:ILO655404 IVK655403:IVK655404 JFG655403:JFG655404 JPC655403:JPC655404 JYY655403:JYY655404 KIU655403:KIU655404 KSQ655403:KSQ655404 LCM655403:LCM655404 LMI655403:LMI655404 LWE655403:LWE655404 MGA655403:MGA655404 MPW655403:MPW655404 MZS655403:MZS655404 NJO655403:NJO655404 NTK655403:NTK655404 ODG655403:ODG655404 ONC655403:ONC655404 OWY655403:OWY655404 PGU655403:PGU655404 PQQ655403:PQQ655404 QAM655403:QAM655404 QKI655403:QKI655404 QUE655403:QUE655404 REA655403:REA655404 RNW655403:RNW655404 RXS655403:RXS655404 SHO655403:SHO655404 SRK655403:SRK655404 TBG655403:TBG655404 TLC655403:TLC655404 TUY655403:TUY655404 UEU655403:UEU655404 UOQ655403:UOQ655404 UYM655403:UYM655404 VII655403:VII655404 VSE655403:VSE655404 WCA655403:WCA655404 WLW655403:WLW655404 WVS655403:WVS655404 V720940:V720941 JG720939:JG720940 TC720939:TC720940 ACY720939:ACY720940 AMU720939:AMU720940 AWQ720939:AWQ720940 BGM720939:BGM720940 BQI720939:BQI720940 CAE720939:CAE720940 CKA720939:CKA720940 CTW720939:CTW720940 DDS720939:DDS720940 DNO720939:DNO720940 DXK720939:DXK720940 EHG720939:EHG720940 ERC720939:ERC720940 FAY720939:FAY720940 FKU720939:FKU720940 FUQ720939:FUQ720940 GEM720939:GEM720940 GOI720939:GOI720940 GYE720939:GYE720940 HIA720939:HIA720940 HRW720939:HRW720940 IBS720939:IBS720940 ILO720939:ILO720940 IVK720939:IVK720940 JFG720939:JFG720940 JPC720939:JPC720940 JYY720939:JYY720940 KIU720939:KIU720940 KSQ720939:KSQ720940 LCM720939:LCM720940 LMI720939:LMI720940 LWE720939:LWE720940 MGA720939:MGA720940 MPW720939:MPW720940 MZS720939:MZS720940 NJO720939:NJO720940 NTK720939:NTK720940 ODG720939:ODG720940 ONC720939:ONC720940 OWY720939:OWY720940 PGU720939:PGU720940 PQQ720939:PQQ720940 QAM720939:QAM720940 QKI720939:QKI720940 QUE720939:QUE720940 REA720939:REA720940 RNW720939:RNW720940 RXS720939:RXS720940 SHO720939:SHO720940 SRK720939:SRK720940 TBG720939:TBG720940 TLC720939:TLC720940 TUY720939:TUY720940 UEU720939:UEU720940 UOQ720939:UOQ720940 UYM720939:UYM720940 VII720939:VII720940 VSE720939:VSE720940 WCA720939:WCA720940 WLW720939:WLW720940 WVS720939:WVS720940 V786476:V786477 JG786475:JG786476 TC786475:TC786476 ACY786475:ACY786476 AMU786475:AMU786476 AWQ786475:AWQ786476 BGM786475:BGM786476 BQI786475:BQI786476 CAE786475:CAE786476 CKA786475:CKA786476 CTW786475:CTW786476 DDS786475:DDS786476 DNO786475:DNO786476 DXK786475:DXK786476 EHG786475:EHG786476 ERC786475:ERC786476 FAY786475:FAY786476 FKU786475:FKU786476 FUQ786475:FUQ786476 GEM786475:GEM786476 GOI786475:GOI786476 GYE786475:GYE786476 HIA786475:HIA786476 HRW786475:HRW786476 IBS786475:IBS786476 ILO786475:ILO786476 IVK786475:IVK786476 JFG786475:JFG786476 JPC786475:JPC786476 JYY786475:JYY786476 KIU786475:KIU786476 KSQ786475:KSQ786476 LCM786475:LCM786476 LMI786475:LMI786476 LWE786475:LWE786476 MGA786475:MGA786476 MPW786475:MPW786476 MZS786475:MZS786476 NJO786475:NJO786476 NTK786475:NTK786476 ODG786475:ODG786476 ONC786475:ONC786476 OWY786475:OWY786476 PGU786475:PGU786476 PQQ786475:PQQ786476 QAM786475:QAM786476 QKI786475:QKI786476 QUE786475:QUE786476 REA786475:REA786476 RNW786475:RNW786476 RXS786475:RXS786476 SHO786475:SHO786476 SRK786475:SRK786476 TBG786475:TBG786476 TLC786475:TLC786476 TUY786475:TUY786476 UEU786475:UEU786476 UOQ786475:UOQ786476 UYM786475:UYM786476 VII786475:VII786476 VSE786475:VSE786476 WCA786475:WCA786476 WLW786475:WLW786476 WVS786475:WVS786476 V852012:V852013 JG852011:JG852012 TC852011:TC852012 ACY852011:ACY852012 AMU852011:AMU852012 AWQ852011:AWQ852012 BGM852011:BGM852012 BQI852011:BQI852012 CAE852011:CAE852012 CKA852011:CKA852012 CTW852011:CTW852012 DDS852011:DDS852012 DNO852011:DNO852012 DXK852011:DXK852012 EHG852011:EHG852012 ERC852011:ERC852012 FAY852011:FAY852012 FKU852011:FKU852012 FUQ852011:FUQ852012 GEM852011:GEM852012 GOI852011:GOI852012 GYE852011:GYE852012 HIA852011:HIA852012 HRW852011:HRW852012 IBS852011:IBS852012 ILO852011:ILO852012 IVK852011:IVK852012 JFG852011:JFG852012 JPC852011:JPC852012 JYY852011:JYY852012 KIU852011:KIU852012 KSQ852011:KSQ852012 LCM852011:LCM852012 LMI852011:LMI852012 LWE852011:LWE852012 MGA852011:MGA852012 MPW852011:MPW852012 MZS852011:MZS852012 NJO852011:NJO852012 NTK852011:NTK852012 ODG852011:ODG852012 ONC852011:ONC852012 OWY852011:OWY852012 PGU852011:PGU852012 PQQ852011:PQQ852012 QAM852011:QAM852012 QKI852011:QKI852012 QUE852011:QUE852012 REA852011:REA852012 RNW852011:RNW852012 RXS852011:RXS852012 SHO852011:SHO852012 SRK852011:SRK852012 TBG852011:TBG852012 TLC852011:TLC852012 TUY852011:TUY852012 UEU852011:UEU852012 UOQ852011:UOQ852012 UYM852011:UYM852012 VII852011:VII852012 VSE852011:VSE852012 WCA852011:WCA852012 WLW852011:WLW852012 WVS852011:WVS852012 V917548:V917549 JG917547:JG917548 TC917547:TC917548 ACY917547:ACY917548 AMU917547:AMU917548 AWQ917547:AWQ917548 BGM917547:BGM917548 BQI917547:BQI917548 CAE917547:CAE917548 CKA917547:CKA917548 CTW917547:CTW917548 DDS917547:DDS917548 DNO917547:DNO917548 DXK917547:DXK917548 EHG917547:EHG917548 ERC917547:ERC917548 FAY917547:FAY917548 FKU917547:FKU917548 FUQ917547:FUQ917548 GEM917547:GEM917548 GOI917547:GOI917548 GYE917547:GYE917548 HIA917547:HIA917548 HRW917547:HRW917548 IBS917547:IBS917548 ILO917547:ILO917548 IVK917547:IVK917548 JFG917547:JFG917548 JPC917547:JPC917548 JYY917547:JYY917548 KIU917547:KIU917548 KSQ917547:KSQ917548 LCM917547:LCM917548 LMI917547:LMI917548 LWE917547:LWE917548 MGA917547:MGA917548 MPW917547:MPW917548 MZS917547:MZS917548 NJO917547:NJO917548 NTK917547:NTK917548 ODG917547:ODG917548 ONC917547:ONC917548 OWY917547:OWY917548 PGU917547:PGU917548 PQQ917547:PQQ917548 QAM917547:QAM917548 QKI917547:QKI917548 QUE917547:QUE917548 REA917547:REA917548 RNW917547:RNW917548 RXS917547:RXS917548 SHO917547:SHO917548 SRK917547:SRK917548 TBG917547:TBG917548 TLC917547:TLC917548 TUY917547:TUY917548 UEU917547:UEU917548 UOQ917547:UOQ917548 UYM917547:UYM917548 VII917547:VII917548 VSE917547:VSE917548 WCA917547:WCA917548 WLW917547:WLW917548 WVS917547:WVS917548 V983084:V983085 JG983083:JG983084 TC983083:TC983084 ACY983083:ACY983084 AMU983083:AMU983084 AWQ983083:AWQ983084 BGM983083:BGM983084 BQI983083:BQI983084 CAE983083:CAE983084 CKA983083:CKA983084 CTW983083:CTW983084 DDS983083:DDS983084 DNO983083:DNO983084 DXK983083:DXK983084 EHG983083:EHG983084 ERC983083:ERC983084 FAY983083:FAY983084 FKU983083:FKU983084 FUQ983083:FUQ983084 GEM983083:GEM983084 GOI983083:GOI983084 GYE983083:GYE983084 HIA983083:HIA983084 HRW983083:HRW983084 IBS983083:IBS983084 ILO983083:ILO983084 IVK983083:IVK983084 JFG983083:JFG983084 JPC983083:JPC983084 JYY983083:JYY983084 KIU983083:KIU983084 KSQ983083:KSQ983084 LCM983083:LCM983084 LMI983083:LMI983084 LWE983083:LWE983084 MGA983083:MGA983084 MPW983083:MPW983084 MZS983083:MZS983084 NJO983083:NJO983084 NTK983083:NTK983084 ODG983083:ODG983084 ONC983083:ONC983084 OWY983083:OWY983084 PGU983083:PGU983084 PQQ983083:PQQ983084 QAM983083:QAM983084 QKI983083:QKI983084 QUE983083:QUE983084 REA983083:REA983084 RNW983083:RNW983084 RXS983083:RXS983084 SHO983083:SHO983084 SRK983083:SRK983084 TBG983083:TBG983084 TLC983083:TLC983084 TUY983083:TUY983084 UEU983083:UEU983084 UOQ983083:UOQ983084 UYM983083:UYM983084 VII983083:VII983084 VSE983083:VSE983084 WCA983083:WCA983084 WLW983083:WLW983084 WVS983083:WVS983084 X65579:X65580 JJ65579:JJ65580 TF65579:TF65580 ADB65579:ADB65580 AMX65579:AMX65580 AWT65579:AWT65580 BGP65579:BGP65580 BQL65579:BQL65580 CAH65579:CAH65580 CKD65579:CKD65580 CTZ65579:CTZ65580 DDV65579:DDV65580 DNR65579:DNR65580 DXN65579:DXN65580 EHJ65579:EHJ65580 ERF65579:ERF65580 FBB65579:FBB65580 FKX65579:FKX65580 FUT65579:FUT65580 GEP65579:GEP65580 GOL65579:GOL65580 GYH65579:GYH65580 HID65579:HID65580 HRZ65579:HRZ65580 IBV65579:IBV65580 ILR65579:ILR65580 IVN65579:IVN65580 JFJ65579:JFJ65580 JPF65579:JPF65580 JZB65579:JZB65580 KIX65579:KIX65580 KST65579:KST65580 LCP65579:LCP65580 LML65579:LML65580 LWH65579:LWH65580 MGD65579:MGD65580 MPZ65579:MPZ65580 MZV65579:MZV65580 NJR65579:NJR65580 NTN65579:NTN65580 ODJ65579:ODJ65580 ONF65579:ONF65580 OXB65579:OXB65580 PGX65579:PGX65580 PQT65579:PQT65580 QAP65579:QAP65580 QKL65579:QKL65580 QUH65579:QUH65580 RED65579:RED65580 RNZ65579:RNZ65580 RXV65579:RXV65580 SHR65579:SHR65580 SRN65579:SRN65580 TBJ65579:TBJ65580 TLF65579:TLF65580 TVB65579:TVB65580 UEX65579:UEX65580 UOT65579:UOT65580 UYP65579:UYP65580 VIL65579:VIL65580 VSH65579:VSH65580 WCD65579:WCD65580 WLZ65579:WLZ65580 WVV65579:WVV65580 X131115:X131116 JJ131115:JJ131116 TF131115:TF131116 ADB131115:ADB131116 AMX131115:AMX131116 AWT131115:AWT131116 BGP131115:BGP131116 BQL131115:BQL131116 CAH131115:CAH131116 CKD131115:CKD131116 CTZ131115:CTZ131116 DDV131115:DDV131116 DNR131115:DNR131116 DXN131115:DXN131116 EHJ131115:EHJ131116 ERF131115:ERF131116 FBB131115:FBB131116 FKX131115:FKX131116 FUT131115:FUT131116 GEP131115:GEP131116 GOL131115:GOL131116 GYH131115:GYH131116 HID131115:HID131116 HRZ131115:HRZ131116 IBV131115:IBV131116 ILR131115:ILR131116 IVN131115:IVN131116 JFJ131115:JFJ131116 JPF131115:JPF131116 JZB131115:JZB131116 KIX131115:KIX131116 KST131115:KST131116 LCP131115:LCP131116 LML131115:LML131116 LWH131115:LWH131116 MGD131115:MGD131116 MPZ131115:MPZ131116 MZV131115:MZV131116 NJR131115:NJR131116 NTN131115:NTN131116 ODJ131115:ODJ131116 ONF131115:ONF131116 OXB131115:OXB131116 PGX131115:PGX131116 PQT131115:PQT131116 QAP131115:QAP131116 QKL131115:QKL131116 QUH131115:QUH131116 RED131115:RED131116 RNZ131115:RNZ131116 RXV131115:RXV131116 SHR131115:SHR131116 SRN131115:SRN131116 TBJ131115:TBJ131116 TLF131115:TLF131116 TVB131115:TVB131116 UEX131115:UEX131116 UOT131115:UOT131116 UYP131115:UYP131116 VIL131115:VIL131116 VSH131115:VSH131116 WCD131115:WCD131116 WLZ131115:WLZ131116 WVV131115:WVV131116 X196651:X196652 JJ196651:JJ196652 TF196651:TF196652 ADB196651:ADB196652 AMX196651:AMX196652 AWT196651:AWT196652 BGP196651:BGP196652 BQL196651:BQL196652 CAH196651:CAH196652 CKD196651:CKD196652 CTZ196651:CTZ196652 DDV196651:DDV196652 DNR196651:DNR196652 DXN196651:DXN196652 EHJ196651:EHJ196652 ERF196651:ERF196652 FBB196651:FBB196652 FKX196651:FKX196652 FUT196651:FUT196652 GEP196651:GEP196652 GOL196651:GOL196652 GYH196651:GYH196652 HID196651:HID196652 HRZ196651:HRZ196652 IBV196651:IBV196652 ILR196651:ILR196652 IVN196651:IVN196652 JFJ196651:JFJ196652 JPF196651:JPF196652 JZB196651:JZB196652 KIX196651:KIX196652 KST196651:KST196652 LCP196651:LCP196652 LML196651:LML196652 LWH196651:LWH196652 MGD196651:MGD196652 MPZ196651:MPZ196652 MZV196651:MZV196652 NJR196651:NJR196652 NTN196651:NTN196652 ODJ196651:ODJ196652 ONF196651:ONF196652 OXB196651:OXB196652 PGX196651:PGX196652 PQT196651:PQT196652 QAP196651:QAP196652 QKL196651:QKL196652 QUH196651:QUH196652 RED196651:RED196652 RNZ196651:RNZ196652 RXV196651:RXV196652 SHR196651:SHR196652 SRN196651:SRN196652 TBJ196651:TBJ196652 TLF196651:TLF196652 TVB196651:TVB196652 UEX196651:UEX196652 UOT196651:UOT196652 UYP196651:UYP196652 VIL196651:VIL196652 VSH196651:VSH196652 WCD196651:WCD196652 WLZ196651:WLZ196652 WVV196651:WVV196652 X262187:X262188 JJ262187:JJ262188 TF262187:TF262188 ADB262187:ADB262188 AMX262187:AMX262188 AWT262187:AWT262188 BGP262187:BGP262188 BQL262187:BQL262188 CAH262187:CAH262188 CKD262187:CKD262188 CTZ262187:CTZ262188 DDV262187:DDV262188 DNR262187:DNR262188 DXN262187:DXN262188 EHJ262187:EHJ262188 ERF262187:ERF262188 FBB262187:FBB262188 FKX262187:FKX262188 FUT262187:FUT262188 GEP262187:GEP262188 GOL262187:GOL262188 GYH262187:GYH262188 HID262187:HID262188 HRZ262187:HRZ262188 IBV262187:IBV262188 ILR262187:ILR262188 IVN262187:IVN262188 JFJ262187:JFJ262188 JPF262187:JPF262188 JZB262187:JZB262188 KIX262187:KIX262188 KST262187:KST262188 LCP262187:LCP262188 LML262187:LML262188 LWH262187:LWH262188 MGD262187:MGD262188 MPZ262187:MPZ262188 MZV262187:MZV262188 NJR262187:NJR262188 NTN262187:NTN262188 ODJ262187:ODJ262188 ONF262187:ONF262188 OXB262187:OXB262188 PGX262187:PGX262188 PQT262187:PQT262188 QAP262187:QAP262188 QKL262187:QKL262188 QUH262187:QUH262188 RED262187:RED262188 RNZ262187:RNZ262188 RXV262187:RXV262188 SHR262187:SHR262188 SRN262187:SRN262188 TBJ262187:TBJ262188 TLF262187:TLF262188 TVB262187:TVB262188 UEX262187:UEX262188 UOT262187:UOT262188 UYP262187:UYP262188 VIL262187:VIL262188 VSH262187:VSH262188 WCD262187:WCD262188 WLZ262187:WLZ262188 WVV262187:WVV262188 X327723:X327724 JJ327723:JJ327724 TF327723:TF327724 ADB327723:ADB327724 AMX327723:AMX327724 AWT327723:AWT327724 BGP327723:BGP327724 BQL327723:BQL327724 CAH327723:CAH327724 CKD327723:CKD327724 CTZ327723:CTZ327724 DDV327723:DDV327724 DNR327723:DNR327724 DXN327723:DXN327724 EHJ327723:EHJ327724 ERF327723:ERF327724 FBB327723:FBB327724 FKX327723:FKX327724 FUT327723:FUT327724 GEP327723:GEP327724 GOL327723:GOL327724 GYH327723:GYH327724 HID327723:HID327724 HRZ327723:HRZ327724 IBV327723:IBV327724 ILR327723:ILR327724 IVN327723:IVN327724 JFJ327723:JFJ327724 JPF327723:JPF327724 JZB327723:JZB327724 KIX327723:KIX327724 KST327723:KST327724 LCP327723:LCP327724 LML327723:LML327724 LWH327723:LWH327724 MGD327723:MGD327724 MPZ327723:MPZ327724 MZV327723:MZV327724 NJR327723:NJR327724 NTN327723:NTN327724 ODJ327723:ODJ327724 ONF327723:ONF327724 OXB327723:OXB327724 PGX327723:PGX327724 PQT327723:PQT327724 QAP327723:QAP327724 QKL327723:QKL327724 QUH327723:QUH327724 RED327723:RED327724 RNZ327723:RNZ327724 RXV327723:RXV327724 SHR327723:SHR327724 SRN327723:SRN327724 TBJ327723:TBJ327724 TLF327723:TLF327724 TVB327723:TVB327724 UEX327723:UEX327724 UOT327723:UOT327724 UYP327723:UYP327724 VIL327723:VIL327724 VSH327723:VSH327724 WCD327723:WCD327724 WLZ327723:WLZ327724 WVV327723:WVV327724 X393259:X393260 JJ393259:JJ393260 TF393259:TF393260 ADB393259:ADB393260 AMX393259:AMX393260 AWT393259:AWT393260 BGP393259:BGP393260 BQL393259:BQL393260 CAH393259:CAH393260 CKD393259:CKD393260 CTZ393259:CTZ393260 DDV393259:DDV393260 DNR393259:DNR393260 DXN393259:DXN393260 EHJ393259:EHJ393260 ERF393259:ERF393260 FBB393259:FBB393260 FKX393259:FKX393260 FUT393259:FUT393260 GEP393259:GEP393260 GOL393259:GOL393260 GYH393259:GYH393260 HID393259:HID393260 HRZ393259:HRZ393260 IBV393259:IBV393260 ILR393259:ILR393260 IVN393259:IVN393260 JFJ393259:JFJ393260 JPF393259:JPF393260 JZB393259:JZB393260 KIX393259:KIX393260 KST393259:KST393260 LCP393259:LCP393260 LML393259:LML393260 LWH393259:LWH393260 MGD393259:MGD393260 MPZ393259:MPZ393260 MZV393259:MZV393260 NJR393259:NJR393260 NTN393259:NTN393260 ODJ393259:ODJ393260 ONF393259:ONF393260 OXB393259:OXB393260 PGX393259:PGX393260 PQT393259:PQT393260 QAP393259:QAP393260 QKL393259:QKL393260 QUH393259:QUH393260 RED393259:RED393260 RNZ393259:RNZ393260 RXV393259:RXV393260 SHR393259:SHR393260 SRN393259:SRN393260 TBJ393259:TBJ393260 TLF393259:TLF393260 TVB393259:TVB393260 UEX393259:UEX393260 UOT393259:UOT393260 UYP393259:UYP393260 VIL393259:VIL393260 VSH393259:VSH393260 WCD393259:WCD393260 WLZ393259:WLZ393260 WVV393259:WVV393260 X458795:X458796 JJ458795:JJ458796 TF458795:TF458796 ADB458795:ADB458796 AMX458795:AMX458796 AWT458795:AWT458796 BGP458795:BGP458796 BQL458795:BQL458796 CAH458795:CAH458796 CKD458795:CKD458796 CTZ458795:CTZ458796 DDV458795:DDV458796 DNR458795:DNR458796 DXN458795:DXN458796 EHJ458795:EHJ458796 ERF458795:ERF458796 FBB458795:FBB458796 FKX458795:FKX458796 FUT458795:FUT458796 GEP458795:GEP458796 GOL458795:GOL458796 GYH458795:GYH458796 HID458795:HID458796 HRZ458795:HRZ458796 IBV458795:IBV458796 ILR458795:ILR458796 IVN458795:IVN458796 JFJ458795:JFJ458796 JPF458795:JPF458796 JZB458795:JZB458796 KIX458795:KIX458796 KST458795:KST458796 LCP458795:LCP458796 LML458795:LML458796 LWH458795:LWH458796 MGD458795:MGD458796 MPZ458795:MPZ458796 MZV458795:MZV458796 NJR458795:NJR458796 NTN458795:NTN458796 ODJ458795:ODJ458796 ONF458795:ONF458796 OXB458795:OXB458796 PGX458795:PGX458796 PQT458795:PQT458796 QAP458795:QAP458796 QKL458795:QKL458796 QUH458795:QUH458796 RED458795:RED458796 RNZ458795:RNZ458796 RXV458795:RXV458796 SHR458795:SHR458796 SRN458795:SRN458796 TBJ458795:TBJ458796 TLF458795:TLF458796 TVB458795:TVB458796 UEX458795:UEX458796 UOT458795:UOT458796 UYP458795:UYP458796 VIL458795:VIL458796 VSH458795:VSH458796 WCD458795:WCD458796 WLZ458795:WLZ458796 WVV458795:WVV458796 X524331:X524332 JJ524331:JJ524332 TF524331:TF524332 ADB524331:ADB524332 AMX524331:AMX524332 AWT524331:AWT524332 BGP524331:BGP524332 BQL524331:BQL524332 CAH524331:CAH524332 CKD524331:CKD524332 CTZ524331:CTZ524332 DDV524331:DDV524332 DNR524331:DNR524332 DXN524331:DXN524332 EHJ524331:EHJ524332 ERF524331:ERF524332 FBB524331:FBB524332 FKX524331:FKX524332 FUT524331:FUT524332 GEP524331:GEP524332 GOL524331:GOL524332 GYH524331:GYH524332 HID524331:HID524332 HRZ524331:HRZ524332 IBV524331:IBV524332 ILR524331:ILR524332 IVN524331:IVN524332 JFJ524331:JFJ524332 JPF524331:JPF524332 JZB524331:JZB524332 KIX524331:KIX524332 KST524331:KST524332 LCP524331:LCP524332 LML524331:LML524332 LWH524331:LWH524332 MGD524331:MGD524332 MPZ524331:MPZ524332 MZV524331:MZV524332 NJR524331:NJR524332 NTN524331:NTN524332 ODJ524331:ODJ524332 ONF524331:ONF524332 OXB524331:OXB524332 PGX524331:PGX524332 PQT524331:PQT524332 QAP524331:QAP524332 QKL524331:QKL524332 QUH524331:QUH524332 RED524331:RED524332 RNZ524331:RNZ524332 RXV524331:RXV524332 SHR524331:SHR524332 SRN524331:SRN524332 TBJ524331:TBJ524332 TLF524331:TLF524332 TVB524331:TVB524332 UEX524331:UEX524332 UOT524331:UOT524332 UYP524331:UYP524332 VIL524331:VIL524332 VSH524331:VSH524332 WCD524331:WCD524332 WLZ524331:WLZ524332 WVV524331:WVV524332 X589867:X589868 JJ589867:JJ589868 TF589867:TF589868 ADB589867:ADB589868 AMX589867:AMX589868 AWT589867:AWT589868 BGP589867:BGP589868 BQL589867:BQL589868 CAH589867:CAH589868 CKD589867:CKD589868 CTZ589867:CTZ589868 DDV589867:DDV589868 DNR589867:DNR589868 DXN589867:DXN589868 EHJ589867:EHJ589868 ERF589867:ERF589868 FBB589867:FBB589868 FKX589867:FKX589868 FUT589867:FUT589868 GEP589867:GEP589868 GOL589867:GOL589868 GYH589867:GYH589868 HID589867:HID589868 HRZ589867:HRZ589868 IBV589867:IBV589868 ILR589867:ILR589868 IVN589867:IVN589868 JFJ589867:JFJ589868 JPF589867:JPF589868 JZB589867:JZB589868 KIX589867:KIX589868 KST589867:KST589868 LCP589867:LCP589868 LML589867:LML589868 LWH589867:LWH589868 MGD589867:MGD589868 MPZ589867:MPZ589868 MZV589867:MZV589868 NJR589867:NJR589868 NTN589867:NTN589868 ODJ589867:ODJ589868 ONF589867:ONF589868 OXB589867:OXB589868 PGX589867:PGX589868 PQT589867:PQT589868 QAP589867:QAP589868 QKL589867:QKL589868 QUH589867:QUH589868 RED589867:RED589868 RNZ589867:RNZ589868 RXV589867:RXV589868 SHR589867:SHR589868 SRN589867:SRN589868 TBJ589867:TBJ589868 TLF589867:TLF589868 TVB589867:TVB589868 UEX589867:UEX589868 UOT589867:UOT589868 UYP589867:UYP589868 VIL589867:VIL589868 VSH589867:VSH589868 WCD589867:WCD589868 WLZ589867:WLZ589868 WVV589867:WVV589868 X655403:X655404 JJ655403:JJ655404 TF655403:TF655404 ADB655403:ADB655404 AMX655403:AMX655404 AWT655403:AWT655404 BGP655403:BGP655404 BQL655403:BQL655404 CAH655403:CAH655404 CKD655403:CKD655404 CTZ655403:CTZ655404 DDV655403:DDV655404 DNR655403:DNR655404 DXN655403:DXN655404 EHJ655403:EHJ655404 ERF655403:ERF655404 FBB655403:FBB655404 FKX655403:FKX655404 FUT655403:FUT655404 GEP655403:GEP655404 GOL655403:GOL655404 GYH655403:GYH655404 HID655403:HID655404 HRZ655403:HRZ655404 IBV655403:IBV655404 ILR655403:ILR655404 IVN655403:IVN655404 JFJ655403:JFJ655404 JPF655403:JPF655404 JZB655403:JZB655404 KIX655403:KIX655404 KST655403:KST655404 LCP655403:LCP655404 LML655403:LML655404 LWH655403:LWH655404 MGD655403:MGD655404 MPZ655403:MPZ655404 MZV655403:MZV655404 NJR655403:NJR655404 NTN655403:NTN655404 ODJ655403:ODJ655404 ONF655403:ONF655404 OXB655403:OXB655404 PGX655403:PGX655404 PQT655403:PQT655404 QAP655403:QAP655404 QKL655403:QKL655404 QUH655403:QUH655404 RED655403:RED655404 RNZ655403:RNZ655404 RXV655403:RXV655404 SHR655403:SHR655404 SRN655403:SRN655404 TBJ655403:TBJ655404 TLF655403:TLF655404 TVB655403:TVB655404 UEX655403:UEX655404 UOT655403:UOT655404 UYP655403:UYP655404 VIL655403:VIL655404 VSH655403:VSH655404 WCD655403:WCD655404 WLZ655403:WLZ655404 WVV655403:WVV655404 X720939:X720940 JJ720939:JJ720940 TF720939:TF720940 ADB720939:ADB720940 AMX720939:AMX720940 AWT720939:AWT720940 BGP720939:BGP720940 BQL720939:BQL720940 CAH720939:CAH720940 CKD720939:CKD720940 CTZ720939:CTZ720940 DDV720939:DDV720940 DNR720939:DNR720940 DXN720939:DXN720940 EHJ720939:EHJ720940 ERF720939:ERF720940 FBB720939:FBB720940 FKX720939:FKX720940 FUT720939:FUT720940 GEP720939:GEP720940 GOL720939:GOL720940 GYH720939:GYH720940 HID720939:HID720940 HRZ720939:HRZ720940 IBV720939:IBV720940 ILR720939:ILR720940 IVN720939:IVN720940 JFJ720939:JFJ720940 JPF720939:JPF720940 JZB720939:JZB720940 KIX720939:KIX720940 KST720939:KST720940 LCP720939:LCP720940 LML720939:LML720940 LWH720939:LWH720940 MGD720939:MGD720940 MPZ720939:MPZ720940 MZV720939:MZV720940 NJR720939:NJR720940 NTN720939:NTN720940 ODJ720939:ODJ720940 ONF720939:ONF720940 OXB720939:OXB720940 PGX720939:PGX720940 PQT720939:PQT720940 QAP720939:QAP720940 QKL720939:QKL720940 QUH720939:QUH720940 RED720939:RED720940 RNZ720939:RNZ720940 RXV720939:RXV720940 SHR720939:SHR720940 SRN720939:SRN720940 TBJ720939:TBJ720940 TLF720939:TLF720940 TVB720939:TVB720940 UEX720939:UEX720940 UOT720939:UOT720940 UYP720939:UYP720940 VIL720939:VIL720940 VSH720939:VSH720940 WCD720939:WCD720940 WLZ720939:WLZ720940 WVV720939:WVV720940 X786475:X786476 JJ786475:JJ786476 TF786475:TF786476 ADB786475:ADB786476 AMX786475:AMX786476 AWT786475:AWT786476 BGP786475:BGP786476 BQL786475:BQL786476 CAH786475:CAH786476 CKD786475:CKD786476 CTZ786475:CTZ786476 DDV786475:DDV786476 DNR786475:DNR786476 DXN786475:DXN786476 EHJ786475:EHJ786476 ERF786475:ERF786476 FBB786475:FBB786476 FKX786475:FKX786476 FUT786475:FUT786476 GEP786475:GEP786476 GOL786475:GOL786476 GYH786475:GYH786476 HID786475:HID786476 HRZ786475:HRZ786476 IBV786475:IBV786476 ILR786475:ILR786476 IVN786475:IVN786476 JFJ786475:JFJ786476 JPF786475:JPF786476 JZB786475:JZB786476 KIX786475:KIX786476 KST786475:KST786476 LCP786475:LCP786476 LML786475:LML786476 LWH786475:LWH786476 MGD786475:MGD786476 MPZ786475:MPZ786476 MZV786475:MZV786476 NJR786475:NJR786476 NTN786475:NTN786476 ODJ786475:ODJ786476 ONF786475:ONF786476 OXB786475:OXB786476 PGX786475:PGX786476 PQT786475:PQT786476 QAP786475:QAP786476 QKL786475:QKL786476 QUH786475:QUH786476 RED786475:RED786476 RNZ786475:RNZ786476 RXV786475:RXV786476 SHR786475:SHR786476 SRN786475:SRN786476 TBJ786475:TBJ786476 TLF786475:TLF786476 TVB786475:TVB786476 UEX786475:UEX786476 UOT786475:UOT786476 UYP786475:UYP786476 VIL786475:VIL786476 VSH786475:VSH786476 WCD786475:WCD786476 WLZ786475:WLZ786476 WVV786475:WVV786476 X852011:X852012 JJ852011:JJ852012 TF852011:TF852012 ADB852011:ADB852012 AMX852011:AMX852012 AWT852011:AWT852012 BGP852011:BGP852012 BQL852011:BQL852012 CAH852011:CAH852012 CKD852011:CKD852012 CTZ852011:CTZ852012 DDV852011:DDV852012 DNR852011:DNR852012 DXN852011:DXN852012 EHJ852011:EHJ852012 ERF852011:ERF852012 FBB852011:FBB852012 FKX852011:FKX852012 FUT852011:FUT852012 GEP852011:GEP852012 GOL852011:GOL852012 GYH852011:GYH852012 HID852011:HID852012 HRZ852011:HRZ852012 IBV852011:IBV852012 ILR852011:ILR852012 IVN852011:IVN852012 JFJ852011:JFJ852012 JPF852011:JPF852012 JZB852011:JZB852012 KIX852011:KIX852012 KST852011:KST852012 LCP852011:LCP852012 LML852011:LML852012 LWH852011:LWH852012 MGD852011:MGD852012 MPZ852011:MPZ852012 MZV852011:MZV852012 NJR852011:NJR852012 NTN852011:NTN852012 ODJ852011:ODJ852012 ONF852011:ONF852012 OXB852011:OXB852012 PGX852011:PGX852012 PQT852011:PQT852012 QAP852011:QAP852012 QKL852011:QKL852012 QUH852011:QUH852012 RED852011:RED852012 RNZ852011:RNZ852012 RXV852011:RXV852012 SHR852011:SHR852012 SRN852011:SRN852012 TBJ852011:TBJ852012 TLF852011:TLF852012 TVB852011:TVB852012 UEX852011:UEX852012 UOT852011:UOT852012 UYP852011:UYP852012 VIL852011:VIL852012 VSH852011:VSH852012 WCD852011:WCD852012 WLZ852011:WLZ852012 WVV852011:WVV852012 X917547:X917548 JJ917547:JJ917548 TF917547:TF917548 ADB917547:ADB917548 AMX917547:AMX917548 AWT917547:AWT917548 BGP917547:BGP917548 BQL917547:BQL917548 CAH917547:CAH917548 CKD917547:CKD917548 CTZ917547:CTZ917548 DDV917547:DDV917548 DNR917547:DNR917548 DXN917547:DXN917548 EHJ917547:EHJ917548 ERF917547:ERF917548 FBB917547:FBB917548 FKX917547:FKX917548 FUT917547:FUT917548 GEP917547:GEP917548 GOL917547:GOL917548 GYH917547:GYH917548 HID917547:HID917548 HRZ917547:HRZ917548 IBV917547:IBV917548 ILR917547:ILR917548 IVN917547:IVN917548 JFJ917547:JFJ917548 JPF917547:JPF917548 JZB917547:JZB917548 KIX917547:KIX917548 KST917547:KST917548 LCP917547:LCP917548 LML917547:LML917548 LWH917547:LWH917548 MGD917547:MGD917548 MPZ917547:MPZ917548 MZV917547:MZV917548 NJR917547:NJR917548 NTN917547:NTN917548 ODJ917547:ODJ917548 ONF917547:ONF917548 OXB917547:OXB917548 PGX917547:PGX917548 PQT917547:PQT917548 QAP917547:QAP917548 QKL917547:QKL917548 QUH917547:QUH917548 RED917547:RED917548 RNZ917547:RNZ917548 RXV917547:RXV917548 SHR917547:SHR917548 SRN917547:SRN917548 TBJ917547:TBJ917548 TLF917547:TLF917548 TVB917547:TVB917548 UEX917547:UEX917548 UOT917547:UOT917548 UYP917547:UYP917548 VIL917547:VIL917548 VSH917547:VSH917548 WCD917547:WCD917548 WLZ917547:WLZ917548 WVV917547:WVV917548 X983083:X983084 JJ983083:JJ983084 TF983083:TF983084 ADB983083:ADB983084 AMX983083:AMX983084 AWT983083:AWT983084 BGP983083:BGP983084 BQL983083:BQL983084 CAH983083:CAH983084 CKD983083:CKD983084 CTZ983083:CTZ983084 DDV983083:DDV983084 DNR983083:DNR983084 DXN983083:DXN983084 EHJ983083:EHJ983084 ERF983083:ERF983084 FBB983083:FBB983084 FKX983083:FKX983084 FUT983083:FUT983084 GEP983083:GEP983084 GOL983083:GOL983084 GYH983083:GYH983084 HID983083:HID983084 HRZ983083:HRZ983084 IBV983083:IBV983084 ILR983083:ILR983084 IVN983083:IVN983084 JFJ983083:JFJ983084 JPF983083:JPF983084 JZB983083:JZB983084 KIX983083:KIX983084 KST983083:KST983084 LCP983083:LCP983084 LML983083:LML983084 LWH983083:LWH983084 MGD983083:MGD983084 MPZ983083:MPZ983084 MZV983083:MZV983084 NJR983083:NJR983084 NTN983083:NTN983084 ODJ983083:ODJ983084 ONF983083:ONF983084 OXB983083:OXB983084 PGX983083:PGX983084 PQT983083:PQT983084 QAP983083:QAP983084 QKL983083:QKL983084 QUH983083:QUH983084 RED983083:RED983084 RNZ983083:RNZ983084 RXV983083:RXV983084 SHR983083:SHR983084 SRN983083:SRN983084 TBJ983083:TBJ983084 TLF983083:TLF983084 TVB983083:TVB983084 UEX983083:UEX983084 UOT983083:UOT983084 UYP983083:UYP983084 VIL983083:VIL983084 VSH983083:VSH983084 WCD983083:WCD983084 WLZ983083:WLZ983084 WVV983083:WVV983084 Z65579:Z65580 JM65579:JM65580 TI65579:TI65580 ADE65579:ADE65580 ANA65579:ANA65580 AWW65579:AWW65580 BGS65579:BGS65580 BQO65579:BQO65580 CAK65579:CAK65580 CKG65579:CKG65580 CUC65579:CUC65580 DDY65579:DDY65580 DNU65579:DNU65580 DXQ65579:DXQ65580 EHM65579:EHM65580 ERI65579:ERI65580 FBE65579:FBE65580 FLA65579:FLA65580 FUW65579:FUW65580 GES65579:GES65580 GOO65579:GOO65580 GYK65579:GYK65580 HIG65579:HIG65580 HSC65579:HSC65580 IBY65579:IBY65580 ILU65579:ILU65580 IVQ65579:IVQ65580 JFM65579:JFM65580 JPI65579:JPI65580 JZE65579:JZE65580 KJA65579:KJA65580 KSW65579:KSW65580 LCS65579:LCS65580 LMO65579:LMO65580 LWK65579:LWK65580 MGG65579:MGG65580 MQC65579:MQC65580 MZY65579:MZY65580 NJU65579:NJU65580 NTQ65579:NTQ65580 ODM65579:ODM65580 ONI65579:ONI65580 OXE65579:OXE65580 PHA65579:PHA65580 PQW65579:PQW65580 QAS65579:QAS65580 QKO65579:QKO65580 QUK65579:QUK65580 REG65579:REG65580 ROC65579:ROC65580 RXY65579:RXY65580 SHU65579:SHU65580 SRQ65579:SRQ65580 TBM65579:TBM65580 TLI65579:TLI65580 TVE65579:TVE65580 UFA65579:UFA65580 UOW65579:UOW65580 UYS65579:UYS65580 VIO65579:VIO65580 VSK65579:VSK65580 WCG65579:WCG65580 WMC65579:WMC65580 WVY65579:WVY65580 Z131115:Z131116 JM131115:JM131116 TI131115:TI131116 ADE131115:ADE131116 ANA131115:ANA131116 AWW131115:AWW131116 BGS131115:BGS131116 BQO131115:BQO131116 CAK131115:CAK131116 CKG131115:CKG131116 CUC131115:CUC131116 DDY131115:DDY131116 DNU131115:DNU131116 DXQ131115:DXQ131116 EHM131115:EHM131116 ERI131115:ERI131116 FBE131115:FBE131116 FLA131115:FLA131116 FUW131115:FUW131116 GES131115:GES131116 GOO131115:GOO131116 GYK131115:GYK131116 HIG131115:HIG131116 HSC131115:HSC131116 IBY131115:IBY131116 ILU131115:ILU131116 IVQ131115:IVQ131116 JFM131115:JFM131116 JPI131115:JPI131116 JZE131115:JZE131116 KJA131115:KJA131116 KSW131115:KSW131116 LCS131115:LCS131116 LMO131115:LMO131116 LWK131115:LWK131116 MGG131115:MGG131116 MQC131115:MQC131116 MZY131115:MZY131116 NJU131115:NJU131116 NTQ131115:NTQ131116 ODM131115:ODM131116 ONI131115:ONI131116 OXE131115:OXE131116 PHA131115:PHA131116 PQW131115:PQW131116 QAS131115:QAS131116 QKO131115:QKO131116 QUK131115:QUK131116 REG131115:REG131116 ROC131115:ROC131116 RXY131115:RXY131116 SHU131115:SHU131116 SRQ131115:SRQ131116 TBM131115:TBM131116 TLI131115:TLI131116 TVE131115:TVE131116 UFA131115:UFA131116 UOW131115:UOW131116 UYS131115:UYS131116 VIO131115:VIO131116 VSK131115:VSK131116 WCG131115:WCG131116 WMC131115:WMC131116 WVY131115:WVY131116 Z196651:Z196652 JM196651:JM196652 TI196651:TI196652 ADE196651:ADE196652 ANA196651:ANA196652 AWW196651:AWW196652 BGS196651:BGS196652 BQO196651:BQO196652 CAK196651:CAK196652 CKG196651:CKG196652 CUC196651:CUC196652 DDY196651:DDY196652 DNU196651:DNU196652 DXQ196651:DXQ196652 EHM196651:EHM196652 ERI196651:ERI196652 FBE196651:FBE196652 FLA196651:FLA196652 FUW196651:FUW196652 GES196651:GES196652 GOO196651:GOO196652 GYK196651:GYK196652 HIG196651:HIG196652 HSC196651:HSC196652 IBY196651:IBY196652 ILU196651:ILU196652 IVQ196651:IVQ196652 JFM196651:JFM196652 JPI196651:JPI196652 JZE196651:JZE196652 KJA196651:KJA196652 KSW196651:KSW196652 LCS196651:LCS196652 LMO196651:LMO196652 LWK196651:LWK196652 MGG196651:MGG196652 MQC196651:MQC196652 MZY196651:MZY196652 NJU196651:NJU196652 NTQ196651:NTQ196652 ODM196651:ODM196652 ONI196651:ONI196652 OXE196651:OXE196652 PHA196651:PHA196652 PQW196651:PQW196652 QAS196651:QAS196652 QKO196651:QKO196652 QUK196651:QUK196652 REG196651:REG196652 ROC196651:ROC196652 RXY196651:RXY196652 SHU196651:SHU196652 SRQ196651:SRQ196652 TBM196651:TBM196652 TLI196651:TLI196652 TVE196651:TVE196652 UFA196651:UFA196652 UOW196651:UOW196652 UYS196651:UYS196652 VIO196651:VIO196652 VSK196651:VSK196652 WCG196651:WCG196652 WMC196651:WMC196652 WVY196651:WVY196652 Z262187:Z262188 JM262187:JM262188 TI262187:TI262188 ADE262187:ADE262188 ANA262187:ANA262188 AWW262187:AWW262188 BGS262187:BGS262188 BQO262187:BQO262188 CAK262187:CAK262188 CKG262187:CKG262188 CUC262187:CUC262188 DDY262187:DDY262188 DNU262187:DNU262188 DXQ262187:DXQ262188 EHM262187:EHM262188 ERI262187:ERI262188 FBE262187:FBE262188 FLA262187:FLA262188 FUW262187:FUW262188 GES262187:GES262188 GOO262187:GOO262188 GYK262187:GYK262188 HIG262187:HIG262188 HSC262187:HSC262188 IBY262187:IBY262188 ILU262187:ILU262188 IVQ262187:IVQ262188 JFM262187:JFM262188 JPI262187:JPI262188 JZE262187:JZE262188 KJA262187:KJA262188 KSW262187:KSW262188 LCS262187:LCS262188 LMO262187:LMO262188 LWK262187:LWK262188 MGG262187:MGG262188 MQC262187:MQC262188 MZY262187:MZY262188 NJU262187:NJU262188 NTQ262187:NTQ262188 ODM262187:ODM262188 ONI262187:ONI262188 OXE262187:OXE262188 PHA262187:PHA262188 PQW262187:PQW262188 QAS262187:QAS262188 QKO262187:QKO262188 QUK262187:QUK262188 REG262187:REG262188 ROC262187:ROC262188 RXY262187:RXY262188 SHU262187:SHU262188 SRQ262187:SRQ262188 TBM262187:TBM262188 TLI262187:TLI262188 TVE262187:TVE262188 UFA262187:UFA262188 UOW262187:UOW262188 UYS262187:UYS262188 VIO262187:VIO262188 VSK262187:VSK262188 WCG262187:WCG262188 WMC262187:WMC262188 WVY262187:WVY262188 Z327723:Z327724 JM327723:JM327724 TI327723:TI327724 ADE327723:ADE327724 ANA327723:ANA327724 AWW327723:AWW327724 BGS327723:BGS327724 BQO327723:BQO327724 CAK327723:CAK327724 CKG327723:CKG327724 CUC327723:CUC327724 DDY327723:DDY327724 DNU327723:DNU327724 DXQ327723:DXQ327724 EHM327723:EHM327724 ERI327723:ERI327724 FBE327723:FBE327724 FLA327723:FLA327724 FUW327723:FUW327724 GES327723:GES327724 GOO327723:GOO327724 GYK327723:GYK327724 HIG327723:HIG327724 HSC327723:HSC327724 IBY327723:IBY327724 ILU327723:ILU327724 IVQ327723:IVQ327724 JFM327723:JFM327724 JPI327723:JPI327724 JZE327723:JZE327724 KJA327723:KJA327724 KSW327723:KSW327724 LCS327723:LCS327724 LMO327723:LMO327724 LWK327723:LWK327724 MGG327723:MGG327724 MQC327723:MQC327724 MZY327723:MZY327724 NJU327723:NJU327724 NTQ327723:NTQ327724 ODM327723:ODM327724 ONI327723:ONI327724 OXE327723:OXE327724 PHA327723:PHA327724 PQW327723:PQW327724 QAS327723:QAS327724 QKO327723:QKO327724 QUK327723:QUK327724 REG327723:REG327724 ROC327723:ROC327724 RXY327723:RXY327724 SHU327723:SHU327724 SRQ327723:SRQ327724 TBM327723:TBM327724 TLI327723:TLI327724 TVE327723:TVE327724 UFA327723:UFA327724 UOW327723:UOW327724 UYS327723:UYS327724 VIO327723:VIO327724 VSK327723:VSK327724 WCG327723:WCG327724 WMC327723:WMC327724 WVY327723:WVY327724 Z393259:Z393260 JM393259:JM393260 TI393259:TI393260 ADE393259:ADE393260 ANA393259:ANA393260 AWW393259:AWW393260 BGS393259:BGS393260 BQO393259:BQO393260 CAK393259:CAK393260 CKG393259:CKG393260 CUC393259:CUC393260 DDY393259:DDY393260 DNU393259:DNU393260 DXQ393259:DXQ393260 EHM393259:EHM393260 ERI393259:ERI393260 FBE393259:FBE393260 FLA393259:FLA393260 FUW393259:FUW393260 GES393259:GES393260 GOO393259:GOO393260 GYK393259:GYK393260 HIG393259:HIG393260 HSC393259:HSC393260 IBY393259:IBY393260 ILU393259:ILU393260 IVQ393259:IVQ393260 JFM393259:JFM393260 JPI393259:JPI393260 JZE393259:JZE393260 KJA393259:KJA393260 KSW393259:KSW393260 LCS393259:LCS393260 LMO393259:LMO393260 LWK393259:LWK393260 MGG393259:MGG393260 MQC393259:MQC393260 MZY393259:MZY393260 NJU393259:NJU393260 NTQ393259:NTQ393260 ODM393259:ODM393260 ONI393259:ONI393260 OXE393259:OXE393260 PHA393259:PHA393260 PQW393259:PQW393260 QAS393259:QAS393260 QKO393259:QKO393260 QUK393259:QUK393260 REG393259:REG393260 ROC393259:ROC393260 RXY393259:RXY393260 SHU393259:SHU393260 SRQ393259:SRQ393260 TBM393259:TBM393260 TLI393259:TLI393260 TVE393259:TVE393260 UFA393259:UFA393260 UOW393259:UOW393260 UYS393259:UYS393260 VIO393259:VIO393260 VSK393259:VSK393260 WCG393259:WCG393260 WMC393259:WMC393260 WVY393259:WVY393260 Z458795:Z458796 JM458795:JM458796 TI458795:TI458796 ADE458795:ADE458796 ANA458795:ANA458796 AWW458795:AWW458796 BGS458795:BGS458796 BQO458795:BQO458796 CAK458795:CAK458796 CKG458795:CKG458796 CUC458795:CUC458796 DDY458795:DDY458796 DNU458795:DNU458796 DXQ458795:DXQ458796 EHM458795:EHM458796 ERI458795:ERI458796 FBE458795:FBE458796 FLA458795:FLA458796 FUW458795:FUW458796 GES458795:GES458796 GOO458795:GOO458796 GYK458795:GYK458796 HIG458795:HIG458796 HSC458795:HSC458796 IBY458795:IBY458796 ILU458795:ILU458796 IVQ458795:IVQ458796 JFM458795:JFM458796 JPI458795:JPI458796 JZE458795:JZE458796 KJA458795:KJA458796 KSW458795:KSW458796 LCS458795:LCS458796 LMO458795:LMO458796 LWK458795:LWK458796 MGG458795:MGG458796 MQC458795:MQC458796 MZY458795:MZY458796 NJU458795:NJU458796 NTQ458795:NTQ458796 ODM458795:ODM458796 ONI458795:ONI458796 OXE458795:OXE458796 PHA458795:PHA458796 PQW458795:PQW458796 QAS458795:QAS458796 QKO458795:QKO458796 QUK458795:QUK458796 REG458795:REG458796 ROC458795:ROC458796 RXY458795:RXY458796 SHU458795:SHU458796 SRQ458795:SRQ458796 TBM458795:TBM458796 TLI458795:TLI458796 TVE458795:TVE458796 UFA458795:UFA458796 UOW458795:UOW458796 UYS458795:UYS458796 VIO458795:VIO458796 VSK458795:VSK458796 WCG458795:WCG458796 WMC458795:WMC458796 WVY458795:WVY458796 Z524331:Z524332 JM524331:JM524332 TI524331:TI524332 ADE524331:ADE524332 ANA524331:ANA524332 AWW524331:AWW524332 BGS524331:BGS524332 BQO524331:BQO524332 CAK524331:CAK524332 CKG524331:CKG524332 CUC524331:CUC524332 DDY524331:DDY524332 DNU524331:DNU524332 DXQ524331:DXQ524332 EHM524331:EHM524332 ERI524331:ERI524332 FBE524331:FBE524332 FLA524331:FLA524332 FUW524331:FUW524332 GES524331:GES524332 GOO524331:GOO524332 GYK524331:GYK524332 HIG524331:HIG524332 HSC524331:HSC524332 IBY524331:IBY524332 ILU524331:ILU524332 IVQ524331:IVQ524332 JFM524331:JFM524332 JPI524331:JPI524332 JZE524331:JZE524332 KJA524331:KJA524332 KSW524331:KSW524332 LCS524331:LCS524332 LMO524331:LMO524332 LWK524331:LWK524332 MGG524331:MGG524332 MQC524331:MQC524332 MZY524331:MZY524332 NJU524331:NJU524332 NTQ524331:NTQ524332 ODM524331:ODM524332 ONI524331:ONI524332 OXE524331:OXE524332 PHA524331:PHA524332 PQW524331:PQW524332 QAS524331:QAS524332 QKO524331:QKO524332 QUK524331:QUK524332 REG524331:REG524332 ROC524331:ROC524332 RXY524331:RXY524332 SHU524331:SHU524332 SRQ524331:SRQ524332 TBM524331:TBM524332 TLI524331:TLI524332 TVE524331:TVE524332 UFA524331:UFA524332 UOW524331:UOW524332 UYS524331:UYS524332 VIO524331:VIO524332 VSK524331:VSK524332 WCG524331:WCG524332 WMC524331:WMC524332 WVY524331:WVY524332 Z589867:Z589868 JM589867:JM589868 TI589867:TI589868 ADE589867:ADE589868 ANA589867:ANA589868 AWW589867:AWW589868 BGS589867:BGS589868 BQO589867:BQO589868 CAK589867:CAK589868 CKG589867:CKG589868 CUC589867:CUC589868 DDY589867:DDY589868 DNU589867:DNU589868 DXQ589867:DXQ589868 EHM589867:EHM589868 ERI589867:ERI589868 FBE589867:FBE589868 FLA589867:FLA589868 FUW589867:FUW589868 GES589867:GES589868 GOO589867:GOO589868 GYK589867:GYK589868 HIG589867:HIG589868 HSC589867:HSC589868 IBY589867:IBY589868 ILU589867:ILU589868 IVQ589867:IVQ589868 JFM589867:JFM589868 JPI589867:JPI589868 JZE589867:JZE589868 KJA589867:KJA589868 KSW589867:KSW589868 LCS589867:LCS589868 LMO589867:LMO589868 LWK589867:LWK589868 MGG589867:MGG589868 MQC589867:MQC589868 MZY589867:MZY589868 NJU589867:NJU589868 NTQ589867:NTQ589868 ODM589867:ODM589868 ONI589867:ONI589868 OXE589867:OXE589868 PHA589867:PHA589868 PQW589867:PQW589868 QAS589867:QAS589868 QKO589867:QKO589868 QUK589867:QUK589868 REG589867:REG589868 ROC589867:ROC589868 RXY589867:RXY589868 SHU589867:SHU589868 SRQ589867:SRQ589868 TBM589867:TBM589868 TLI589867:TLI589868 TVE589867:TVE589868 UFA589867:UFA589868 UOW589867:UOW589868 UYS589867:UYS589868 VIO589867:VIO589868 VSK589867:VSK589868 WCG589867:WCG589868 WMC589867:WMC589868 WVY589867:WVY589868 Z655403:Z655404 JM655403:JM655404 TI655403:TI655404 ADE655403:ADE655404 ANA655403:ANA655404 AWW655403:AWW655404 BGS655403:BGS655404 BQO655403:BQO655404 CAK655403:CAK655404 CKG655403:CKG655404 CUC655403:CUC655404 DDY655403:DDY655404 DNU655403:DNU655404 DXQ655403:DXQ655404 EHM655403:EHM655404 ERI655403:ERI655404 FBE655403:FBE655404 FLA655403:FLA655404 FUW655403:FUW655404 GES655403:GES655404 GOO655403:GOO655404 GYK655403:GYK655404 HIG655403:HIG655404 HSC655403:HSC655404 IBY655403:IBY655404 ILU655403:ILU655404 IVQ655403:IVQ655404 JFM655403:JFM655404 JPI655403:JPI655404 JZE655403:JZE655404 KJA655403:KJA655404 KSW655403:KSW655404 LCS655403:LCS655404 LMO655403:LMO655404 LWK655403:LWK655404 MGG655403:MGG655404 MQC655403:MQC655404 MZY655403:MZY655404 NJU655403:NJU655404 NTQ655403:NTQ655404 ODM655403:ODM655404 ONI655403:ONI655404 OXE655403:OXE655404 PHA655403:PHA655404 PQW655403:PQW655404 QAS655403:QAS655404 QKO655403:QKO655404 QUK655403:QUK655404 REG655403:REG655404 ROC655403:ROC655404 RXY655403:RXY655404 SHU655403:SHU655404 SRQ655403:SRQ655404 TBM655403:TBM655404 TLI655403:TLI655404 TVE655403:TVE655404 UFA655403:UFA655404 UOW655403:UOW655404 UYS655403:UYS655404 VIO655403:VIO655404 VSK655403:VSK655404 WCG655403:WCG655404 WMC655403:WMC655404 WVY655403:WVY655404 Z720939:Z720940 JM720939:JM720940 TI720939:TI720940 ADE720939:ADE720940 ANA720939:ANA720940 AWW720939:AWW720940 BGS720939:BGS720940 BQO720939:BQO720940 CAK720939:CAK720940 CKG720939:CKG720940 CUC720939:CUC720940 DDY720939:DDY720940 DNU720939:DNU720940 DXQ720939:DXQ720940 EHM720939:EHM720940 ERI720939:ERI720940 FBE720939:FBE720940 FLA720939:FLA720940 FUW720939:FUW720940 GES720939:GES720940 GOO720939:GOO720940 GYK720939:GYK720940 HIG720939:HIG720940 HSC720939:HSC720940 IBY720939:IBY720940 ILU720939:ILU720940 IVQ720939:IVQ720940 JFM720939:JFM720940 JPI720939:JPI720940 JZE720939:JZE720940 KJA720939:KJA720940 KSW720939:KSW720940 LCS720939:LCS720940 LMO720939:LMO720940 LWK720939:LWK720940 MGG720939:MGG720940 MQC720939:MQC720940 MZY720939:MZY720940 NJU720939:NJU720940 NTQ720939:NTQ720940 ODM720939:ODM720940 ONI720939:ONI720940 OXE720939:OXE720940 PHA720939:PHA720940 PQW720939:PQW720940 QAS720939:QAS720940 QKO720939:QKO720940 QUK720939:QUK720940 REG720939:REG720940 ROC720939:ROC720940 RXY720939:RXY720940 SHU720939:SHU720940 SRQ720939:SRQ720940 TBM720939:TBM720940 TLI720939:TLI720940 TVE720939:TVE720940 UFA720939:UFA720940 UOW720939:UOW720940 UYS720939:UYS720940 VIO720939:VIO720940 VSK720939:VSK720940 WCG720939:WCG720940 WMC720939:WMC720940 WVY720939:WVY720940 Z786475:Z786476 JM786475:JM786476 TI786475:TI786476 ADE786475:ADE786476 ANA786475:ANA786476 AWW786475:AWW786476 BGS786475:BGS786476 BQO786475:BQO786476 CAK786475:CAK786476 CKG786475:CKG786476 CUC786475:CUC786476 DDY786475:DDY786476 DNU786475:DNU786476 DXQ786475:DXQ786476 EHM786475:EHM786476 ERI786475:ERI786476 FBE786475:FBE786476 FLA786475:FLA786476 FUW786475:FUW786476 GES786475:GES786476 GOO786475:GOO786476 GYK786475:GYK786476 HIG786475:HIG786476 HSC786475:HSC786476 IBY786475:IBY786476 ILU786475:ILU786476 IVQ786475:IVQ786476 JFM786475:JFM786476 JPI786475:JPI786476 JZE786475:JZE786476 KJA786475:KJA786476 KSW786475:KSW786476 LCS786475:LCS786476 LMO786475:LMO786476 LWK786475:LWK786476 MGG786475:MGG786476 MQC786475:MQC786476 MZY786475:MZY786476 NJU786475:NJU786476 NTQ786475:NTQ786476 ODM786475:ODM786476 ONI786475:ONI786476 OXE786475:OXE786476 PHA786475:PHA786476 PQW786475:PQW786476 QAS786475:QAS786476 QKO786475:QKO786476 QUK786475:QUK786476 REG786475:REG786476 ROC786475:ROC786476 RXY786475:RXY786476 SHU786475:SHU786476 SRQ786475:SRQ786476 TBM786475:TBM786476 TLI786475:TLI786476 TVE786475:TVE786476 UFA786475:UFA786476 UOW786475:UOW786476 UYS786475:UYS786476 VIO786475:VIO786476 VSK786475:VSK786476 WCG786475:WCG786476 WMC786475:WMC786476 WVY786475:WVY786476 Z852011:Z852012 JM852011:JM852012 TI852011:TI852012 ADE852011:ADE852012 ANA852011:ANA852012 AWW852011:AWW852012 BGS852011:BGS852012 BQO852011:BQO852012 CAK852011:CAK852012 CKG852011:CKG852012 CUC852011:CUC852012 DDY852011:DDY852012 DNU852011:DNU852012 DXQ852011:DXQ852012 EHM852011:EHM852012 ERI852011:ERI852012 FBE852011:FBE852012 FLA852011:FLA852012 FUW852011:FUW852012 GES852011:GES852012 GOO852011:GOO852012 GYK852011:GYK852012 HIG852011:HIG852012 HSC852011:HSC852012 IBY852011:IBY852012 ILU852011:ILU852012 IVQ852011:IVQ852012 JFM852011:JFM852012 JPI852011:JPI852012 JZE852011:JZE852012 KJA852011:KJA852012 KSW852011:KSW852012 LCS852011:LCS852012 LMO852011:LMO852012 LWK852011:LWK852012 MGG852011:MGG852012 MQC852011:MQC852012 MZY852011:MZY852012 NJU852011:NJU852012 NTQ852011:NTQ852012 ODM852011:ODM852012 ONI852011:ONI852012 OXE852011:OXE852012 PHA852011:PHA852012 PQW852011:PQW852012 QAS852011:QAS852012 QKO852011:QKO852012 QUK852011:QUK852012 REG852011:REG852012 ROC852011:ROC852012 RXY852011:RXY852012 SHU852011:SHU852012 SRQ852011:SRQ852012 TBM852011:TBM852012 TLI852011:TLI852012 TVE852011:TVE852012 UFA852011:UFA852012 UOW852011:UOW852012 UYS852011:UYS852012 VIO852011:VIO852012 VSK852011:VSK852012 WCG852011:WCG852012 WMC852011:WMC852012 WVY852011:WVY852012 Z917547:Z917548 JM917547:JM917548 TI917547:TI917548 ADE917547:ADE917548 ANA917547:ANA917548 AWW917547:AWW917548 BGS917547:BGS917548 BQO917547:BQO917548 CAK917547:CAK917548 CKG917547:CKG917548 CUC917547:CUC917548 DDY917547:DDY917548 DNU917547:DNU917548 DXQ917547:DXQ917548 EHM917547:EHM917548 ERI917547:ERI917548 FBE917547:FBE917548 FLA917547:FLA917548 FUW917547:FUW917548 GES917547:GES917548 GOO917547:GOO917548 GYK917547:GYK917548 HIG917547:HIG917548 HSC917547:HSC917548 IBY917547:IBY917548 ILU917547:ILU917548 IVQ917547:IVQ917548 JFM917547:JFM917548 JPI917547:JPI917548 JZE917547:JZE917548 KJA917547:KJA917548 KSW917547:KSW917548 LCS917547:LCS917548 LMO917547:LMO917548 LWK917547:LWK917548 MGG917547:MGG917548 MQC917547:MQC917548 MZY917547:MZY917548 NJU917547:NJU917548 NTQ917547:NTQ917548 ODM917547:ODM917548 ONI917547:ONI917548 OXE917547:OXE917548 PHA917547:PHA917548 PQW917547:PQW917548 QAS917547:QAS917548 QKO917547:QKO917548 QUK917547:QUK917548 REG917547:REG917548 ROC917547:ROC917548 RXY917547:RXY917548 SHU917547:SHU917548 SRQ917547:SRQ917548 TBM917547:TBM917548 TLI917547:TLI917548 TVE917547:TVE917548 UFA917547:UFA917548 UOW917547:UOW917548 UYS917547:UYS917548 VIO917547:VIO917548 VSK917547:VSK917548 WCG917547:WCG917548 WMC917547:WMC917548 WVY917547:WVY917548 Z983083:Z983084 JM983083:JM983084 TI983083:TI983084 ADE983083:ADE983084 ANA983083:ANA983084 AWW983083:AWW983084 BGS983083:BGS983084 BQO983083:BQO983084 CAK983083:CAK983084 CKG983083:CKG983084 CUC983083:CUC983084 DDY983083:DDY983084 DNU983083:DNU983084 DXQ983083:DXQ983084 EHM983083:EHM983084 ERI983083:ERI983084 FBE983083:FBE983084 FLA983083:FLA983084 FUW983083:FUW983084 GES983083:GES983084 GOO983083:GOO983084 GYK983083:GYK983084 HIG983083:HIG983084 HSC983083:HSC983084 IBY983083:IBY983084 ILU983083:ILU983084 IVQ983083:IVQ983084 JFM983083:JFM983084 JPI983083:JPI983084 JZE983083:JZE983084 KJA983083:KJA983084 KSW983083:KSW983084 LCS983083:LCS983084 LMO983083:LMO983084 LWK983083:LWK983084 MGG983083:MGG983084 MQC983083:MQC983084 MZY983083:MZY983084 NJU983083:NJU983084 NTQ983083:NTQ983084 ODM983083:ODM983084 ONI983083:ONI983084 OXE983083:OXE983084 PHA983083:PHA983084 PQW983083:PQW983084 QAS983083:QAS983084 QKO983083:QKO983084 QUK983083:QUK983084 REG983083:REG983084 ROC983083:ROC983084 RXY983083:RXY983084 SHU983083:SHU983084 SRQ983083:SRQ983084 TBM983083:TBM983084 TLI983083:TLI983084 TVE983083:TVE983084 UFA983083:UFA983084 UOW983083:UOW983084 UYS983083:UYS983084 VIO983083:VIO983084 VSK983083:VSK983084 WCG983083:WCG983084 WMC983083:WMC983084 WVY983083:WVY983084 AB65579:AB65580 JP65579:JP65580 TL65579:TL65580 ADH65579:ADH65580 AND65579:AND65580 AWZ65579:AWZ65580 BGV65579:BGV65580 BQR65579:BQR65580 CAN65579:CAN65580 CKJ65579:CKJ65580 CUF65579:CUF65580 DEB65579:DEB65580 DNX65579:DNX65580 DXT65579:DXT65580 EHP65579:EHP65580 ERL65579:ERL65580 FBH65579:FBH65580 FLD65579:FLD65580 FUZ65579:FUZ65580 GEV65579:GEV65580 GOR65579:GOR65580 GYN65579:GYN65580 HIJ65579:HIJ65580 HSF65579:HSF65580 ICB65579:ICB65580 ILX65579:ILX65580 IVT65579:IVT65580 JFP65579:JFP65580 JPL65579:JPL65580 JZH65579:JZH65580 KJD65579:KJD65580 KSZ65579:KSZ65580 LCV65579:LCV65580 LMR65579:LMR65580 LWN65579:LWN65580 MGJ65579:MGJ65580 MQF65579:MQF65580 NAB65579:NAB65580 NJX65579:NJX65580 NTT65579:NTT65580 ODP65579:ODP65580 ONL65579:ONL65580 OXH65579:OXH65580 PHD65579:PHD65580 PQZ65579:PQZ65580 QAV65579:QAV65580 QKR65579:QKR65580 QUN65579:QUN65580 REJ65579:REJ65580 ROF65579:ROF65580 RYB65579:RYB65580 SHX65579:SHX65580 SRT65579:SRT65580 TBP65579:TBP65580 TLL65579:TLL65580 TVH65579:TVH65580 UFD65579:UFD65580 UOZ65579:UOZ65580 UYV65579:UYV65580 VIR65579:VIR65580 VSN65579:VSN65580 WCJ65579:WCJ65580 WMF65579:WMF65580 WWB65579:WWB65580 AB131115:AB131116 JP131115:JP131116 TL131115:TL131116 ADH131115:ADH131116 AND131115:AND131116 AWZ131115:AWZ131116 BGV131115:BGV131116 BQR131115:BQR131116 CAN131115:CAN131116 CKJ131115:CKJ131116 CUF131115:CUF131116 DEB131115:DEB131116 DNX131115:DNX131116 DXT131115:DXT131116 EHP131115:EHP131116 ERL131115:ERL131116 FBH131115:FBH131116 FLD131115:FLD131116 FUZ131115:FUZ131116 GEV131115:GEV131116 GOR131115:GOR131116 GYN131115:GYN131116 HIJ131115:HIJ131116 HSF131115:HSF131116 ICB131115:ICB131116 ILX131115:ILX131116 IVT131115:IVT131116 JFP131115:JFP131116 JPL131115:JPL131116 JZH131115:JZH131116 KJD131115:KJD131116 KSZ131115:KSZ131116 LCV131115:LCV131116 LMR131115:LMR131116 LWN131115:LWN131116 MGJ131115:MGJ131116 MQF131115:MQF131116 NAB131115:NAB131116 NJX131115:NJX131116 NTT131115:NTT131116 ODP131115:ODP131116 ONL131115:ONL131116 OXH131115:OXH131116 PHD131115:PHD131116 PQZ131115:PQZ131116 QAV131115:QAV131116 QKR131115:QKR131116 QUN131115:QUN131116 REJ131115:REJ131116 ROF131115:ROF131116 RYB131115:RYB131116 SHX131115:SHX131116 SRT131115:SRT131116 TBP131115:TBP131116 TLL131115:TLL131116 TVH131115:TVH131116 UFD131115:UFD131116 UOZ131115:UOZ131116 UYV131115:UYV131116 VIR131115:VIR131116 VSN131115:VSN131116 WCJ131115:WCJ131116 WMF131115:WMF131116 WWB131115:WWB131116 AB196651:AB196652 JP196651:JP196652 TL196651:TL196652 ADH196651:ADH196652 AND196651:AND196652 AWZ196651:AWZ196652 BGV196651:BGV196652 BQR196651:BQR196652 CAN196651:CAN196652 CKJ196651:CKJ196652 CUF196651:CUF196652 DEB196651:DEB196652 DNX196651:DNX196652 DXT196651:DXT196652 EHP196651:EHP196652 ERL196651:ERL196652 FBH196651:FBH196652 FLD196651:FLD196652 FUZ196651:FUZ196652 GEV196651:GEV196652 GOR196651:GOR196652 GYN196651:GYN196652 HIJ196651:HIJ196652 HSF196651:HSF196652 ICB196651:ICB196652 ILX196651:ILX196652 IVT196651:IVT196652 JFP196651:JFP196652 JPL196651:JPL196652 JZH196651:JZH196652 KJD196651:KJD196652 KSZ196651:KSZ196652 LCV196651:LCV196652 LMR196651:LMR196652 LWN196651:LWN196652 MGJ196651:MGJ196652 MQF196651:MQF196652 NAB196651:NAB196652 NJX196651:NJX196652 NTT196651:NTT196652 ODP196651:ODP196652 ONL196651:ONL196652 OXH196651:OXH196652 PHD196651:PHD196652 PQZ196651:PQZ196652 QAV196651:QAV196652 QKR196651:QKR196652 QUN196651:QUN196652 REJ196651:REJ196652 ROF196651:ROF196652 RYB196651:RYB196652 SHX196651:SHX196652 SRT196651:SRT196652 TBP196651:TBP196652 TLL196651:TLL196652 TVH196651:TVH196652 UFD196651:UFD196652 UOZ196651:UOZ196652 UYV196651:UYV196652 VIR196651:VIR196652 VSN196651:VSN196652 WCJ196651:WCJ196652 WMF196651:WMF196652 WWB196651:WWB196652 AB262187:AB262188 JP262187:JP262188 TL262187:TL262188 ADH262187:ADH262188 AND262187:AND262188 AWZ262187:AWZ262188 BGV262187:BGV262188 BQR262187:BQR262188 CAN262187:CAN262188 CKJ262187:CKJ262188 CUF262187:CUF262188 DEB262187:DEB262188 DNX262187:DNX262188 DXT262187:DXT262188 EHP262187:EHP262188 ERL262187:ERL262188 FBH262187:FBH262188 FLD262187:FLD262188 FUZ262187:FUZ262188 GEV262187:GEV262188 GOR262187:GOR262188 GYN262187:GYN262188 HIJ262187:HIJ262188 HSF262187:HSF262188 ICB262187:ICB262188 ILX262187:ILX262188 IVT262187:IVT262188 JFP262187:JFP262188 JPL262187:JPL262188 JZH262187:JZH262188 KJD262187:KJD262188 KSZ262187:KSZ262188 LCV262187:LCV262188 LMR262187:LMR262188 LWN262187:LWN262188 MGJ262187:MGJ262188 MQF262187:MQF262188 NAB262187:NAB262188 NJX262187:NJX262188 NTT262187:NTT262188 ODP262187:ODP262188 ONL262187:ONL262188 OXH262187:OXH262188 PHD262187:PHD262188 PQZ262187:PQZ262188 QAV262187:QAV262188 QKR262187:QKR262188 QUN262187:QUN262188 REJ262187:REJ262188 ROF262187:ROF262188 RYB262187:RYB262188 SHX262187:SHX262188 SRT262187:SRT262188 TBP262187:TBP262188 TLL262187:TLL262188 TVH262187:TVH262188 UFD262187:UFD262188 UOZ262187:UOZ262188 UYV262187:UYV262188 VIR262187:VIR262188 VSN262187:VSN262188 WCJ262187:WCJ262188 WMF262187:WMF262188 WWB262187:WWB262188 AB327723:AB327724 JP327723:JP327724 TL327723:TL327724 ADH327723:ADH327724 AND327723:AND327724 AWZ327723:AWZ327724 BGV327723:BGV327724 BQR327723:BQR327724 CAN327723:CAN327724 CKJ327723:CKJ327724 CUF327723:CUF327724 DEB327723:DEB327724 DNX327723:DNX327724 DXT327723:DXT327724 EHP327723:EHP327724 ERL327723:ERL327724 FBH327723:FBH327724 FLD327723:FLD327724 FUZ327723:FUZ327724 GEV327723:GEV327724 GOR327723:GOR327724 GYN327723:GYN327724 HIJ327723:HIJ327724 HSF327723:HSF327724 ICB327723:ICB327724 ILX327723:ILX327724 IVT327723:IVT327724 JFP327723:JFP327724 JPL327723:JPL327724 JZH327723:JZH327724 KJD327723:KJD327724 KSZ327723:KSZ327724 LCV327723:LCV327724 LMR327723:LMR327724 LWN327723:LWN327724 MGJ327723:MGJ327724 MQF327723:MQF327724 NAB327723:NAB327724 NJX327723:NJX327724 NTT327723:NTT327724 ODP327723:ODP327724 ONL327723:ONL327724 OXH327723:OXH327724 PHD327723:PHD327724 PQZ327723:PQZ327724 QAV327723:QAV327724 QKR327723:QKR327724 QUN327723:QUN327724 REJ327723:REJ327724 ROF327723:ROF327724 RYB327723:RYB327724 SHX327723:SHX327724 SRT327723:SRT327724 TBP327723:TBP327724 TLL327723:TLL327724 TVH327723:TVH327724 UFD327723:UFD327724 UOZ327723:UOZ327724 UYV327723:UYV327724 VIR327723:VIR327724 VSN327723:VSN327724 WCJ327723:WCJ327724 WMF327723:WMF327724 WWB327723:WWB327724 AB393259:AB393260 JP393259:JP393260 TL393259:TL393260 ADH393259:ADH393260 AND393259:AND393260 AWZ393259:AWZ393260 BGV393259:BGV393260 BQR393259:BQR393260 CAN393259:CAN393260 CKJ393259:CKJ393260 CUF393259:CUF393260 DEB393259:DEB393260 DNX393259:DNX393260 DXT393259:DXT393260 EHP393259:EHP393260 ERL393259:ERL393260 FBH393259:FBH393260 FLD393259:FLD393260 FUZ393259:FUZ393260 GEV393259:GEV393260 GOR393259:GOR393260 GYN393259:GYN393260 HIJ393259:HIJ393260 HSF393259:HSF393260 ICB393259:ICB393260 ILX393259:ILX393260 IVT393259:IVT393260 JFP393259:JFP393260 JPL393259:JPL393260 JZH393259:JZH393260 KJD393259:KJD393260 KSZ393259:KSZ393260 LCV393259:LCV393260 LMR393259:LMR393260 LWN393259:LWN393260 MGJ393259:MGJ393260 MQF393259:MQF393260 NAB393259:NAB393260 NJX393259:NJX393260 NTT393259:NTT393260 ODP393259:ODP393260 ONL393259:ONL393260 OXH393259:OXH393260 PHD393259:PHD393260 PQZ393259:PQZ393260 QAV393259:QAV393260 QKR393259:QKR393260 QUN393259:QUN393260 REJ393259:REJ393260 ROF393259:ROF393260 RYB393259:RYB393260 SHX393259:SHX393260 SRT393259:SRT393260 TBP393259:TBP393260 TLL393259:TLL393260 TVH393259:TVH393260 UFD393259:UFD393260 UOZ393259:UOZ393260 UYV393259:UYV393260 VIR393259:VIR393260 VSN393259:VSN393260 WCJ393259:WCJ393260 WMF393259:WMF393260 WWB393259:WWB393260 AB458795:AB458796 JP458795:JP458796 TL458795:TL458796 ADH458795:ADH458796 AND458795:AND458796 AWZ458795:AWZ458796 BGV458795:BGV458796 BQR458795:BQR458796 CAN458795:CAN458796 CKJ458795:CKJ458796 CUF458795:CUF458796 DEB458795:DEB458796 DNX458795:DNX458796 DXT458795:DXT458796 EHP458795:EHP458796 ERL458795:ERL458796 FBH458795:FBH458796 FLD458795:FLD458796 FUZ458795:FUZ458796 GEV458795:GEV458796 GOR458795:GOR458796 GYN458795:GYN458796 HIJ458795:HIJ458796 HSF458795:HSF458796 ICB458795:ICB458796 ILX458795:ILX458796 IVT458795:IVT458796 JFP458795:JFP458796 JPL458795:JPL458796 JZH458795:JZH458796 KJD458795:KJD458796 KSZ458795:KSZ458796 LCV458795:LCV458796 LMR458795:LMR458796 LWN458795:LWN458796 MGJ458795:MGJ458796 MQF458795:MQF458796 NAB458795:NAB458796 NJX458795:NJX458796 NTT458795:NTT458796 ODP458795:ODP458796 ONL458795:ONL458796 OXH458795:OXH458796 PHD458795:PHD458796 PQZ458795:PQZ458796 QAV458795:QAV458796 QKR458795:QKR458796 QUN458795:QUN458796 REJ458795:REJ458796 ROF458795:ROF458796 RYB458795:RYB458796 SHX458795:SHX458796 SRT458795:SRT458796 TBP458795:TBP458796 TLL458795:TLL458796 TVH458795:TVH458796 UFD458795:UFD458796 UOZ458795:UOZ458796 UYV458795:UYV458796 VIR458795:VIR458796 VSN458795:VSN458796 WCJ458795:WCJ458796 WMF458795:WMF458796 WWB458795:WWB458796 AB524331:AB524332 JP524331:JP524332 TL524331:TL524332 ADH524331:ADH524332 AND524331:AND524332 AWZ524331:AWZ524332 BGV524331:BGV524332 BQR524331:BQR524332 CAN524331:CAN524332 CKJ524331:CKJ524332 CUF524331:CUF524332 DEB524331:DEB524332 DNX524331:DNX524332 DXT524331:DXT524332 EHP524331:EHP524332 ERL524331:ERL524332 FBH524331:FBH524332 FLD524331:FLD524332 FUZ524331:FUZ524332 GEV524331:GEV524332 GOR524331:GOR524332 GYN524331:GYN524332 HIJ524331:HIJ524332 HSF524331:HSF524332 ICB524331:ICB524332 ILX524331:ILX524332 IVT524331:IVT524332 JFP524331:JFP524332 JPL524331:JPL524332 JZH524331:JZH524332 KJD524331:KJD524332 KSZ524331:KSZ524332 LCV524331:LCV524332 LMR524331:LMR524332 LWN524331:LWN524332 MGJ524331:MGJ524332 MQF524331:MQF524332 NAB524331:NAB524332 NJX524331:NJX524332 NTT524331:NTT524332 ODP524331:ODP524332 ONL524331:ONL524332 OXH524331:OXH524332 PHD524331:PHD524332 PQZ524331:PQZ524332 QAV524331:QAV524332 QKR524331:QKR524332 QUN524331:QUN524332 REJ524331:REJ524332 ROF524331:ROF524332 RYB524331:RYB524332 SHX524331:SHX524332 SRT524331:SRT524332 TBP524331:TBP524332 TLL524331:TLL524332 TVH524331:TVH524332 UFD524331:UFD524332 UOZ524331:UOZ524332 UYV524331:UYV524332 VIR524331:VIR524332 VSN524331:VSN524332 WCJ524331:WCJ524332 WMF524331:WMF524332 WWB524331:WWB524332 AB589867:AB589868 JP589867:JP589868 TL589867:TL589868 ADH589867:ADH589868 AND589867:AND589868 AWZ589867:AWZ589868 BGV589867:BGV589868 BQR589867:BQR589868 CAN589867:CAN589868 CKJ589867:CKJ589868 CUF589867:CUF589868 DEB589867:DEB589868 DNX589867:DNX589868 DXT589867:DXT589868 EHP589867:EHP589868 ERL589867:ERL589868 FBH589867:FBH589868 FLD589867:FLD589868 FUZ589867:FUZ589868 GEV589867:GEV589868 GOR589867:GOR589868 GYN589867:GYN589868 HIJ589867:HIJ589868 HSF589867:HSF589868 ICB589867:ICB589868 ILX589867:ILX589868 IVT589867:IVT589868 JFP589867:JFP589868 JPL589867:JPL589868 JZH589867:JZH589868 KJD589867:KJD589868 KSZ589867:KSZ589868 LCV589867:LCV589868 LMR589867:LMR589868 LWN589867:LWN589868 MGJ589867:MGJ589868 MQF589867:MQF589868 NAB589867:NAB589868 NJX589867:NJX589868 NTT589867:NTT589868 ODP589867:ODP589868 ONL589867:ONL589868 OXH589867:OXH589868 PHD589867:PHD589868 PQZ589867:PQZ589868 QAV589867:QAV589868 QKR589867:QKR589868 QUN589867:QUN589868 REJ589867:REJ589868 ROF589867:ROF589868 RYB589867:RYB589868 SHX589867:SHX589868 SRT589867:SRT589868 TBP589867:TBP589868 TLL589867:TLL589868 TVH589867:TVH589868 UFD589867:UFD589868 UOZ589867:UOZ589868 UYV589867:UYV589868 VIR589867:VIR589868 VSN589867:VSN589868 WCJ589867:WCJ589868 WMF589867:WMF589868 WWB589867:WWB589868 AB655403:AB655404 JP655403:JP655404 TL655403:TL655404 ADH655403:ADH655404 AND655403:AND655404 AWZ655403:AWZ655404 BGV655403:BGV655404 BQR655403:BQR655404 CAN655403:CAN655404 CKJ655403:CKJ655404 CUF655403:CUF655404 DEB655403:DEB655404 DNX655403:DNX655404 DXT655403:DXT655404 EHP655403:EHP655404 ERL655403:ERL655404 FBH655403:FBH655404 FLD655403:FLD655404 FUZ655403:FUZ655404 GEV655403:GEV655404 GOR655403:GOR655404 GYN655403:GYN655404 HIJ655403:HIJ655404 HSF655403:HSF655404 ICB655403:ICB655404 ILX655403:ILX655404 IVT655403:IVT655404 JFP655403:JFP655404 JPL655403:JPL655404 JZH655403:JZH655404 KJD655403:KJD655404 KSZ655403:KSZ655404 LCV655403:LCV655404 LMR655403:LMR655404 LWN655403:LWN655404 MGJ655403:MGJ655404 MQF655403:MQF655404 NAB655403:NAB655404 NJX655403:NJX655404 NTT655403:NTT655404 ODP655403:ODP655404 ONL655403:ONL655404 OXH655403:OXH655404 PHD655403:PHD655404 PQZ655403:PQZ655404 QAV655403:QAV655404 QKR655403:QKR655404 QUN655403:QUN655404 REJ655403:REJ655404 ROF655403:ROF655404 RYB655403:RYB655404 SHX655403:SHX655404 SRT655403:SRT655404 TBP655403:TBP655404 TLL655403:TLL655404 TVH655403:TVH655404 UFD655403:UFD655404 UOZ655403:UOZ655404 UYV655403:UYV655404 VIR655403:VIR655404 VSN655403:VSN655404 WCJ655403:WCJ655404 WMF655403:WMF655404 WWB655403:WWB655404 AB720939:AB720940 JP720939:JP720940 TL720939:TL720940 ADH720939:ADH720940 AND720939:AND720940 AWZ720939:AWZ720940 BGV720939:BGV720940 BQR720939:BQR720940 CAN720939:CAN720940 CKJ720939:CKJ720940 CUF720939:CUF720940 DEB720939:DEB720940 DNX720939:DNX720940 DXT720939:DXT720940 EHP720939:EHP720940 ERL720939:ERL720940 FBH720939:FBH720940 FLD720939:FLD720940 FUZ720939:FUZ720940 GEV720939:GEV720940 GOR720939:GOR720940 GYN720939:GYN720940 HIJ720939:HIJ720940 HSF720939:HSF720940 ICB720939:ICB720940 ILX720939:ILX720940 IVT720939:IVT720940 JFP720939:JFP720940 JPL720939:JPL720940 JZH720939:JZH720940 KJD720939:KJD720940 KSZ720939:KSZ720940 LCV720939:LCV720940 LMR720939:LMR720940 LWN720939:LWN720940 MGJ720939:MGJ720940 MQF720939:MQF720940 NAB720939:NAB720940 NJX720939:NJX720940 NTT720939:NTT720940 ODP720939:ODP720940 ONL720939:ONL720940 OXH720939:OXH720940 PHD720939:PHD720940 PQZ720939:PQZ720940 QAV720939:QAV720940 QKR720939:QKR720940 QUN720939:QUN720940 REJ720939:REJ720940 ROF720939:ROF720940 RYB720939:RYB720940 SHX720939:SHX720940 SRT720939:SRT720940 TBP720939:TBP720940 TLL720939:TLL720940 TVH720939:TVH720940 UFD720939:UFD720940 UOZ720939:UOZ720940 UYV720939:UYV720940 VIR720939:VIR720940 VSN720939:VSN720940 WCJ720939:WCJ720940 WMF720939:WMF720940 WWB720939:WWB720940 AB786475:AB786476 JP786475:JP786476 TL786475:TL786476 ADH786475:ADH786476 AND786475:AND786476 AWZ786475:AWZ786476 BGV786475:BGV786476 BQR786475:BQR786476 CAN786475:CAN786476 CKJ786475:CKJ786476 CUF786475:CUF786476 DEB786475:DEB786476 DNX786475:DNX786476 DXT786475:DXT786476 EHP786475:EHP786476 ERL786475:ERL786476 FBH786475:FBH786476 FLD786475:FLD786476 FUZ786475:FUZ786476 GEV786475:GEV786476 GOR786475:GOR786476 GYN786475:GYN786476 HIJ786475:HIJ786476 HSF786475:HSF786476 ICB786475:ICB786476 ILX786475:ILX786476 IVT786475:IVT786476 JFP786475:JFP786476 JPL786475:JPL786476 JZH786475:JZH786476 KJD786475:KJD786476 KSZ786475:KSZ786476 LCV786475:LCV786476 LMR786475:LMR786476 LWN786475:LWN786476 MGJ786475:MGJ786476 MQF786475:MQF786476 NAB786475:NAB786476 NJX786475:NJX786476 NTT786475:NTT786476 ODP786475:ODP786476 ONL786475:ONL786476 OXH786475:OXH786476 PHD786475:PHD786476 PQZ786475:PQZ786476 QAV786475:QAV786476 QKR786475:QKR786476 QUN786475:QUN786476 REJ786475:REJ786476 ROF786475:ROF786476 RYB786475:RYB786476 SHX786475:SHX786476 SRT786475:SRT786476 TBP786475:TBP786476 TLL786475:TLL786476 TVH786475:TVH786476 UFD786475:UFD786476 UOZ786475:UOZ786476 UYV786475:UYV786476 VIR786475:VIR786476 VSN786475:VSN786476 WCJ786475:WCJ786476 WMF786475:WMF786476 WWB786475:WWB786476 AB852011:AB852012 JP852011:JP852012 TL852011:TL852012 ADH852011:ADH852012 AND852011:AND852012 AWZ852011:AWZ852012 BGV852011:BGV852012 BQR852011:BQR852012 CAN852011:CAN852012 CKJ852011:CKJ852012 CUF852011:CUF852012 DEB852011:DEB852012 DNX852011:DNX852012 DXT852011:DXT852012 EHP852011:EHP852012 ERL852011:ERL852012 FBH852011:FBH852012 FLD852011:FLD852012 FUZ852011:FUZ852012 GEV852011:GEV852012 GOR852011:GOR852012 GYN852011:GYN852012 HIJ852011:HIJ852012 HSF852011:HSF852012 ICB852011:ICB852012 ILX852011:ILX852012 IVT852011:IVT852012 JFP852011:JFP852012 JPL852011:JPL852012 JZH852011:JZH852012 KJD852011:KJD852012 KSZ852011:KSZ852012 LCV852011:LCV852012 LMR852011:LMR852012 LWN852011:LWN852012 MGJ852011:MGJ852012 MQF852011:MQF852012 NAB852011:NAB852012 NJX852011:NJX852012 NTT852011:NTT852012 ODP852011:ODP852012 ONL852011:ONL852012 OXH852011:OXH852012 PHD852011:PHD852012 PQZ852011:PQZ852012 QAV852011:QAV852012 QKR852011:QKR852012 QUN852011:QUN852012 REJ852011:REJ852012 ROF852011:ROF852012 RYB852011:RYB852012 SHX852011:SHX852012 SRT852011:SRT852012 TBP852011:TBP852012 TLL852011:TLL852012 TVH852011:TVH852012 UFD852011:UFD852012 UOZ852011:UOZ852012 UYV852011:UYV852012 VIR852011:VIR852012 VSN852011:VSN852012 WCJ852011:WCJ852012 WMF852011:WMF852012 WWB852011:WWB852012 AB917547:AB917548 JP917547:JP917548 TL917547:TL917548 ADH917547:ADH917548 AND917547:AND917548 AWZ917547:AWZ917548 BGV917547:BGV917548 BQR917547:BQR917548 CAN917547:CAN917548 CKJ917547:CKJ917548 CUF917547:CUF917548 DEB917547:DEB917548 DNX917547:DNX917548 DXT917547:DXT917548 EHP917547:EHP917548 ERL917547:ERL917548 FBH917547:FBH917548 FLD917547:FLD917548 FUZ917547:FUZ917548 GEV917547:GEV917548 GOR917547:GOR917548 GYN917547:GYN917548 HIJ917547:HIJ917548 HSF917547:HSF917548 ICB917547:ICB917548 ILX917547:ILX917548 IVT917547:IVT917548 JFP917547:JFP917548 JPL917547:JPL917548 JZH917547:JZH917548 KJD917547:KJD917548 KSZ917547:KSZ917548 LCV917547:LCV917548 LMR917547:LMR917548 LWN917547:LWN917548 MGJ917547:MGJ917548 MQF917547:MQF917548 NAB917547:NAB917548 NJX917547:NJX917548 NTT917547:NTT917548 ODP917547:ODP917548 ONL917547:ONL917548 OXH917547:OXH917548 PHD917547:PHD917548 PQZ917547:PQZ917548 QAV917547:QAV917548 QKR917547:QKR917548 QUN917547:QUN917548 REJ917547:REJ917548 ROF917547:ROF917548 RYB917547:RYB917548 SHX917547:SHX917548 SRT917547:SRT917548 TBP917547:TBP917548 TLL917547:TLL917548 TVH917547:TVH917548 UFD917547:UFD917548 UOZ917547:UOZ917548 UYV917547:UYV917548 VIR917547:VIR917548 VSN917547:VSN917548 WCJ917547:WCJ917548 WMF917547:WMF917548 WWB917547:WWB917548 AB983083:AB983084 JP983083:JP983084 TL983083:TL983084 ADH983083:ADH983084 AND983083:AND983084 AWZ983083:AWZ983084 BGV983083:BGV983084 BQR983083:BQR983084 CAN983083:CAN983084 CKJ983083:CKJ983084 CUF983083:CUF983084 DEB983083:DEB983084 DNX983083:DNX983084 DXT983083:DXT983084 EHP983083:EHP983084 ERL983083:ERL983084 FBH983083:FBH983084 FLD983083:FLD983084 FUZ983083:FUZ983084 GEV983083:GEV983084 GOR983083:GOR983084 GYN983083:GYN983084 HIJ983083:HIJ983084 HSF983083:HSF983084 ICB983083:ICB983084 ILX983083:ILX983084 IVT983083:IVT983084 JFP983083:JFP983084 JPL983083:JPL983084 JZH983083:JZH983084 KJD983083:KJD983084 KSZ983083:KSZ983084 LCV983083:LCV983084 LMR983083:LMR983084 LWN983083:LWN983084 MGJ983083:MGJ983084 MQF983083:MQF983084 NAB983083:NAB983084 NJX983083:NJX983084 NTT983083:NTT983084 ODP983083:ODP983084 ONL983083:ONL983084 OXH983083:OXH983084 PHD983083:PHD983084 PQZ983083:PQZ983084 QAV983083:QAV983084 QKR983083:QKR983084 QUN983083:QUN983084 REJ983083:REJ983084 ROF983083:ROF983084 RYB983083:RYB983084 SHX983083:SHX983084 SRT983083:SRT983084 TBP983083:TBP983084 TLL983083:TLL983084 TVH983083:TVH983084 UFD983083:UFD983084 UOZ983083:UOZ983084 UYV983083:UYV983084 VIR983083:VIR983084 VSN983083:VSN983084 WCJ983083:WCJ983084 WMF983083:WMF983084 WWB983083:WWB983084 AD65579:AD65580 JS65579:JS65580 TO65579:TO65580 ADK65579:ADK65580 ANG65579:ANG65580 AXC65579:AXC65580 BGY65579:BGY65580 BQU65579:BQU65580 CAQ65579:CAQ65580 CKM65579:CKM65580 CUI65579:CUI65580 DEE65579:DEE65580 DOA65579:DOA65580 DXW65579:DXW65580 EHS65579:EHS65580 ERO65579:ERO65580 FBK65579:FBK65580 FLG65579:FLG65580 FVC65579:FVC65580 GEY65579:GEY65580 GOU65579:GOU65580 GYQ65579:GYQ65580 HIM65579:HIM65580 HSI65579:HSI65580 ICE65579:ICE65580 IMA65579:IMA65580 IVW65579:IVW65580 JFS65579:JFS65580 JPO65579:JPO65580 JZK65579:JZK65580 KJG65579:KJG65580 KTC65579:KTC65580 LCY65579:LCY65580 LMU65579:LMU65580 LWQ65579:LWQ65580 MGM65579:MGM65580 MQI65579:MQI65580 NAE65579:NAE65580 NKA65579:NKA65580 NTW65579:NTW65580 ODS65579:ODS65580 ONO65579:ONO65580 OXK65579:OXK65580 PHG65579:PHG65580 PRC65579:PRC65580 QAY65579:QAY65580 QKU65579:QKU65580 QUQ65579:QUQ65580 REM65579:REM65580 ROI65579:ROI65580 RYE65579:RYE65580 SIA65579:SIA65580 SRW65579:SRW65580 TBS65579:TBS65580 TLO65579:TLO65580 TVK65579:TVK65580 UFG65579:UFG65580 UPC65579:UPC65580 UYY65579:UYY65580 VIU65579:VIU65580 VSQ65579:VSQ65580 WCM65579:WCM65580 WMI65579:WMI65580 WWE65579:WWE65580 AD131115:AD131116 JS131115:JS131116 TO131115:TO131116 ADK131115:ADK131116 ANG131115:ANG131116 AXC131115:AXC131116 BGY131115:BGY131116 BQU131115:BQU131116 CAQ131115:CAQ131116 CKM131115:CKM131116 CUI131115:CUI131116 DEE131115:DEE131116 DOA131115:DOA131116 DXW131115:DXW131116 EHS131115:EHS131116 ERO131115:ERO131116 FBK131115:FBK131116 FLG131115:FLG131116 FVC131115:FVC131116 GEY131115:GEY131116 GOU131115:GOU131116 GYQ131115:GYQ131116 HIM131115:HIM131116 HSI131115:HSI131116 ICE131115:ICE131116 IMA131115:IMA131116 IVW131115:IVW131116 JFS131115:JFS131116 JPO131115:JPO131116 JZK131115:JZK131116 KJG131115:KJG131116 KTC131115:KTC131116 LCY131115:LCY131116 LMU131115:LMU131116 LWQ131115:LWQ131116 MGM131115:MGM131116 MQI131115:MQI131116 NAE131115:NAE131116 NKA131115:NKA131116 NTW131115:NTW131116 ODS131115:ODS131116 ONO131115:ONO131116 OXK131115:OXK131116 PHG131115:PHG131116 PRC131115:PRC131116 QAY131115:QAY131116 QKU131115:QKU131116 QUQ131115:QUQ131116 REM131115:REM131116 ROI131115:ROI131116 RYE131115:RYE131116 SIA131115:SIA131116 SRW131115:SRW131116 TBS131115:TBS131116 TLO131115:TLO131116 TVK131115:TVK131116 UFG131115:UFG131116 UPC131115:UPC131116 UYY131115:UYY131116 VIU131115:VIU131116 VSQ131115:VSQ131116 WCM131115:WCM131116 WMI131115:WMI131116 WWE131115:WWE131116 AD196651:AD196652 JS196651:JS196652 TO196651:TO196652 ADK196651:ADK196652 ANG196651:ANG196652 AXC196651:AXC196652 BGY196651:BGY196652 BQU196651:BQU196652 CAQ196651:CAQ196652 CKM196651:CKM196652 CUI196651:CUI196652 DEE196651:DEE196652 DOA196651:DOA196652 DXW196651:DXW196652 EHS196651:EHS196652 ERO196651:ERO196652 FBK196651:FBK196652 FLG196651:FLG196652 FVC196651:FVC196652 GEY196651:GEY196652 GOU196651:GOU196652 GYQ196651:GYQ196652 HIM196651:HIM196652 HSI196651:HSI196652 ICE196651:ICE196652 IMA196651:IMA196652 IVW196651:IVW196652 JFS196651:JFS196652 JPO196651:JPO196652 JZK196651:JZK196652 KJG196651:KJG196652 KTC196651:KTC196652 LCY196651:LCY196652 LMU196651:LMU196652 LWQ196651:LWQ196652 MGM196651:MGM196652 MQI196651:MQI196652 NAE196651:NAE196652 NKA196651:NKA196652 NTW196651:NTW196652 ODS196651:ODS196652 ONO196651:ONO196652 OXK196651:OXK196652 PHG196651:PHG196652 PRC196651:PRC196652 QAY196651:QAY196652 QKU196651:QKU196652 QUQ196651:QUQ196652 REM196651:REM196652 ROI196651:ROI196652 RYE196651:RYE196652 SIA196651:SIA196652 SRW196651:SRW196652 TBS196651:TBS196652 TLO196651:TLO196652 TVK196651:TVK196652 UFG196651:UFG196652 UPC196651:UPC196652 UYY196651:UYY196652 VIU196651:VIU196652 VSQ196651:VSQ196652 WCM196651:WCM196652 WMI196651:WMI196652 WWE196651:WWE196652 AD262187:AD262188 JS262187:JS262188 TO262187:TO262188 ADK262187:ADK262188 ANG262187:ANG262188 AXC262187:AXC262188 BGY262187:BGY262188 BQU262187:BQU262188 CAQ262187:CAQ262188 CKM262187:CKM262188 CUI262187:CUI262188 DEE262187:DEE262188 DOA262187:DOA262188 DXW262187:DXW262188 EHS262187:EHS262188 ERO262187:ERO262188 FBK262187:FBK262188 FLG262187:FLG262188 FVC262187:FVC262188 GEY262187:GEY262188 GOU262187:GOU262188 GYQ262187:GYQ262188 HIM262187:HIM262188 HSI262187:HSI262188 ICE262187:ICE262188 IMA262187:IMA262188 IVW262187:IVW262188 JFS262187:JFS262188 JPO262187:JPO262188 JZK262187:JZK262188 KJG262187:KJG262188 KTC262187:KTC262188 LCY262187:LCY262188 LMU262187:LMU262188 LWQ262187:LWQ262188 MGM262187:MGM262188 MQI262187:MQI262188 NAE262187:NAE262188 NKA262187:NKA262188 NTW262187:NTW262188 ODS262187:ODS262188 ONO262187:ONO262188 OXK262187:OXK262188 PHG262187:PHG262188 PRC262187:PRC262188 QAY262187:QAY262188 QKU262187:QKU262188 QUQ262187:QUQ262188 REM262187:REM262188 ROI262187:ROI262188 RYE262187:RYE262188 SIA262187:SIA262188 SRW262187:SRW262188 TBS262187:TBS262188 TLO262187:TLO262188 TVK262187:TVK262188 UFG262187:UFG262188 UPC262187:UPC262188 UYY262187:UYY262188 VIU262187:VIU262188 VSQ262187:VSQ262188 WCM262187:WCM262188 WMI262187:WMI262188 WWE262187:WWE262188 AD327723:AD327724 JS327723:JS327724 TO327723:TO327724 ADK327723:ADK327724 ANG327723:ANG327724 AXC327723:AXC327724 BGY327723:BGY327724 BQU327723:BQU327724 CAQ327723:CAQ327724 CKM327723:CKM327724 CUI327723:CUI327724 DEE327723:DEE327724 DOA327723:DOA327724 DXW327723:DXW327724 EHS327723:EHS327724 ERO327723:ERO327724 FBK327723:FBK327724 FLG327723:FLG327724 FVC327723:FVC327724 GEY327723:GEY327724 GOU327723:GOU327724 GYQ327723:GYQ327724 HIM327723:HIM327724 HSI327723:HSI327724 ICE327723:ICE327724 IMA327723:IMA327724 IVW327723:IVW327724 JFS327723:JFS327724 JPO327723:JPO327724 JZK327723:JZK327724 KJG327723:KJG327724 KTC327723:KTC327724 LCY327723:LCY327724 LMU327723:LMU327724 LWQ327723:LWQ327724 MGM327723:MGM327724 MQI327723:MQI327724 NAE327723:NAE327724 NKA327723:NKA327724 NTW327723:NTW327724 ODS327723:ODS327724 ONO327723:ONO327724 OXK327723:OXK327724 PHG327723:PHG327724 PRC327723:PRC327724 QAY327723:QAY327724 QKU327723:QKU327724 QUQ327723:QUQ327724 REM327723:REM327724 ROI327723:ROI327724 RYE327723:RYE327724 SIA327723:SIA327724 SRW327723:SRW327724 TBS327723:TBS327724 TLO327723:TLO327724 TVK327723:TVK327724 UFG327723:UFG327724 UPC327723:UPC327724 UYY327723:UYY327724 VIU327723:VIU327724 VSQ327723:VSQ327724 WCM327723:WCM327724 WMI327723:WMI327724 WWE327723:WWE327724 AD393259:AD393260 JS393259:JS393260 TO393259:TO393260 ADK393259:ADK393260 ANG393259:ANG393260 AXC393259:AXC393260 BGY393259:BGY393260 BQU393259:BQU393260 CAQ393259:CAQ393260 CKM393259:CKM393260 CUI393259:CUI393260 DEE393259:DEE393260 DOA393259:DOA393260 DXW393259:DXW393260 EHS393259:EHS393260 ERO393259:ERO393260 FBK393259:FBK393260 FLG393259:FLG393260 FVC393259:FVC393260 GEY393259:GEY393260 GOU393259:GOU393260 GYQ393259:GYQ393260 HIM393259:HIM393260 HSI393259:HSI393260 ICE393259:ICE393260 IMA393259:IMA393260 IVW393259:IVW393260 JFS393259:JFS393260 JPO393259:JPO393260 JZK393259:JZK393260 KJG393259:KJG393260 KTC393259:KTC393260 LCY393259:LCY393260 LMU393259:LMU393260 LWQ393259:LWQ393260 MGM393259:MGM393260 MQI393259:MQI393260 NAE393259:NAE393260 NKA393259:NKA393260 NTW393259:NTW393260 ODS393259:ODS393260 ONO393259:ONO393260 OXK393259:OXK393260 PHG393259:PHG393260 PRC393259:PRC393260 QAY393259:QAY393260 QKU393259:QKU393260 QUQ393259:QUQ393260 REM393259:REM393260 ROI393259:ROI393260 RYE393259:RYE393260 SIA393259:SIA393260 SRW393259:SRW393260 TBS393259:TBS393260 TLO393259:TLO393260 TVK393259:TVK393260 UFG393259:UFG393260 UPC393259:UPC393260 UYY393259:UYY393260 VIU393259:VIU393260 VSQ393259:VSQ393260 WCM393259:WCM393260 WMI393259:WMI393260 WWE393259:WWE393260 AD458795:AD458796 JS458795:JS458796 TO458795:TO458796 ADK458795:ADK458796 ANG458795:ANG458796 AXC458795:AXC458796 BGY458795:BGY458796 BQU458795:BQU458796 CAQ458795:CAQ458796 CKM458795:CKM458796 CUI458795:CUI458796 DEE458795:DEE458796 DOA458795:DOA458796 DXW458795:DXW458796 EHS458795:EHS458796 ERO458795:ERO458796 FBK458795:FBK458796 FLG458795:FLG458796 FVC458795:FVC458796 GEY458795:GEY458796 GOU458795:GOU458796 GYQ458795:GYQ458796 HIM458795:HIM458796 HSI458795:HSI458796 ICE458795:ICE458796 IMA458795:IMA458796 IVW458795:IVW458796 JFS458795:JFS458796 JPO458795:JPO458796 JZK458795:JZK458796 KJG458795:KJG458796 KTC458795:KTC458796 LCY458795:LCY458796 LMU458795:LMU458796 LWQ458795:LWQ458796 MGM458795:MGM458796 MQI458795:MQI458796 NAE458795:NAE458796 NKA458795:NKA458796 NTW458795:NTW458796 ODS458795:ODS458796 ONO458795:ONO458796 OXK458795:OXK458796 PHG458795:PHG458796 PRC458795:PRC458796 QAY458795:QAY458796 QKU458795:QKU458796 QUQ458795:QUQ458796 REM458795:REM458796 ROI458795:ROI458796 RYE458795:RYE458796 SIA458795:SIA458796 SRW458795:SRW458796 TBS458795:TBS458796 TLO458795:TLO458796 TVK458795:TVK458796 UFG458795:UFG458796 UPC458795:UPC458796 UYY458795:UYY458796 VIU458795:VIU458796 VSQ458795:VSQ458796 WCM458795:WCM458796 WMI458795:WMI458796 WWE458795:WWE458796 AD524331:AD524332 JS524331:JS524332 TO524331:TO524332 ADK524331:ADK524332 ANG524331:ANG524332 AXC524331:AXC524332 BGY524331:BGY524332 BQU524331:BQU524332 CAQ524331:CAQ524332 CKM524331:CKM524332 CUI524331:CUI524332 DEE524331:DEE524332 DOA524331:DOA524332 DXW524331:DXW524332 EHS524331:EHS524332 ERO524331:ERO524332 FBK524331:FBK524332 FLG524331:FLG524332 FVC524331:FVC524332 GEY524331:GEY524332 GOU524331:GOU524332 GYQ524331:GYQ524332 HIM524331:HIM524332 HSI524331:HSI524332 ICE524331:ICE524332 IMA524331:IMA524332 IVW524331:IVW524332 JFS524331:JFS524332 JPO524331:JPO524332 JZK524331:JZK524332 KJG524331:KJG524332 KTC524331:KTC524332 LCY524331:LCY524332 LMU524331:LMU524332 LWQ524331:LWQ524332 MGM524331:MGM524332 MQI524331:MQI524332 NAE524331:NAE524332 NKA524331:NKA524332 NTW524331:NTW524332 ODS524331:ODS524332 ONO524331:ONO524332 OXK524331:OXK524332 PHG524331:PHG524332 PRC524331:PRC524332 QAY524331:QAY524332 QKU524331:QKU524332 QUQ524331:QUQ524332 REM524331:REM524332 ROI524331:ROI524332 RYE524331:RYE524332 SIA524331:SIA524332 SRW524331:SRW524332 TBS524331:TBS524332 TLO524331:TLO524332 TVK524331:TVK524332 UFG524331:UFG524332 UPC524331:UPC524332 UYY524331:UYY524332 VIU524331:VIU524332 VSQ524331:VSQ524332 WCM524331:WCM524332 WMI524331:WMI524332 WWE524331:WWE524332 AD589867:AD589868 JS589867:JS589868 TO589867:TO589868 ADK589867:ADK589868 ANG589867:ANG589868 AXC589867:AXC589868 BGY589867:BGY589868 BQU589867:BQU589868 CAQ589867:CAQ589868 CKM589867:CKM589868 CUI589867:CUI589868 DEE589867:DEE589868 DOA589867:DOA589868 DXW589867:DXW589868 EHS589867:EHS589868 ERO589867:ERO589868 FBK589867:FBK589868 FLG589867:FLG589868 FVC589867:FVC589868 GEY589867:GEY589868 GOU589867:GOU589868 GYQ589867:GYQ589868 HIM589867:HIM589868 HSI589867:HSI589868 ICE589867:ICE589868 IMA589867:IMA589868 IVW589867:IVW589868 JFS589867:JFS589868 JPO589867:JPO589868 JZK589867:JZK589868 KJG589867:KJG589868 KTC589867:KTC589868 LCY589867:LCY589868 LMU589867:LMU589868 LWQ589867:LWQ589868 MGM589867:MGM589868 MQI589867:MQI589868 NAE589867:NAE589868 NKA589867:NKA589868 NTW589867:NTW589868 ODS589867:ODS589868 ONO589867:ONO589868 OXK589867:OXK589868 PHG589867:PHG589868 PRC589867:PRC589868 QAY589867:QAY589868 QKU589867:QKU589868 QUQ589867:QUQ589868 REM589867:REM589868 ROI589867:ROI589868 RYE589867:RYE589868 SIA589867:SIA589868 SRW589867:SRW589868 TBS589867:TBS589868 TLO589867:TLO589868 TVK589867:TVK589868 UFG589867:UFG589868 UPC589867:UPC589868 UYY589867:UYY589868 VIU589867:VIU589868 VSQ589867:VSQ589868 WCM589867:WCM589868 WMI589867:WMI589868 WWE589867:WWE589868 AD655403:AD655404 JS655403:JS655404 TO655403:TO655404 ADK655403:ADK655404 ANG655403:ANG655404 AXC655403:AXC655404 BGY655403:BGY655404 BQU655403:BQU655404 CAQ655403:CAQ655404 CKM655403:CKM655404 CUI655403:CUI655404 DEE655403:DEE655404 DOA655403:DOA655404 DXW655403:DXW655404 EHS655403:EHS655404 ERO655403:ERO655404 FBK655403:FBK655404 FLG655403:FLG655404 FVC655403:FVC655404 GEY655403:GEY655404 GOU655403:GOU655404 GYQ655403:GYQ655404 HIM655403:HIM655404 HSI655403:HSI655404 ICE655403:ICE655404 IMA655403:IMA655404 IVW655403:IVW655404 JFS655403:JFS655404 JPO655403:JPO655404 JZK655403:JZK655404 KJG655403:KJG655404 KTC655403:KTC655404 LCY655403:LCY655404 LMU655403:LMU655404 LWQ655403:LWQ655404 MGM655403:MGM655404 MQI655403:MQI655404 NAE655403:NAE655404 NKA655403:NKA655404 NTW655403:NTW655404 ODS655403:ODS655404 ONO655403:ONO655404 OXK655403:OXK655404 PHG655403:PHG655404 PRC655403:PRC655404 QAY655403:QAY655404 QKU655403:QKU655404 QUQ655403:QUQ655404 REM655403:REM655404 ROI655403:ROI655404 RYE655403:RYE655404 SIA655403:SIA655404 SRW655403:SRW655404 TBS655403:TBS655404 TLO655403:TLO655404 TVK655403:TVK655404 UFG655403:UFG655404 UPC655403:UPC655404 UYY655403:UYY655404 VIU655403:VIU655404 VSQ655403:VSQ655404 WCM655403:WCM655404 WMI655403:WMI655404 WWE655403:WWE655404 AD720939:AD720940 JS720939:JS720940 TO720939:TO720940 ADK720939:ADK720940 ANG720939:ANG720940 AXC720939:AXC720940 BGY720939:BGY720940 BQU720939:BQU720940 CAQ720939:CAQ720940 CKM720939:CKM720940 CUI720939:CUI720940 DEE720939:DEE720940 DOA720939:DOA720940 DXW720939:DXW720940 EHS720939:EHS720940 ERO720939:ERO720940 FBK720939:FBK720940 FLG720939:FLG720940 FVC720939:FVC720940 GEY720939:GEY720940 GOU720939:GOU720940 GYQ720939:GYQ720940 HIM720939:HIM720940 HSI720939:HSI720940 ICE720939:ICE720940 IMA720939:IMA720940 IVW720939:IVW720940 JFS720939:JFS720940 JPO720939:JPO720940 JZK720939:JZK720940 KJG720939:KJG720940 KTC720939:KTC720940 LCY720939:LCY720940 LMU720939:LMU720940 LWQ720939:LWQ720940 MGM720939:MGM720940 MQI720939:MQI720940 NAE720939:NAE720940 NKA720939:NKA720940 NTW720939:NTW720940 ODS720939:ODS720940 ONO720939:ONO720940 OXK720939:OXK720940 PHG720939:PHG720940 PRC720939:PRC720940 QAY720939:QAY720940 QKU720939:QKU720940 QUQ720939:QUQ720940 REM720939:REM720940 ROI720939:ROI720940 RYE720939:RYE720940 SIA720939:SIA720940 SRW720939:SRW720940 TBS720939:TBS720940 TLO720939:TLO720940 TVK720939:TVK720940 UFG720939:UFG720940 UPC720939:UPC720940 UYY720939:UYY720940 VIU720939:VIU720940 VSQ720939:VSQ720940 WCM720939:WCM720940 WMI720939:WMI720940 WWE720939:WWE720940 AD786475:AD786476 JS786475:JS786476 TO786475:TO786476 ADK786475:ADK786476 ANG786475:ANG786476 AXC786475:AXC786476 BGY786475:BGY786476 BQU786475:BQU786476 CAQ786475:CAQ786476 CKM786475:CKM786476 CUI786475:CUI786476 DEE786475:DEE786476 DOA786475:DOA786476 DXW786475:DXW786476 EHS786475:EHS786476 ERO786475:ERO786476 FBK786475:FBK786476 FLG786475:FLG786476 FVC786475:FVC786476 GEY786475:GEY786476 GOU786475:GOU786476 GYQ786475:GYQ786476 HIM786475:HIM786476 HSI786475:HSI786476 ICE786475:ICE786476 IMA786475:IMA786476 IVW786475:IVW786476 JFS786475:JFS786476 JPO786475:JPO786476 JZK786475:JZK786476 KJG786475:KJG786476 KTC786475:KTC786476 LCY786475:LCY786476 LMU786475:LMU786476 LWQ786475:LWQ786476 MGM786475:MGM786476 MQI786475:MQI786476 NAE786475:NAE786476 NKA786475:NKA786476 NTW786475:NTW786476 ODS786475:ODS786476 ONO786475:ONO786476 OXK786475:OXK786476 PHG786475:PHG786476 PRC786475:PRC786476 QAY786475:QAY786476 QKU786475:QKU786476 QUQ786475:QUQ786476 REM786475:REM786476 ROI786475:ROI786476 RYE786475:RYE786476 SIA786475:SIA786476 SRW786475:SRW786476 TBS786475:TBS786476 TLO786475:TLO786476 TVK786475:TVK786476 UFG786475:UFG786476 UPC786475:UPC786476 UYY786475:UYY786476 VIU786475:VIU786476 VSQ786475:VSQ786476 WCM786475:WCM786476 WMI786475:WMI786476 WWE786475:WWE786476 AD852011:AD852012 JS852011:JS852012 TO852011:TO852012 ADK852011:ADK852012 ANG852011:ANG852012 AXC852011:AXC852012 BGY852011:BGY852012 BQU852011:BQU852012 CAQ852011:CAQ852012 CKM852011:CKM852012 CUI852011:CUI852012 DEE852011:DEE852012 DOA852011:DOA852012 DXW852011:DXW852012 EHS852011:EHS852012 ERO852011:ERO852012 FBK852011:FBK852012 FLG852011:FLG852012 FVC852011:FVC852012 GEY852011:GEY852012 GOU852011:GOU852012 GYQ852011:GYQ852012 HIM852011:HIM852012 HSI852011:HSI852012 ICE852011:ICE852012 IMA852011:IMA852012 IVW852011:IVW852012 JFS852011:JFS852012 JPO852011:JPO852012 JZK852011:JZK852012 KJG852011:KJG852012 KTC852011:KTC852012 LCY852011:LCY852012 LMU852011:LMU852012 LWQ852011:LWQ852012 MGM852011:MGM852012 MQI852011:MQI852012 NAE852011:NAE852012 NKA852011:NKA852012 NTW852011:NTW852012 ODS852011:ODS852012 ONO852011:ONO852012 OXK852011:OXK852012 PHG852011:PHG852012 PRC852011:PRC852012 QAY852011:QAY852012 QKU852011:QKU852012 QUQ852011:QUQ852012 REM852011:REM852012 ROI852011:ROI852012 RYE852011:RYE852012 SIA852011:SIA852012 SRW852011:SRW852012 TBS852011:TBS852012 TLO852011:TLO852012 TVK852011:TVK852012 UFG852011:UFG852012 UPC852011:UPC852012 UYY852011:UYY852012 VIU852011:VIU852012 VSQ852011:VSQ852012 WCM852011:WCM852012 WMI852011:WMI852012 WWE852011:WWE852012 AD917547:AD917548 JS917547:JS917548 TO917547:TO917548 ADK917547:ADK917548 ANG917547:ANG917548 AXC917547:AXC917548 BGY917547:BGY917548 BQU917547:BQU917548 CAQ917547:CAQ917548 CKM917547:CKM917548 CUI917547:CUI917548 DEE917547:DEE917548 DOA917547:DOA917548 DXW917547:DXW917548 EHS917547:EHS917548 ERO917547:ERO917548 FBK917547:FBK917548 FLG917547:FLG917548 FVC917547:FVC917548 GEY917547:GEY917548 GOU917547:GOU917548 GYQ917547:GYQ917548 HIM917547:HIM917548 HSI917547:HSI917548 ICE917547:ICE917548 IMA917547:IMA917548 IVW917547:IVW917548 JFS917547:JFS917548 JPO917547:JPO917548 JZK917547:JZK917548 KJG917547:KJG917548 KTC917547:KTC917548 LCY917547:LCY917548 LMU917547:LMU917548 LWQ917547:LWQ917548 MGM917547:MGM917548 MQI917547:MQI917548 NAE917547:NAE917548 NKA917547:NKA917548 NTW917547:NTW917548 ODS917547:ODS917548 ONO917547:ONO917548 OXK917547:OXK917548 PHG917547:PHG917548 PRC917547:PRC917548 QAY917547:QAY917548 QKU917547:QKU917548 QUQ917547:QUQ917548 REM917547:REM917548 ROI917547:ROI917548 RYE917547:RYE917548 SIA917547:SIA917548 SRW917547:SRW917548 TBS917547:TBS917548 TLO917547:TLO917548 TVK917547:TVK917548 UFG917547:UFG917548 UPC917547:UPC917548 UYY917547:UYY917548 VIU917547:VIU917548 VSQ917547:VSQ917548 WCM917547:WCM917548 WMI917547:WMI917548 WWE917547:WWE917548 AD983083:AD983084 JS983083:JS983084 TO983083:TO983084 ADK983083:ADK983084 ANG983083:ANG983084 AXC983083:AXC983084 BGY983083:BGY983084 BQU983083:BQU983084 CAQ983083:CAQ983084 CKM983083:CKM983084 CUI983083:CUI983084 DEE983083:DEE983084 DOA983083:DOA983084 DXW983083:DXW983084 EHS983083:EHS983084 ERO983083:ERO983084 FBK983083:FBK983084 FLG983083:FLG983084 FVC983083:FVC983084 GEY983083:GEY983084 GOU983083:GOU983084 GYQ983083:GYQ983084 HIM983083:HIM983084 HSI983083:HSI983084 ICE983083:ICE983084 IMA983083:IMA983084 IVW983083:IVW983084 JFS983083:JFS983084 JPO983083:JPO983084 JZK983083:JZK983084 KJG983083:KJG983084 KTC983083:KTC983084 LCY983083:LCY983084 LMU983083:LMU983084 LWQ983083:LWQ983084 MGM983083:MGM983084 MQI983083:MQI983084 NAE983083:NAE983084 NKA983083:NKA983084 NTW983083:NTW983084 ODS983083:ODS983084 ONO983083:ONO983084 OXK983083:OXK983084 PHG983083:PHG983084 PRC983083:PRC983084 QAY983083:QAY983084 QKU983083:QKU983084 QUQ983083:QUQ983084 REM983083:REM983084 ROI983083:ROI983084 RYE983083:RYE983084 SIA983083:SIA983084 SRW983083:SRW983084 TBS983083:TBS983084 TLO983083:TLO983084 TVK983083:TVK983084 UFG983083:UFG983084 UPC983083:UPC983084 UYY983083:UYY983084 VIU983083:VIU983084 VSQ983083:VSQ983084 WCM983083:WCM983084 WMI983083:WMI983084 WWE983083:WWE983084 JV65579:JV65580 TR65579:TR65580 ADN65579:ADN65580 ANJ65579:ANJ65580 AXF65579:AXF65580 BHB65579:BHB65580 BQX65579:BQX65580 CAT65579:CAT65580 CKP65579:CKP65580 CUL65579:CUL65580 DEH65579:DEH65580 DOD65579:DOD65580 DXZ65579:DXZ65580 EHV65579:EHV65580 ERR65579:ERR65580 FBN65579:FBN65580 FLJ65579:FLJ65580 FVF65579:FVF65580 GFB65579:GFB65580 GOX65579:GOX65580 GYT65579:GYT65580 HIP65579:HIP65580 HSL65579:HSL65580 ICH65579:ICH65580 IMD65579:IMD65580 IVZ65579:IVZ65580 JFV65579:JFV65580 JPR65579:JPR65580 JZN65579:JZN65580 KJJ65579:KJJ65580 KTF65579:KTF65580 LDB65579:LDB65580 LMX65579:LMX65580 LWT65579:LWT65580 MGP65579:MGP65580 MQL65579:MQL65580 NAH65579:NAH65580 NKD65579:NKD65580 NTZ65579:NTZ65580 ODV65579:ODV65580 ONR65579:ONR65580 OXN65579:OXN65580 PHJ65579:PHJ65580 PRF65579:PRF65580 QBB65579:QBB65580 QKX65579:QKX65580 QUT65579:QUT65580 REP65579:REP65580 ROL65579:ROL65580 RYH65579:RYH65580 SID65579:SID65580 SRZ65579:SRZ65580 TBV65579:TBV65580 TLR65579:TLR65580 TVN65579:TVN65580 UFJ65579:UFJ65580 UPF65579:UPF65580 UZB65579:UZB65580 VIX65579:VIX65580 VST65579:VST65580 WCP65579:WCP65580 WML65579:WML65580 WWH65579:WWH65580 JV131115:JV131116 TR131115:TR131116 ADN131115:ADN131116 ANJ131115:ANJ131116 AXF131115:AXF131116 BHB131115:BHB131116 BQX131115:BQX131116 CAT131115:CAT131116 CKP131115:CKP131116 CUL131115:CUL131116 DEH131115:DEH131116 DOD131115:DOD131116 DXZ131115:DXZ131116 EHV131115:EHV131116 ERR131115:ERR131116 FBN131115:FBN131116 FLJ131115:FLJ131116 FVF131115:FVF131116 GFB131115:GFB131116 GOX131115:GOX131116 GYT131115:GYT131116 HIP131115:HIP131116 HSL131115:HSL131116 ICH131115:ICH131116 IMD131115:IMD131116 IVZ131115:IVZ131116 JFV131115:JFV131116 JPR131115:JPR131116 JZN131115:JZN131116 KJJ131115:KJJ131116 KTF131115:KTF131116 LDB131115:LDB131116 LMX131115:LMX131116 LWT131115:LWT131116 MGP131115:MGP131116 MQL131115:MQL131116 NAH131115:NAH131116 NKD131115:NKD131116 NTZ131115:NTZ131116 ODV131115:ODV131116 ONR131115:ONR131116 OXN131115:OXN131116 PHJ131115:PHJ131116 PRF131115:PRF131116 QBB131115:QBB131116 QKX131115:QKX131116 QUT131115:QUT131116 REP131115:REP131116 ROL131115:ROL131116 RYH131115:RYH131116 SID131115:SID131116 SRZ131115:SRZ131116 TBV131115:TBV131116 TLR131115:TLR131116 TVN131115:TVN131116 UFJ131115:UFJ131116 UPF131115:UPF131116 UZB131115:UZB131116 VIX131115:VIX131116 VST131115:VST131116 WCP131115:WCP131116 WML131115:WML131116 WWH131115:WWH131116 JV196651:JV196652 TR196651:TR196652 ADN196651:ADN196652 ANJ196651:ANJ196652 AXF196651:AXF196652 BHB196651:BHB196652 BQX196651:BQX196652 CAT196651:CAT196652 CKP196651:CKP196652 CUL196651:CUL196652 DEH196651:DEH196652 DOD196651:DOD196652 DXZ196651:DXZ196652 EHV196651:EHV196652 ERR196651:ERR196652 FBN196651:FBN196652 FLJ196651:FLJ196652 FVF196651:FVF196652 GFB196651:GFB196652 GOX196651:GOX196652 GYT196651:GYT196652 HIP196651:HIP196652 HSL196651:HSL196652 ICH196651:ICH196652 IMD196651:IMD196652 IVZ196651:IVZ196652 JFV196651:JFV196652 JPR196651:JPR196652 JZN196651:JZN196652 KJJ196651:KJJ196652 KTF196651:KTF196652 LDB196651:LDB196652 LMX196651:LMX196652 LWT196651:LWT196652 MGP196651:MGP196652 MQL196651:MQL196652 NAH196651:NAH196652 NKD196651:NKD196652 NTZ196651:NTZ196652 ODV196651:ODV196652 ONR196651:ONR196652 OXN196651:OXN196652 PHJ196651:PHJ196652 PRF196651:PRF196652 QBB196651:QBB196652 QKX196651:QKX196652 QUT196651:QUT196652 REP196651:REP196652 ROL196651:ROL196652 RYH196651:RYH196652 SID196651:SID196652 SRZ196651:SRZ196652 TBV196651:TBV196652 TLR196651:TLR196652 TVN196651:TVN196652 UFJ196651:UFJ196652 UPF196651:UPF196652 UZB196651:UZB196652 VIX196651:VIX196652 VST196651:VST196652 WCP196651:WCP196652 WML196651:WML196652 WWH196651:WWH196652 JV262187:JV262188 TR262187:TR262188 ADN262187:ADN262188 ANJ262187:ANJ262188 AXF262187:AXF262188 BHB262187:BHB262188 BQX262187:BQX262188 CAT262187:CAT262188 CKP262187:CKP262188 CUL262187:CUL262188 DEH262187:DEH262188 DOD262187:DOD262188 DXZ262187:DXZ262188 EHV262187:EHV262188 ERR262187:ERR262188 FBN262187:FBN262188 FLJ262187:FLJ262188 FVF262187:FVF262188 GFB262187:GFB262188 GOX262187:GOX262188 GYT262187:GYT262188 HIP262187:HIP262188 HSL262187:HSL262188 ICH262187:ICH262188 IMD262187:IMD262188 IVZ262187:IVZ262188 JFV262187:JFV262188 JPR262187:JPR262188 JZN262187:JZN262188 KJJ262187:KJJ262188 KTF262187:KTF262188 LDB262187:LDB262188 LMX262187:LMX262188 LWT262187:LWT262188 MGP262187:MGP262188 MQL262187:MQL262188 NAH262187:NAH262188 NKD262187:NKD262188 NTZ262187:NTZ262188 ODV262187:ODV262188 ONR262187:ONR262188 OXN262187:OXN262188 PHJ262187:PHJ262188 PRF262187:PRF262188 QBB262187:QBB262188 QKX262187:QKX262188 QUT262187:QUT262188 REP262187:REP262188 ROL262187:ROL262188 RYH262187:RYH262188 SID262187:SID262188 SRZ262187:SRZ262188 TBV262187:TBV262188 TLR262187:TLR262188 TVN262187:TVN262188 UFJ262187:UFJ262188 UPF262187:UPF262188 UZB262187:UZB262188 VIX262187:VIX262188 VST262187:VST262188 WCP262187:WCP262188 WML262187:WML262188 WWH262187:WWH262188 JV327723:JV327724 TR327723:TR327724 ADN327723:ADN327724 ANJ327723:ANJ327724 AXF327723:AXF327724 BHB327723:BHB327724 BQX327723:BQX327724 CAT327723:CAT327724 CKP327723:CKP327724 CUL327723:CUL327724 DEH327723:DEH327724 DOD327723:DOD327724 DXZ327723:DXZ327724 EHV327723:EHV327724 ERR327723:ERR327724 FBN327723:FBN327724 FLJ327723:FLJ327724 FVF327723:FVF327724 GFB327723:GFB327724 GOX327723:GOX327724 GYT327723:GYT327724 HIP327723:HIP327724 HSL327723:HSL327724 ICH327723:ICH327724 IMD327723:IMD327724 IVZ327723:IVZ327724 JFV327723:JFV327724 JPR327723:JPR327724 JZN327723:JZN327724 KJJ327723:KJJ327724 KTF327723:KTF327724 LDB327723:LDB327724 LMX327723:LMX327724 LWT327723:LWT327724 MGP327723:MGP327724 MQL327723:MQL327724 NAH327723:NAH327724 NKD327723:NKD327724 NTZ327723:NTZ327724 ODV327723:ODV327724 ONR327723:ONR327724 OXN327723:OXN327724 PHJ327723:PHJ327724 PRF327723:PRF327724 QBB327723:QBB327724 QKX327723:QKX327724 QUT327723:QUT327724 REP327723:REP327724 ROL327723:ROL327724 RYH327723:RYH327724 SID327723:SID327724 SRZ327723:SRZ327724 TBV327723:TBV327724 TLR327723:TLR327724 TVN327723:TVN327724 UFJ327723:UFJ327724 UPF327723:UPF327724 UZB327723:UZB327724 VIX327723:VIX327724 VST327723:VST327724 WCP327723:WCP327724 WML327723:WML327724 WWH327723:WWH327724 JV393259:JV393260 TR393259:TR393260 ADN393259:ADN393260 ANJ393259:ANJ393260 AXF393259:AXF393260 BHB393259:BHB393260 BQX393259:BQX393260 CAT393259:CAT393260 CKP393259:CKP393260 CUL393259:CUL393260 DEH393259:DEH393260 DOD393259:DOD393260 DXZ393259:DXZ393260 EHV393259:EHV393260 ERR393259:ERR393260 FBN393259:FBN393260 FLJ393259:FLJ393260 FVF393259:FVF393260 GFB393259:GFB393260 GOX393259:GOX393260 GYT393259:GYT393260 HIP393259:HIP393260 HSL393259:HSL393260 ICH393259:ICH393260 IMD393259:IMD393260 IVZ393259:IVZ393260 JFV393259:JFV393260 JPR393259:JPR393260 JZN393259:JZN393260 KJJ393259:KJJ393260 KTF393259:KTF393260 LDB393259:LDB393260 LMX393259:LMX393260 LWT393259:LWT393260 MGP393259:MGP393260 MQL393259:MQL393260 NAH393259:NAH393260 NKD393259:NKD393260 NTZ393259:NTZ393260 ODV393259:ODV393260 ONR393259:ONR393260 OXN393259:OXN393260 PHJ393259:PHJ393260 PRF393259:PRF393260 QBB393259:QBB393260 QKX393259:QKX393260 QUT393259:QUT393260 REP393259:REP393260 ROL393259:ROL393260 RYH393259:RYH393260 SID393259:SID393260 SRZ393259:SRZ393260 TBV393259:TBV393260 TLR393259:TLR393260 TVN393259:TVN393260 UFJ393259:UFJ393260 UPF393259:UPF393260 UZB393259:UZB393260 VIX393259:VIX393260 VST393259:VST393260 WCP393259:WCP393260 WML393259:WML393260 WWH393259:WWH393260 JV458795:JV458796 TR458795:TR458796 ADN458795:ADN458796 ANJ458795:ANJ458796 AXF458795:AXF458796 BHB458795:BHB458796 BQX458795:BQX458796 CAT458795:CAT458796 CKP458795:CKP458796 CUL458795:CUL458796 DEH458795:DEH458796 DOD458795:DOD458796 DXZ458795:DXZ458796 EHV458795:EHV458796 ERR458795:ERR458796 FBN458795:FBN458796 FLJ458795:FLJ458796 FVF458795:FVF458796 GFB458795:GFB458796 GOX458795:GOX458796 GYT458795:GYT458796 HIP458795:HIP458796 HSL458795:HSL458796 ICH458795:ICH458796 IMD458795:IMD458796 IVZ458795:IVZ458796 JFV458795:JFV458796 JPR458795:JPR458796 JZN458795:JZN458796 KJJ458795:KJJ458796 KTF458795:KTF458796 LDB458795:LDB458796 LMX458795:LMX458796 LWT458795:LWT458796 MGP458795:MGP458796 MQL458795:MQL458796 NAH458795:NAH458796 NKD458795:NKD458796 NTZ458795:NTZ458796 ODV458795:ODV458796 ONR458795:ONR458796 OXN458795:OXN458796 PHJ458795:PHJ458796 PRF458795:PRF458796 QBB458795:QBB458796 QKX458795:QKX458796 QUT458795:QUT458796 REP458795:REP458796 ROL458795:ROL458796 RYH458795:RYH458796 SID458795:SID458796 SRZ458795:SRZ458796 TBV458795:TBV458796 TLR458795:TLR458796 TVN458795:TVN458796 UFJ458795:UFJ458796 UPF458795:UPF458796 UZB458795:UZB458796 VIX458795:VIX458796 VST458795:VST458796 WCP458795:WCP458796 WML458795:WML458796 WWH458795:WWH458796 JV524331:JV524332 TR524331:TR524332 ADN524331:ADN524332 ANJ524331:ANJ524332 AXF524331:AXF524332 BHB524331:BHB524332 BQX524331:BQX524332 CAT524331:CAT524332 CKP524331:CKP524332 CUL524331:CUL524332 DEH524331:DEH524332 DOD524331:DOD524332 DXZ524331:DXZ524332 EHV524331:EHV524332 ERR524331:ERR524332 FBN524331:FBN524332 FLJ524331:FLJ524332 FVF524331:FVF524332 GFB524331:GFB524332 GOX524331:GOX524332 GYT524331:GYT524332 HIP524331:HIP524332 HSL524331:HSL524332 ICH524331:ICH524332 IMD524331:IMD524332 IVZ524331:IVZ524332 JFV524331:JFV524332 JPR524331:JPR524332 JZN524331:JZN524332 KJJ524331:KJJ524332 KTF524331:KTF524332 LDB524331:LDB524332 LMX524331:LMX524332 LWT524331:LWT524332 MGP524331:MGP524332 MQL524331:MQL524332 NAH524331:NAH524332 NKD524331:NKD524332 NTZ524331:NTZ524332 ODV524331:ODV524332 ONR524331:ONR524332 OXN524331:OXN524332 PHJ524331:PHJ524332 PRF524331:PRF524332 QBB524331:QBB524332 QKX524331:QKX524332 QUT524331:QUT524332 REP524331:REP524332 ROL524331:ROL524332 RYH524331:RYH524332 SID524331:SID524332 SRZ524331:SRZ524332 TBV524331:TBV524332 TLR524331:TLR524332 TVN524331:TVN524332 UFJ524331:UFJ524332 UPF524331:UPF524332 UZB524331:UZB524332 VIX524331:VIX524332 VST524331:VST524332 WCP524331:WCP524332 WML524331:WML524332 WWH524331:WWH524332 JV589867:JV589868 TR589867:TR589868 ADN589867:ADN589868 ANJ589867:ANJ589868 AXF589867:AXF589868 BHB589867:BHB589868 BQX589867:BQX589868 CAT589867:CAT589868 CKP589867:CKP589868 CUL589867:CUL589868 DEH589867:DEH589868 DOD589867:DOD589868 DXZ589867:DXZ589868 EHV589867:EHV589868 ERR589867:ERR589868 FBN589867:FBN589868 FLJ589867:FLJ589868 FVF589867:FVF589868 GFB589867:GFB589868 GOX589867:GOX589868 GYT589867:GYT589868 HIP589867:HIP589868 HSL589867:HSL589868 ICH589867:ICH589868 IMD589867:IMD589868 IVZ589867:IVZ589868 JFV589867:JFV589868 JPR589867:JPR589868 JZN589867:JZN589868 KJJ589867:KJJ589868 KTF589867:KTF589868 LDB589867:LDB589868 LMX589867:LMX589868 LWT589867:LWT589868 MGP589867:MGP589868 MQL589867:MQL589868 NAH589867:NAH589868 NKD589867:NKD589868 NTZ589867:NTZ589868 ODV589867:ODV589868 ONR589867:ONR589868 OXN589867:OXN589868 PHJ589867:PHJ589868 PRF589867:PRF589868 QBB589867:QBB589868 QKX589867:QKX589868 QUT589867:QUT589868 REP589867:REP589868 ROL589867:ROL589868 RYH589867:RYH589868 SID589867:SID589868 SRZ589867:SRZ589868 TBV589867:TBV589868 TLR589867:TLR589868 TVN589867:TVN589868 UFJ589867:UFJ589868 UPF589867:UPF589868 UZB589867:UZB589868 VIX589867:VIX589868 VST589867:VST589868 WCP589867:WCP589868 WML589867:WML589868 WWH589867:WWH589868 JV655403:JV655404 TR655403:TR655404 ADN655403:ADN655404 ANJ655403:ANJ655404 AXF655403:AXF655404 BHB655403:BHB655404 BQX655403:BQX655404 CAT655403:CAT655404 CKP655403:CKP655404 CUL655403:CUL655404 DEH655403:DEH655404 DOD655403:DOD655404 DXZ655403:DXZ655404 EHV655403:EHV655404 ERR655403:ERR655404 FBN655403:FBN655404 FLJ655403:FLJ655404 FVF655403:FVF655404 GFB655403:GFB655404 GOX655403:GOX655404 GYT655403:GYT655404 HIP655403:HIP655404 HSL655403:HSL655404 ICH655403:ICH655404 IMD655403:IMD655404 IVZ655403:IVZ655404 JFV655403:JFV655404 JPR655403:JPR655404 JZN655403:JZN655404 KJJ655403:KJJ655404 KTF655403:KTF655404 LDB655403:LDB655404 LMX655403:LMX655404 LWT655403:LWT655404 MGP655403:MGP655404 MQL655403:MQL655404 NAH655403:NAH655404 NKD655403:NKD655404 NTZ655403:NTZ655404 ODV655403:ODV655404 ONR655403:ONR655404 OXN655403:OXN655404 PHJ655403:PHJ655404 PRF655403:PRF655404 QBB655403:QBB655404 QKX655403:QKX655404 QUT655403:QUT655404 REP655403:REP655404 ROL655403:ROL655404 RYH655403:RYH655404 SID655403:SID655404 SRZ655403:SRZ655404 TBV655403:TBV655404 TLR655403:TLR655404 TVN655403:TVN655404 UFJ655403:UFJ655404 UPF655403:UPF655404 UZB655403:UZB655404 VIX655403:VIX655404 VST655403:VST655404 WCP655403:WCP655404 WML655403:WML655404 WWH655403:WWH655404 JV720939:JV720940 TR720939:TR720940 ADN720939:ADN720940 ANJ720939:ANJ720940 AXF720939:AXF720940 BHB720939:BHB720940 BQX720939:BQX720940 CAT720939:CAT720940 CKP720939:CKP720940 CUL720939:CUL720940 DEH720939:DEH720940 DOD720939:DOD720940 DXZ720939:DXZ720940 EHV720939:EHV720940 ERR720939:ERR720940 FBN720939:FBN720940 FLJ720939:FLJ720940 FVF720939:FVF720940 GFB720939:GFB720940 GOX720939:GOX720940 GYT720939:GYT720940 HIP720939:HIP720940 HSL720939:HSL720940 ICH720939:ICH720940 IMD720939:IMD720940 IVZ720939:IVZ720940 JFV720939:JFV720940 JPR720939:JPR720940 JZN720939:JZN720940 KJJ720939:KJJ720940 KTF720939:KTF720940 LDB720939:LDB720940 LMX720939:LMX720940 LWT720939:LWT720940 MGP720939:MGP720940 MQL720939:MQL720940 NAH720939:NAH720940 NKD720939:NKD720940 NTZ720939:NTZ720940 ODV720939:ODV720940 ONR720939:ONR720940 OXN720939:OXN720940 PHJ720939:PHJ720940 PRF720939:PRF720940 QBB720939:QBB720940 QKX720939:QKX720940 QUT720939:QUT720940 REP720939:REP720940 ROL720939:ROL720940 RYH720939:RYH720940 SID720939:SID720940 SRZ720939:SRZ720940 TBV720939:TBV720940 TLR720939:TLR720940 TVN720939:TVN720940 UFJ720939:UFJ720940 UPF720939:UPF720940 UZB720939:UZB720940 VIX720939:VIX720940 VST720939:VST720940 WCP720939:WCP720940 WML720939:WML720940 WWH720939:WWH720940 JV786475:JV786476 TR786475:TR786476 ADN786475:ADN786476 ANJ786475:ANJ786476 AXF786475:AXF786476 BHB786475:BHB786476 BQX786475:BQX786476 CAT786475:CAT786476 CKP786475:CKP786476 CUL786475:CUL786476 DEH786475:DEH786476 DOD786475:DOD786476 DXZ786475:DXZ786476 EHV786475:EHV786476 ERR786475:ERR786476 FBN786475:FBN786476 FLJ786475:FLJ786476 FVF786475:FVF786476 GFB786475:GFB786476 GOX786475:GOX786476 GYT786475:GYT786476 HIP786475:HIP786476 HSL786475:HSL786476 ICH786475:ICH786476 IMD786475:IMD786476 IVZ786475:IVZ786476 JFV786475:JFV786476 JPR786475:JPR786476 JZN786475:JZN786476 KJJ786475:KJJ786476 KTF786475:KTF786476 LDB786475:LDB786476 LMX786475:LMX786476 LWT786475:LWT786476 MGP786475:MGP786476 MQL786475:MQL786476 NAH786475:NAH786476 NKD786475:NKD786476 NTZ786475:NTZ786476 ODV786475:ODV786476 ONR786475:ONR786476 OXN786475:OXN786476 PHJ786475:PHJ786476 PRF786475:PRF786476 QBB786475:QBB786476 QKX786475:QKX786476 QUT786475:QUT786476 REP786475:REP786476 ROL786475:ROL786476 RYH786475:RYH786476 SID786475:SID786476 SRZ786475:SRZ786476 TBV786475:TBV786476 TLR786475:TLR786476 TVN786475:TVN786476 UFJ786475:UFJ786476 UPF786475:UPF786476 UZB786475:UZB786476 VIX786475:VIX786476 VST786475:VST786476 WCP786475:WCP786476 WML786475:WML786476 WWH786475:WWH786476 JV852011:JV852012 TR852011:TR852012 ADN852011:ADN852012 ANJ852011:ANJ852012 AXF852011:AXF852012 BHB852011:BHB852012 BQX852011:BQX852012 CAT852011:CAT852012 CKP852011:CKP852012 CUL852011:CUL852012 DEH852011:DEH852012 DOD852011:DOD852012 DXZ852011:DXZ852012 EHV852011:EHV852012 ERR852011:ERR852012 FBN852011:FBN852012 FLJ852011:FLJ852012 FVF852011:FVF852012 GFB852011:GFB852012 GOX852011:GOX852012 GYT852011:GYT852012 HIP852011:HIP852012 HSL852011:HSL852012 ICH852011:ICH852012 IMD852011:IMD852012 IVZ852011:IVZ852012 JFV852011:JFV852012 JPR852011:JPR852012 JZN852011:JZN852012 KJJ852011:KJJ852012 KTF852011:KTF852012 LDB852011:LDB852012 LMX852011:LMX852012 LWT852011:LWT852012 MGP852011:MGP852012 MQL852011:MQL852012 NAH852011:NAH852012 NKD852011:NKD852012 NTZ852011:NTZ852012 ODV852011:ODV852012 ONR852011:ONR852012 OXN852011:OXN852012 PHJ852011:PHJ852012 PRF852011:PRF852012 QBB852011:QBB852012 QKX852011:QKX852012 QUT852011:QUT852012 REP852011:REP852012 ROL852011:ROL852012 RYH852011:RYH852012 SID852011:SID852012 SRZ852011:SRZ852012 TBV852011:TBV852012 TLR852011:TLR852012 TVN852011:TVN852012 UFJ852011:UFJ852012 UPF852011:UPF852012 UZB852011:UZB852012 VIX852011:VIX852012 VST852011:VST852012 WCP852011:WCP852012 WML852011:WML852012 WWH852011:WWH852012 JV917547:JV917548 TR917547:TR917548 ADN917547:ADN917548 ANJ917547:ANJ917548 AXF917547:AXF917548 BHB917547:BHB917548 BQX917547:BQX917548 CAT917547:CAT917548 CKP917547:CKP917548 CUL917547:CUL917548 DEH917547:DEH917548 DOD917547:DOD917548 DXZ917547:DXZ917548 EHV917547:EHV917548 ERR917547:ERR917548 FBN917547:FBN917548 FLJ917547:FLJ917548 FVF917547:FVF917548 GFB917547:GFB917548 GOX917547:GOX917548 GYT917547:GYT917548 HIP917547:HIP917548 HSL917547:HSL917548 ICH917547:ICH917548 IMD917547:IMD917548 IVZ917547:IVZ917548 JFV917547:JFV917548 JPR917547:JPR917548 JZN917547:JZN917548 KJJ917547:KJJ917548 KTF917547:KTF917548 LDB917547:LDB917548 LMX917547:LMX917548 LWT917547:LWT917548 MGP917547:MGP917548 MQL917547:MQL917548 NAH917547:NAH917548 NKD917547:NKD917548 NTZ917547:NTZ917548 ODV917547:ODV917548 ONR917547:ONR917548 OXN917547:OXN917548 PHJ917547:PHJ917548 PRF917547:PRF917548 QBB917547:QBB917548 QKX917547:QKX917548 QUT917547:QUT917548 REP917547:REP917548 ROL917547:ROL917548 RYH917547:RYH917548 SID917547:SID917548 SRZ917547:SRZ917548 TBV917547:TBV917548 TLR917547:TLR917548 TVN917547:TVN917548 UFJ917547:UFJ917548 UPF917547:UPF917548 UZB917547:UZB917548 VIX917547:VIX917548 VST917547:VST917548 WCP917547:WCP917548 WML917547:WML917548 WWH917547:WWH917548 JV983083:JV983084 TR983083:TR983084 ADN983083:ADN983084 ANJ983083:ANJ983084 AXF983083:AXF983084 BHB983083:BHB983084 BQX983083:BQX983084 CAT983083:CAT983084 CKP983083:CKP983084 CUL983083:CUL983084 DEH983083:DEH983084 DOD983083:DOD983084 DXZ983083:DXZ983084 EHV983083:EHV983084 ERR983083:ERR983084 FBN983083:FBN983084 FLJ983083:FLJ983084 FVF983083:FVF983084 GFB983083:GFB983084 GOX983083:GOX983084 GYT983083:GYT983084 HIP983083:HIP983084 HSL983083:HSL983084 ICH983083:ICH983084 IMD983083:IMD983084 IVZ983083:IVZ983084 JFV983083:JFV983084 JPR983083:JPR983084 JZN983083:JZN983084 KJJ983083:KJJ983084 KTF983083:KTF983084 LDB983083:LDB983084 LMX983083:LMX983084 LWT983083:LWT983084 MGP983083:MGP983084 MQL983083:MQL983084 NAH983083:NAH983084 NKD983083:NKD983084 NTZ983083:NTZ983084 ODV983083:ODV983084 ONR983083:ONR983084 OXN983083:OXN983084 PHJ983083:PHJ983084 PRF983083:PRF983084 QBB983083:QBB983084 QKX983083:QKX983084 QUT983083:QUT983084 REP983083:REP983084 ROL983083:ROL983084 RYH983083:RYH983084 SID983083:SID983084 SRZ983083:SRZ983084 TBV983083:TBV983084 TLR983083:TLR983084 TVN983083:TVN983084 UFJ983083:UFJ983084 UPF983083:UPF983084 UZB983083:UZB983084 VIX983083:VIX983084 VST983083:VST983084 WCP983083:WCP983084 WML983083:WML983084 WWH983083:WWH983084 IL5:IL12 SH5:SH12 ACD5:ACD12 ALZ5:ALZ12 AVV5:AVV12 BFR5:BFR12 BPN5:BPN12 BZJ5:BZJ12 CJF5:CJF12 CTB5:CTB12 DCX5:DCX12 DMT5:DMT12 DWP5:DWP12 EGL5:EGL12 EQH5:EQH12 FAD5:FAD12 FJZ5:FJZ12 FTV5:FTV12 GDR5:GDR12 GNN5:GNN12 GXJ5:GXJ12 HHF5:HHF12 HRB5:HRB12 IAX5:IAX12 IKT5:IKT12 IUP5:IUP12 JEL5:JEL12 JOH5:JOH12 JYD5:JYD12 KHZ5:KHZ12 KRV5:KRV12 LBR5:LBR12 LLN5:LLN12 LVJ5:LVJ12 MFF5:MFF12 MPB5:MPB12 MYX5:MYX12 NIT5:NIT12 NSP5:NSP12 OCL5:OCL12 OMH5:OMH12 OWD5:OWD12 PFZ5:PFZ12 PPV5:PPV12 PZR5:PZR12 QJN5:QJN12 QTJ5:QTJ12 RDF5:RDF12 RNB5:RNB12 RWX5:RWX12 SGT5:SGT12 SQP5:SQP12 TAL5:TAL12 TKH5:TKH12 TUD5:TUD12 UDZ5:UDZ12 UNV5:UNV12 UXR5:UXR12 VHN5:VHN12 VRJ5:VRJ12 WBF5:WBF12 WLB5:WLB12 WUX5:WUX12 TBS5:TBS12 IO5:IO12 SK5:SK12 ACG5:ACG12 AMC5:AMC12 AVY5:AVY12 BFU5:BFU12 BPQ5:BPQ12 BZM5:BZM12 CJI5:CJI12 CTE5:CTE12 DDA5:DDA12 DMW5:DMW12 DWS5:DWS12 EGO5:EGO12 EQK5:EQK12 FAG5:FAG12 FKC5:FKC12 FTY5:FTY12 GDU5:GDU12 GNQ5:GNQ12 GXM5:GXM12 HHI5:HHI12 HRE5:HRE12 IBA5:IBA12 IKW5:IKW12 IUS5:IUS12 JEO5:JEO12 JOK5:JOK12 JYG5:JYG12 KIC5:KIC12 KRY5:KRY12 LBU5:LBU12 LLQ5:LLQ12 LVM5:LVM12 MFI5:MFI12 MPE5:MPE12 MZA5:MZA12 NIW5:NIW12 NSS5:NSS12 OCO5:OCO12 OMK5:OMK12 OWG5:OWG12 PGC5:PGC12 PPY5:PPY12 PZU5:PZU12 QJQ5:QJQ12 QTM5:QTM12 RDI5:RDI12 RNE5:RNE12 RXA5:RXA12 SGW5:SGW12 SQS5:SQS12 TAO5:TAO12 TKK5:TKK12 TUG5:TUG12 UEC5:UEC12 UNY5:UNY12 UXU5:UXU12 VHQ5:VHQ12 VRM5:VRM12 WBI5:WBI12 WLE5:WLE12 WVA5:WVA12 TLO5:TLO12 IR5:IR12 SN5:SN12 ACJ5:ACJ12 AMF5:AMF12 AWB5:AWB12 BFX5:BFX12 BPT5:BPT12 BZP5:BZP12 CJL5:CJL12 CTH5:CTH12 DDD5:DDD12 DMZ5:DMZ12 DWV5:DWV12 EGR5:EGR12 EQN5:EQN12 FAJ5:FAJ12 FKF5:FKF12 FUB5:FUB12 GDX5:GDX12 GNT5:GNT12 GXP5:GXP12 HHL5:HHL12 HRH5:HRH12 IBD5:IBD12 IKZ5:IKZ12 IUV5:IUV12 JER5:JER12 JON5:JON12 JYJ5:JYJ12 KIF5:KIF12 KSB5:KSB12 LBX5:LBX12 LLT5:LLT12 LVP5:LVP12 MFL5:MFL12 MPH5:MPH12 MZD5:MZD12 NIZ5:NIZ12 NSV5:NSV12 OCR5:OCR12 OMN5:OMN12 OWJ5:OWJ12 PGF5:PGF12 PQB5:PQB12 PZX5:PZX12 QJT5:QJT12 QTP5:QTP12 RDL5:RDL12 RNH5:RNH12 RXD5:RXD12 SGZ5:SGZ12 SQV5:SQV12 TAR5:TAR12 TKN5:TKN12 TUJ5:TUJ12 UEF5:UEF12 UOB5:UOB12 UXX5:UXX12 VHT5:VHT12 VRP5:VRP12 WBL5:WBL12 WLH5:WLH12 WVD5:WVD12 TVK5:TVK12 IU5:IU12 SQ5:SQ12 ACM5:ACM12 AMI5:AMI12 AWE5:AWE12 BGA5:BGA12 BPW5:BPW12 BZS5:BZS12 CJO5:CJO12 CTK5:CTK12 DDG5:DDG12 DNC5:DNC12 DWY5:DWY12 EGU5:EGU12 EQQ5:EQQ12 FAM5:FAM12 FKI5:FKI12 FUE5:FUE12 GEA5:GEA12 GNW5:GNW12 GXS5:GXS12 HHO5:HHO12 HRK5:HRK12 IBG5:IBG12 ILC5:ILC12 IUY5:IUY12 JEU5:JEU12 JOQ5:JOQ12 JYM5:JYM12 KII5:KII12 KSE5:KSE12 LCA5:LCA12 LLW5:LLW12 LVS5:LVS12 MFO5:MFO12 MPK5:MPK12 MZG5:MZG12 NJC5:NJC12 NSY5:NSY12 OCU5:OCU12 OMQ5:OMQ12 OWM5:OWM12 PGI5:PGI12 PQE5:PQE12 QAA5:QAA12 QJW5:QJW12 QTS5:QTS12 RDO5:RDO12 RNK5:RNK12 RXG5:RXG12 SHC5:SHC12 SQY5:SQY12 TAU5:TAU12 TKQ5:TKQ12 TUM5:TUM12 UEI5:UEI12 UOE5:UOE12 UYA5:UYA12 VHW5:VHW12 VRS5:VRS12 WBO5:WBO12 WLK5:WLK12 WVG5:WVG12 UFG5:UFG12 IX5:IX12 ST5:ST12 ACP5:ACP12 AML5:AML12 AWH5:AWH12 BGD5:BGD12 BPZ5:BPZ12 BZV5:BZV12 CJR5:CJR12 CTN5:CTN12 DDJ5:DDJ12 DNF5:DNF12 DXB5:DXB12 EGX5:EGX12 EQT5:EQT12 FAP5:FAP12 FKL5:FKL12 FUH5:FUH12 GED5:GED12 GNZ5:GNZ12 GXV5:GXV12 HHR5:HHR12 HRN5:HRN12 IBJ5:IBJ12 ILF5:ILF12 IVB5:IVB12 JEX5:JEX12 JOT5:JOT12 JYP5:JYP12 KIL5:KIL12 KSH5:KSH12 LCD5:LCD12 LLZ5:LLZ12 LVV5:LVV12 MFR5:MFR12 MPN5:MPN12 MZJ5:MZJ12 NJF5:NJF12 NTB5:NTB12 OCX5:OCX12 OMT5:OMT12 OWP5:OWP12 PGL5:PGL12 PQH5:PQH12 QAD5:QAD12 QJZ5:QJZ12 QTV5:QTV12 RDR5:RDR12 RNN5:RNN12 RXJ5:RXJ12 SHF5:SHF12 SRB5:SRB12 TAX5:TAX12 TKT5:TKT12 TUP5:TUP12 UEL5:UEL12 UOH5:UOH12 UYD5:UYD12 VHZ5:VHZ12 VRV5:VRV12 WBR5:WBR12 WLN5:WLN12 WVJ5:WVJ12 UPC5:UPC12 JA5:JA12 SW5:SW12 ACS5:ACS12 AMO5:AMO12 AWK5:AWK12 BGG5:BGG12 BQC5:BQC12 BZY5:BZY12 CJU5:CJU12 CTQ5:CTQ12 DDM5:DDM12 DNI5:DNI12 DXE5:DXE12 EHA5:EHA12 EQW5:EQW12 FAS5:FAS12 FKO5:FKO12 FUK5:FUK12 GEG5:GEG12 GOC5:GOC12 GXY5:GXY12 HHU5:HHU12 HRQ5:HRQ12 IBM5:IBM12 ILI5:ILI12 IVE5:IVE12 JFA5:JFA12 JOW5:JOW12 JYS5:JYS12 KIO5:KIO12 KSK5:KSK12 LCG5:LCG12 LMC5:LMC12 LVY5:LVY12 MFU5:MFU12 MPQ5:MPQ12 MZM5:MZM12 NJI5:NJI12 NTE5:NTE12 ODA5:ODA12 OMW5:OMW12 OWS5:OWS12 PGO5:PGO12 PQK5:PQK12 QAG5:QAG12 QKC5:QKC12 QTY5:QTY12 RDU5:RDU12 RNQ5:RNQ12 RXM5:RXM12 SHI5:SHI12 SRE5:SRE12 TBA5:TBA12 TKW5:TKW12 TUS5:TUS12 UEO5:UEO12 UOK5:UOK12 UYG5:UYG12 VIC5:VIC12 VRY5:VRY12 WBU5:WBU12 WLQ5:WLQ12 WVM5:WVM12 UYY5:UYY12 JD5:JD12 SZ5:SZ12 ACV5:ACV12 AMR5:AMR12 AWN5:AWN12 BGJ5:BGJ12 BQF5:BQF12 CAB5:CAB12 CJX5:CJX12 CTT5:CTT12 DDP5:DDP12 DNL5:DNL12 DXH5:DXH12 EHD5:EHD12 EQZ5:EQZ12 FAV5:FAV12 FKR5:FKR12 FUN5:FUN12 GEJ5:GEJ12 GOF5:GOF12 GYB5:GYB12 HHX5:HHX12 HRT5:HRT12 IBP5:IBP12 ILL5:ILL12 IVH5:IVH12 JFD5:JFD12 JOZ5:JOZ12 JYV5:JYV12 KIR5:KIR12 KSN5:KSN12 LCJ5:LCJ12 LMF5:LMF12 LWB5:LWB12 MFX5:MFX12 MPT5:MPT12 MZP5:MZP12 NJL5:NJL12 NTH5:NTH12 ODD5:ODD12 OMZ5:OMZ12 OWV5:OWV12 PGR5:PGR12 PQN5:PQN12 QAJ5:QAJ12 QKF5:QKF12 QUB5:QUB12 RDX5:RDX12 RNT5:RNT12 RXP5:RXP12 SHL5:SHL12 SRH5:SRH12 TBD5:TBD12 TKZ5:TKZ12 TUV5:TUV12 UER5:UER12 UON5:UON12 UYJ5:UYJ12 VIF5:VIF12 VSB5:VSB12 WBX5:WBX12 WLT5:WLT12 WVP5:WVP12 VIU5:VIU12 JG5:JG12 TC5:TC12 ACY5:ACY12 AMU5:AMU12 AWQ5:AWQ12 BGM5:BGM12 BQI5:BQI12 CAE5:CAE12 CKA5:CKA12 CTW5:CTW12 DDS5:DDS12 DNO5:DNO12 DXK5:DXK12 EHG5:EHG12 ERC5:ERC12 FAY5:FAY12 FKU5:FKU12 FUQ5:FUQ12 GEM5:GEM12 GOI5:GOI12 GYE5:GYE12 HIA5:HIA12 HRW5:HRW12 IBS5:IBS12 ILO5:ILO12 IVK5:IVK12 JFG5:JFG12 JPC5:JPC12 JYY5:JYY12 KIU5:KIU12 KSQ5:KSQ12 LCM5:LCM12 LMI5:LMI12 LWE5:LWE12 MGA5:MGA12 MPW5:MPW12 MZS5:MZS12 NJO5:NJO12 NTK5:NTK12 ODG5:ODG12 ONC5:ONC12 OWY5:OWY12 PGU5:PGU12 PQQ5:PQQ12 QAM5:QAM12 QKI5:QKI12 QUE5:QUE12 REA5:REA12 RNW5:RNW12 RXS5:RXS12 SHO5:SHO12 SRK5:SRK12 TBG5:TBG12 TLC5:TLC12 TUY5:TUY12 UEU5:UEU12 UOQ5:UOQ12 UYM5:UYM12 VII5:VII12 VSE5:VSE12 WCA5:WCA12 WLW5:WLW12 WVS5:WVS12 VSQ5:VSQ12 JJ5:JJ12 TF5:TF12 ADB5:ADB12 AMX5:AMX12 AWT5:AWT12 BGP5:BGP12 BQL5:BQL12 CAH5:CAH12 CKD5:CKD12 CTZ5:CTZ12 DDV5:DDV12 DNR5:DNR12 DXN5:DXN12 EHJ5:EHJ12 ERF5:ERF12 FBB5:FBB12 FKX5:FKX12 FUT5:FUT12 GEP5:GEP12 GOL5:GOL12 GYH5:GYH12 HID5:HID12 HRZ5:HRZ12 IBV5:IBV12 ILR5:ILR12 IVN5:IVN12 JFJ5:JFJ12 JPF5:JPF12 JZB5:JZB12 KIX5:KIX12 KST5:KST12 LCP5:LCP12 LML5:LML12 LWH5:LWH12 MGD5:MGD12 MPZ5:MPZ12 MZV5:MZV12 NJR5:NJR12 NTN5:NTN12 ODJ5:ODJ12 ONF5:ONF12 OXB5:OXB12 PGX5:PGX12 PQT5:PQT12 QAP5:QAP12 QKL5:QKL12 QUH5:QUH12 RED5:RED12 RNZ5:RNZ12 RXV5:RXV12 SHR5:SHR12 SRN5:SRN12 TBJ5:TBJ12 TLF5:TLF12 TVB5:TVB12 UEX5:UEX12 UOT5:UOT12 UYP5:UYP12 VIL5:VIL12 VSH5:VSH12 WCD5:WCD12 WLZ5:WLZ12 WVV5:WVV12 WCM5:WCM12 JM5:JM12 TI5:TI12 ADE5:ADE12 ANA5:ANA12 AWW5:AWW12 BGS5:BGS12 BQO5:BQO12 CAK5:CAK12 CKG5:CKG12 CUC5:CUC12 DDY5:DDY12 DNU5:DNU12 DXQ5:DXQ12 EHM5:EHM12 ERI5:ERI12 FBE5:FBE12 FLA5:FLA12 FUW5:FUW12 GES5:GES12 GOO5:GOO12 GYK5:GYK12 HIG5:HIG12 HSC5:HSC12 IBY5:IBY12 ILU5:ILU12 IVQ5:IVQ12 JFM5:JFM12 JPI5:JPI12 JZE5:JZE12 KJA5:KJA12 KSW5:KSW12 LCS5:LCS12 LMO5:LMO12 LWK5:LWK12 MGG5:MGG12 MQC5:MQC12 MZY5:MZY12 NJU5:NJU12 NTQ5:NTQ12 ODM5:ODM12 ONI5:ONI12 OXE5:OXE12 PHA5:PHA12 PQW5:PQW12 QAS5:QAS12 QKO5:QKO12 QUK5:QUK12 REG5:REG12 ROC5:ROC12 RXY5:RXY12 SHU5:SHU12 SRQ5:SRQ12 TBM5:TBM12 TLI5:TLI12 TVE5:TVE12 UFA5:UFA12 UOW5:UOW12 UYS5:UYS12 VIO5:VIO12 VSK5:VSK12 WCG5:WCG12 WMC5:WMC12 WVY5:WVY12 WMI5:WMI12 JP5:JP12 TL5:TL12 ADH5:ADH12 AND5:AND12 AWZ5:AWZ12 BGV5:BGV12 BQR5:BQR12 CAN5:CAN12 CKJ5:CKJ12 CUF5:CUF12 DEB5:DEB12 DNX5:DNX12 DXT5:DXT12 EHP5:EHP12 ERL5:ERL12 FBH5:FBH12 FLD5:FLD12 FUZ5:FUZ12 GEV5:GEV12 GOR5:GOR12 GYN5:GYN12 HIJ5:HIJ12 HSF5:HSF12 ICB5:ICB12 ILX5:ILX12 IVT5:IVT12 JFP5:JFP12 JPL5:JPL12 JZH5:JZH12 KJD5:KJD12 KSZ5:KSZ12 LCV5:LCV12 LMR5:LMR12 LWN5:LWN12 MGJ5:MGJ12 MQF5:MQF12 NAB5:NAB12 NJX5:NJX12 NTT5:NTT12 ODP5:ODP12 ONL5:ONL12 OXH5:OXH12 PHD5:PHD12 PQZ5:PQZ12 QAV5:QAV12 QKR5:QKR12 QUN5:QUN12 REJ5:REJ12 ROF5:ROF12 RYB5:RYB12 SHX5:SHX12 SRT5:SRT12 TBP5:TBP12 TLL5:TLL12 TVH5:TVH12 UFD5:UFD12 UOZ5:UOZ12 UYV5:UYV12 VIR5:VIR12 VSN5:VSN12 WCJ5:WCJ12 WMF5:WMF12 WWB5:WWB12 WWE5:WWE12 JS5:JS12 TO5:TO12 ADK5:ADK12 ANG5:ANG12 AXC5:AXC12 BGY5:BGY12 BQU5:BQU12 CAQ5:CAQ12 CKM5:CKM12 CUI5:CUI12 DEE5:DEE12 DOA5:DOA12 DXW5:DXW12 EHS5:EHS12 ERO5:ERO12 FBK5:FBK12 FLG5:FLG12 FVC5:FVC12 GEY5:GEY12 GOU5:GOU12 GYQ5:GYQ12 HIM5:HIM12 HSI5:HSI12 ICE5:ICE12 IMA5:IMA12 IVW5:IVW12 JFS5:JFS12 JPO5:JPO12 JZK5:JZK12 KJG5:KJG12 KTC5:KTC12 LCY5:LCY12 LMU5:LMU12 LWQ5:LWQ12 MGM5:MGM12 MQI5:MQI12 NAE5:NAE12 NKA5:NKA12 NTW5:NTW12 ODS5:ODS12 ONO5:ONO12 OXK5:OXK12 PHG5:PHG12 PRC5:PRC12 QAY5:QAY12 QKU5:QKU12 QUQ5:QUQ12 REM5:REM12 ROI5:ROI12 RYE5:RYE12 SIA5:SIA12 SRW5:SRW12</xm:sqref>
        </x14:dataValidation>
      </x14:dataValidations>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6"/>
  <dimension ref="A1:AA22"/>
  <sheetViews>
    <sheetView tabSelected="1" topLeftCell="A4" workbookViewId="0">
      <selection activeCell="C13" sqref="C13"/>
    </sheetView>
  </sheetViews>
  <sheetFormatPr defaultRowHeight="15"/>
  <cols>
    <col min="1" max="1" width="17.5703125" customWidth="1"/>
    <col min="4" max="4" width="8.85546875" customWidth="1"/>
    <col min="5" max="5" width="17" customWidth="1"/>
    <col min="6" max="6" width="18.140625" customWidth="1"/>
    <col min="7" max="7" width="9.42578125" customWidth="1"/>
    <col min="10" max="10" width="15.28515625" customWidth="1"/>
    <col min="11" max="11" width="20.28515625" customWidth="1"/>
    <col min="15" max="15" width="14.5703125" customWidth="1"/>
    <col min="16" max="16" width="19" customWidth="1"/>
    <col min="20" max="20" width="15.7109375" customWidth="1"/>
    <col min="21" max="21" width="19" customWidth="1"/>
    <col min="25" max="25" width="15.42578125" customWidth="1"/>
    <col min="26" max="26" width="17.5703125" customWidth="1"/>
  </cols>
  <sheetData>
    <row r="1" spans="1:27" ht="15.75" thickBot="1">
      <c r="A1" s="890" t="s">
        <v>937</v>
      </c>
      <c r="B1" s="890"/>
      <c r="C1" s="890"/>
      <c r="D1" s="890"/>
      <c r="E1" s="890"/>
      <c r="F1" s="890"/>
      <c r="G1" s="890"/>
      <c r="H1" s="890"/>
      <c r="I1" s="890"/>
      <c r="J1" s="890"/>
      <c r="K1" s="890"/>
      <c r="L1" s="890"/>
      <c r="M1" s="890"/>
      <c r="N1" s="890"/>
      <c r="O1" s="890"/>
      <c r="P1" s="890"/>
      <c r="Q1" s="890"/>
      <c r="R1" s="890"/>
      <c r="S1" s="890"/>
      <c r="T1" s="890"/>
      <c r="U1" s="890"/>
      <c r="V1" s="890"/>
      <c r="W1" s="890"/>
      <c r="X1" s="890"/>
      <c r="Y1" s="890"/>
      <c r="Z1" s="890"/>
    </row>
    <row r="2" spans="1:27" ht="22.5" customHeight="1">
      <c r="A2" s="96" t="s">
        <v>152</v>
      </c>
      <c r="B2" s="899" t="s">
        <v>1116</v>
      </c>
      <c r="C2" s="900"/>
      <c r="D2" s="900"/>
      <c r="E2" s="900"/>
      <c r="F2" s="901"/>
      <c r="G2" s="899" t="s">
        <v>1116</v>
      </c>
      <c r="H2" s="900"/>
      <c r="I2" s="900"/>
      <c r="J2" s="900"/>
      <c r="K2" s="901"/>
      <c r="L2" s="899" t="s">
        <v>1116</v>
      </c>
      <c r="M2" s="900"/>
      <c r="N2" s="900"/>
      <c r="O2" s="900"/>
      <c r="P2" s="901"/>
      <c r="Q2" s="899" t="s">
        <v>153</v>
      </c>
      <c r="R2" s="900"/>
      <c r="S2" s="900"/>
      <c r="T2" s="900"/>
      <c r="U2" s="901"/>
      <c r="V2" s="922" t="s">
        <v>153</v>
      </c>
      <c r="W2" s="922"/>
      <c r="X2" s="922"/>
      <c r="Y2" s="922"/>
      <c r="Z2" s="923"/>
      <c r="AA2" s="41"/>
    </row>
    <row r="3" spans="1:27">
      <c r="A3" s="97" t="s">
        <v>146</v>
      </c>
      <c r="B3" s="902" t="s">
        <v>1230</v>
      </c>
      <c r="C3" s="903"/>
      <c r="D3" s="903"/>
      <c r="E3" s="903"/>
      <c r="F3" s="904"/>
      <c r="G3" s="902" t="s">
        <v>944</v>
      </c>
      <c r="H3" s="903"/>
      <c r="I3" s="903"/>
      <c r="J3" s="903"/>
      <c r="K3" s="904"/>
      <c r="L3" s="902" t="s">
        <v>945</v>
      </c>
      <c r="M3" s="903"/>
      <c r="N3" s="903"/>
      <c r="O3" s="903"/>
      <c r="P3" s="904"/>
      <c r="Q3" s="902"/>
      <c r="R3" s="903"/>
      <c r="S3" s="903"/>
      <c r="T3" s="903"/>
      <c r="U3" s="904"/>
      <c r="V3" s="924"/>
      <c r="W3" s="924"/>
      <c r="X3" s="924"/>
      <c r="Y3" s="924"/>
      <c r="Z3" s="925"/>
    </row>
    <row r="4" spans="1:27">
      <c r="A4" s="97" t="s">
        <v>147</v>
      </c>
      <c r="B4" s="902"/>
      <c r="C4" s="903"/>
      <c r="D4" s="903"/>
      <c r="E4" s="903"/>
      <c r="F4" s="904"/>
      <c r="G4" s="902"/>
      <c r="H4" s="903"/>
      <c r="I4" s="903"/>
      <c r="J4" s="903"/>
      <c r="K4" s="904"/>
      <c r="L4" s="902"/>
      <c r="M4" s="903"/>
      <c r="N4" s="903"/>
      <c r="O4" s="903"/>
      <c r="P4" s="904"/>
      <c r="Q4" s="902"/>
      <c r="R4" s="903"/>
      <c r="S4" s="903"/>
      <c r="T4" s="903"/>
      <c r="U4" s="904"/>
      <c r="V4" s="924"/>
      <c r="W4" s="924"/>
      <c r="X4" s="924"/>
      <c r="Y4" s="924"/>
      <c r="Z4" s="925"/>
    </row>
    <row r="5" spans="1:27" s="40" customFormat="1" ht="42.75" customHeight="1">
      <c r="A5" s="894" t="s">
        <v>144</v>
      </c>
      <c r="B5" s="891" t="s">
        <v>150</v>
      </c>
      <c r="C5" s="892"/>
      <c r="D5" s="893"/>
      <c r="E5" s="98" t="s">
        <v>89</v>
      </c>
      <c r="F5" s="98" t="s">
        <v>154</v>
      </c>
      <c r="G5" s="891" t="s">
        <v>150</v>
      </c>
      <c r="H5" s="892"/>
      <c r="I5" s="893"/>
      <c r="J5" s="99" t="s">
        <v>89</v>
      </c>
      <c r="K5" s="98" t="str">
        <f>IF(G2="Additional Current Account","No of Business Credits","No of Transactions (Debit+Credit)")</f>
        <v>No of Transactions (Debit+Credit)</v>
      </c>
      <c r="L5" s="891" t="s">
        <v>150</v>
      </c>
      <c r="M5" s="892"/>
      <c r="N5" s="893"/>
      <c r="O5" s="99" t="s">
        <v>89</v>
      </c>
      <c r="P5" s="98" t="str">
        <f>IF(L2="Additional Current Account","No of Business Credits","No of Transactions (Debit+Credit)")</f>
        <v>No of Transactions (Debit+Credit)</v>
      </c>
      <c r="Q5" s="891" t="s">
        <v>150</v>
      </c>
      <c r="R5" s="892"/>
      <c r="S5" s="893"/>
      <c r="T5" s="99" t="s">
        <v>89</v>
      </c>
      <c r="U5" s="98" t="str">
        <f>IF(Q2="Additional Current Account","No of Business Credits","No of Transactions (Debit+Credit)")</f>
        <v>No of Transactions (Debit+Credit)</v>
      </c>
      <c r="V5" s="891" t="s">
        <v>150</v>
      </c>
      <c r="W5" s="892"/>
      <c r="X5" s="893"/>
      <c r="Y5" s="99" t="s">
        <v>89</v>
      </c>
      <c r="Z5" s="100" t="str">
        <f>IF(V2="Additional Current Account","No of Business Credits","No of Transactions (Debit+Credit)")</f>
        <v>No of Transactions (Debit+Credit)</v>
      </c>
    </row>
    <row r="6" spans="1:27">
      <c r="A6" s="895"/>
      <c r="B6" s="101" t="s">
        <v>635</v>
      </c>
      <c r="C6" s="101" t="s">
        <v>636</v>
      </c>
      <c r="D6" s="101" t="s">
        <v>637</v>
      </c>
      <c r="E6" s="905" t="s">
        <v>155</v>
      </c>
      <c r="F6" s="907"/>
      <c r="G6" s="101" t="s">
        <v>635</v>
      </c>
      <c r="H6" s="101" t="s">
        <v>636</v>
      </c>
      <c r="I6" s="101" t="s">
        <v>637</v>
      </c>
      <c r="J6" s="905" t="s">
        <v>155</v>
      </c>
      <c r="K6" s="907"/>
      <c r="L6" s="101" t="s">
        <v>635</v>
      </c>
      <c r="M6" s="101" t="s">
        <v>636</v>
      </c>
      <c r="N6" s="101" t="s">
        <v>637</v>
      </c>
      <c r="O6" s="905" t="s">
        <v>155</v>
      </c>
      <c r="P6" s="907"/>
      <c r="Q6" s="101" t="s">
        <v>635</v>
      </c>
      <c r="R6" s="101" t="s">
        <v>636</v>
      </c>
      <c r="S6" s="101" t="s">
        <v>637</v>
      </c>
      <c r="T6" s="905" t="s">
        <v>155</v>
      </c>
      <c r="U6" s="907"/>
      <c r="V6" s="101" t="s">
        <v>635</v>
      </c>
      <c r="W6" s="101" t="s">
        <v>636</v>
      </c>
      <c r="X6" s="101" t="s">
        <v>637</v>
      </c>
      <c r="Y6" s="905" t="s">
        <v>155</v>
      </c>
      <c r="Z6" s="906"/>
    </row>
    <row r="7" spans="1:27">
      <c r="A7" s="218">
        <f t="shared" ref="A7:A16" si="0">EDATE(A8,-1)</f>
        <v>44166</v>
      </c>
      <c r="B7" s="39"/>
      <c r="C7" s="39"/>
      <c r="D7" s="39"/>
      <c r="E7" s="39" t="str" cm="1">
        <f t="array" ref="E7:E18">IF(('Credit Summation'!B5:B16-'Credit Summation'!J5:J16)=0,"",('Credit Summation'!B5:B16-'Credit Summation'!J5:J16))</f>
        <v/>
      </c>
      <c r="F7" s="39"/>
      <c r="G7" s="39"/>
      <c r="H7" s="39"/>
      <c r="I7" s="39"/>
      <c r="J7" s="39" t="str" cm="1">
        <f t="array" ref="J7:J18">IF(('Credit Summation'!C5:C16-'Credit Summation'!K5:K16)=0,"",('Credit Summation'!C5:C16-'Credit Summation'!K5:K16))</f>
        <v/>
      </c>
      <c r="K7" s="39"/>
      <c r="L7" s="39"/>
      <c r="M7" s="39"/>
      <c r="N7" s="39"/>
      <c r="O7" s="39" t="str" cm="1">
        <f t="array" ref="O7:O18">IF(('Credit Summation'!D5:D16-'Credit Summation'!L5:L16)=0,"",('Credit Summation'!D5:D16-'Credit Summation'!L5:L16))</f>
        <v/>
      </c>
      <c r="P7" s="39"/>
      <c r="Q7" s="39"/>
      <c r="R7" s="39"/>
      <c r="S7" s="39"/>
      <c r="T7" s="39" t="str" cm="1">
        <f t="array" ref="T7:T18">IF(('Credit Summation'!E5:E16-'Credit Summation'!M5:M16)=0,"",('Credit Summation'!E5:E16-'Credit Summation'!M5:M16))</f>
        <v/>
      </c>
      <c r="U7" s="39"/>
      <c r="V7" s="39"/>
      <c r="W7" s="39"/>
      <c r="X7" s="39"/>
      <c r="Y7" s="39" t="str" cm="1">
        <f t="array" ref="Y7:Y18">IF(('Credit Summation'!F5:F16-'Credit Summation'!N5:N16)=0,"",('Credit Summation'!F5:F16-'Credit Summation'!N5:N16))</f>
        <v/>
      </c>
      <c r="Z7" s="42"/>
    </row>
    <row r="8" spans="1:27">
      <c r="A8" s="218">
        <f t="shared" si="0"/>
        <v>44197</v>
      </c>
      <c r="B8" s="39"/>
      <c r="C8" s="39"/>
      <c r="D8" s="39"/>
      <c r="E8" s="39" t="str">
        <v/>
      </c>
      <c r="F8" s="39"/>
      <c r="G8" s="39"/>
      <c r="H8" s="39"/>
      <c r="I8" s="39"/>
      <c r="J8" s="39" t="str">
        <v/>
      </c>
      <c r="K8" s="39"/>
      <c r="L8" s="39"/>
      <c r="M8" s="39"/>
      <c r="N8" s="39"/>
      <c r="O8" s="39" t="str">
        <v/>
      </c>
      <c r="P8" s="39"/>
      <c r="Q8" s="39"/>
      <c r="R8" s="39"/>
      <c r="S8" s="39"/>
      <c r="T8" s="39" t="str">
        <v/>
      </c>
      <c r="U8" s="39"/>
      <c r="V8" s="39"/>
      <c r="W8" s="39"/>
      <c r="X8" s="39"/>
      <c r="Y8" s="39" t="str">
        <v/>
      </c>
      <c r="Z8" s="42"/>
    </row>
    <row r="9" spans="1:27">
      <c r="A9" s="218">
        <f t="shared" si="0"/>
        <v>44228</v>
      </c>
      <c r="B9" s="39"/>
      <c r="C9" s="39"/>
      <c r="D9" s="39"/>
      <c r="E9" s="39" t="str">
        <v/>
      </c>
      <c r="F9" s="39"/>
      <c r="G9" s="39"/>
      <c r="H9" s="39"/>
      <c r="I9" s="39"/>
      <c r="J9" s="39" t="str">
        <v/>
      </c>
      <c r="K9" s="39"/>
      <c r="L9" s="39"/>
      <c r="M9" s="39"/>
      <c r="N9" s="39"/>
      <c r="O9" s="39" t="str">
        <v/>
      </c>
      <c r="P9" s="39"/>
      <c r="Q9" s="39"/>
      <c r="R9" s="39"/>
      <c r="S9" s="39"/>
      <c r="T9" s="39" t="str">
        <v/>
      </c>
      <c r="U9" s="39"/>
      <c r="V9" s="39"/>
      <c r="W9" s="39"/>
      <c r="X9" s="39"/>
      <c r="Y9" s="39" t="str">
        <v/>
      </c>
      <c r="Z9" s="42"/>
    </row>
    <row r="10" spans="1:27">
      <c r="A10" s="218">
        <f t="shared" si="0"/>
        <v>44256</v>
      </c>
      <c r="B10" s="39"/>
      <c r="C10" s="39"/>
      <c r="D10" s="39"/>
      <c r="E10" s="39" t="str">
        <v/>
      </c>
      <c r="F10" s="39"/>
      <c r="G10" s="39"/>
      <c r="H10" s="39"/>
      <c r="I10" s="39"/>
      <c r="J10" s="39" t="str">
        <v/>
      </c>
      <c r="K10" s="39"/>
      <c r="L10" s="39"/>
      <c r="M10" s="39"/>
      <c r="N10" s="39"/>
      <c r="O10" s="39" t="str">
        <v/>
      </c>
      <c r="P10" s="39"/>
      <c r="Q10" s="39"/>
      <c r="R10" s="39"/>
      <c r="S10" s="39"/>
      <c r="T10" s="39" t="str">
        <v/>
      </c>
      <c r="U10" s="39"/>
      <c r="V10" s="39"/>
      <c r="W10" s="39"/>
      <c r="X10" s="39"/>
      <c r="Y10" s="39" t="str">
        <v/>
      </c>
      <c r="Z10" s="42"/>
    </row>
    <row r="11" spans="1:27">
      <c r="A11" s="218">
        <f t="shared" si="0"/>
        <v>44287</v>
      </c>
      <c r="B11" s="39"/>
      <c r="C11" s="39"/>
      <c r="D11" s="39"/>
      <c r="E11" s="39" t="str">
        <v/>
      </c>
      <c r="F11" s="39"/>
      <c r="G11" s="39"/>
      <c r="H11" s="39"/>
      <c r="I11" s="39"/>
      <c r="J11" s="39" t="str">
        <v/>
      </c>
      <c r="K11" s="39"/>
      <c r="L11" s="39"/>
      <c r="M11" s="39"/>
      <c r="N11" s="39"/>
      <c r="O11" s="39" t="str">
        <v/>
      </c>
      <c r="P11" s="39"/>
      <c r="Q11" s="39"/>
      <c r="R11" s="39"/>
      <c r="S11" s="39"/>
      <c r="T11" s="39" t="str">
        <v/>
      </c>
      <c r="U11" s="39"/>
      <c r="V11" s="39"/>
      <c r="W11" s="39"/>
      <c r="X11" s="39"/>
      <c r="Y11" s="39" t="str">
        <v/>
      </c>
      <c r="Z11" s="42"/>
    </row>
    <row r="12" spans="1:27">
      <c r="A12" s="218">
        <f t="shared" si="0"/>
        <v>44317</v>
      </c>
      <c r="B12" s="39"/>
      <c r="C12" s="39"/>
      <c r="D12" s="39"/>
      <c r="E12" s="39" t="str">
        <v/>
      </c>
      <c r="F12" s="292"/>
      <c r="G12" s="39"/>
      <c r="H12" s="39"/>
      <c r="I12" s="39"/>
      <c r="J12" s="39" t="str">
        <v/>
      </c>
      <c r="K12" s="39"/>
      <c r="L12" s="39"/>
      <c r="M12" s="39"/>
      <c r="N12" s="39"/>
      <c r="O12" s="39" t="str">
        <v/>
      </c>
      <c r="P12" s="39"/>
      <c r="Q12" s="39"/>
      <c r="R12" s="39"/>
      <c r="S12" s="39"/>
      <c r="T12" s="39" t="str">
        <v/>
      </c>
      <c r="U12" s="39"/>
      <c r="V12" s="39"/>
      <c r="W12" s="39"/>
      <c r="X12" s="39"/>
      <c r="Y12" s="39" t="str">
        <v/>
      </c>
      <c r="Z12" s="42"/>
    </row>
    <row r="13" spans="1:27">
      <c r="A13" s="218">
        <f t="shared" si="0"/>
        <v>44348</v>
      </c>
      <c r="B13" s="39"/>
      <c r="C13" s="39"/>
      <c r="D13" s="39"/>
      <c r="E13" s="39" t="str">
        <v/>
      </c>
      <c r="F13" s="292"/>
      <c r="G13" s="39"/>
      <c r="H13" s="39"/>
      <c r="I13" s="39"/>
      <c r="J13" s="39" t="str">
        <v/>
      </c>
      <c r="K13" s="39"/>
      <c r="L13" s="39"/>
      <c r="M13" s="39"/>
      <c r="N13" s="39"/>
      <c r="O13" s="39" t="str">
        <v/>
      </c>
      <c r="P13" s="39"/>
      <c r="Q13" s="39"/>
      <c r="R13" s="39"/>
      <c r="S13" s="39"/>
      <c r="T13" s="39" t="str">
        <v/>
      </c>
      <c r="U13" s="39"/>
      <c r="V13" s="39"/>
      <c r="W13" s="39"/>
      <c r="X13" s="39"/>
      <c r="Y13" s="39" t="str">
        <v/>
      </c>
      <c r="Z13" s="42"/>
    </row>
    <row r="14" spans="1:27">
      <c r="A14" s="218">
        <f t="shared" si="0"/>
        <v>44378</v>
      </c>
      <c r="B14" s="39"/>
      <c r="C14" s="39"/>
      <c r="D14" s="39"/>
      <c r="E14" s="39" t="str">
        <v/>
      </c>
      <c r="F14" s="292"/>
      <c r="G14" s="39"/>
      <c r="H14" s="39"/>
      <c r="I14" s="39"/>
      <c r="J14" s="39" t="str">
        <v/>
      </c>
      <c r="K14" s="39"/>
      <c r="L14" s="39"/>
      <c r="M14" s="39"/>
      <c r="N14" s="39"/>
      <c r="O14" s="39" t="str">
        <v/>
      </c>
      <c r="P14" s="39"/>
      <c r="Q14" s="39"/>
      <c r="R14" s="39"/>
      <c r="S14" s="39"/>
      <c r="T14" s="39" t="str">
        <v/>
      </c>
      <c r="U14" s="39"/>
      <c r="V14" s="39"/>
      <c r="W14" s="39"/>
      <c r="X14" s="39"/>
      <c r="Y14" s="39" t="str">
        <v/>
      </c>
      <c r="Z14" s="42"/>
    </row>
    <row r="15" spans="1:27">
      <c r="A15" s="218">
        <f t="shared" si="0"/>
        <v>44409</v>
      </c>
      <c r="B15" s="39"/>
      <c r="C15" s="39"/>
      <c r="D15" s="39"/>
      <c r="E15" s="39" t="str">
        <v/>
      </c>
      <c r="F15" s="292"/>
      <c r="G15" s="39"/>
      <c r="H15" s="39"/>
      <c r="I15" s="39"/>
      <c r="J15" s="39" t="str">
        <v/>
      </c>
      <c r="K15" s="39"/>
      <c r="L15" s="39"/>
      <c r="M15" s="39"/>
      <c r="N15" s="39"/>
      <c r="O15" s="39" t="str">
        <v/>
      </c>
      <c r="P15" s="39"/>
      <c r="Q15" s="39"/>
      <c r="R15" s="39"/>
      <c r="S15" s="39"/>
      <c r="T15" s="39" t="str">
        <v/>
      </c>
      <c r="U15" s="39"/>
      <c r="V15" s="39"/>
      <c r="W15" s="39"/>
      <c r="X15" s="39"/>
      <c r="Y15" s="39" t="str">
        <v/>
      </c>
      <c r="Z15" s="42"/>
    </row>
    <row r="16" spans="1:27">
      <c r="A16" s="218">
        <f t="shared" si="0"/>
        <v>44440</v>
      </c>
      <c r="B16" s="39"/>
      <c r="C16" s="39"/>
      <c r="D16" s="39"/>
      <c r="E16" s="39" t="str">
        <v/>
      </c>
      <c r="F16" s="292"/>
      <c r="G16" s="39"/>
      <c r="H16" s="39"/>
      <c r="I16" s="39"/>
      <c r="J16" s="39" t="str">
        <v/>
      </c>
      <c r="K16" s="39"/>
      <c r="L16" s="39"/>
      <c r="M16" s="39"/>
      <c r="N16" s="39"/>
      <c r="O16" s="39" t="str">
        <v/>
      </c>
      <c r="P16" s="39"/>
      <c r="Q16" s="39"/>
      <c r="R16" s="39"/>
      <c r="S16" s="39"/>
      <c r="T16" s="39" t="str">
        <v/>
      </c>
      <c r="U16" s="39"/>
      <c r="V16" s="39"/>
      <c r="W16" s="39"/>
      <c r="X16" s="39"/>
      <c r="Y16" s="39" t="str">
        <v/>
      </c>
      <c r="Z16" s="42"/>
    </row>
    <row r="17" spans="1:26">
      <c r="A17" s="218">
        <f>EDATE(A18,-1)</f>
        <v>44470</v>
      </c>
      <c r="B17" s="39"/>
      <c r="C17" s="39"/>
      <c r="D17" s="39"/>
      <c r="E17" s="39" t="str">
        <v/>
      </c>
      <c r="F17" s="292"/>
      <c r="G17" s="39"/>
      <c r="H17" s="39"/>
      <c r="I17" s="39"/>
      <c r="J17" s="39" t="str">
        <v/>
      </c>
      <c r="K17" s="39"/>
      <c r="L17" s="39"/>
      <c r="M17" s="39"/>
      <c r="N17" s="39"/>
      <c r="O17" s="39" t="str">
        <v/>
      </c>
      <c r="P17" s="39"/>
      <c r="Q17" s="39"/>
      <c r="R17" s="39"/>
      <c r="S17" s="39"/>
      <c r="T17" s="39" t="str">
        <v/>
      </c>
      <c r="U17" s="39"/>
      <c r="V17" s="39"/>
      <c r="W17" s="39"/>
      <c r="X17" s="39"/>
      <c r="Y17" s="39" t="str">
        <v/>
      </c>
      <c r="Z17" s="42"/>
    </row>
    <row r="18" spans="1:26">
      <c r="A18" s="218">
        <f>'Analysis-Debit'!J3</f>
        <v>44501</v>
      </c>
      <c r="B18" s="39"/>
      <c r="C18" s="39"/>
      <c r="D18" s="39"/>
      <c r="E18" s="39" t="str">
        <v/>
      </c>
      <c r="F18" s="292"/>
      <c r="G18" s="39"/>
      <c r="H18" s="39"/>
      <c r="I18" s="39"/>
      <c r="J18" s="39" t="str">
        <v/>
      </c>
      <c r="K18" s="39"/>
      <c r="L18" s="39"/>
      <c r="M18" s="39"/>
      <c r="N18" s="39"/>
      <c r="O18" s="39" t="str">
        <v/>
      </c>
      <c r="P18" s="39"/>
      <c r="Q18" s="39"/>
      <c r="R18" s="39"/>
      <c r="S18" s="39"/>
      <c r="T18" s="39" t="str">
        <v/>
      </c>
      <c r="U18" s="39"/>
      <c r="V18" s="39"/>
      <c r="W18" s="39"/>
      <c r="X18" s="39"/>
      <c r="Y18" s="39" t="str">
        <v/>
      </c>
      <c r="Z18" s="42"/>
    </row>
    <row r="19" spans="1:26" ht="15.75" thickBot="1">
      <c r="A19" s="43" t="s">
        <v>145</v>
      </c>
      <c r="B19" s="102">
        <f t="shared" ref="B19:K19" si="1">SUM(B7:B18)</f>
        <v>0</v>
      </c>
      <c r="C19" s="102">
        <f t="shared" si="1"/>
        <v>0</v>
      </c>
      <c r="D19" s="102">
        <f t="shared" si="1"/>
        <v>0</v>
      </c>
      <c r="E19" s="102">
        <f t="shared" si="1"/>
        <v>0</v>
      </c>
      <c r="F19" s="102">
        <f t="shared" si="1"/>
        <v>0</v>
      </c>
      <c r="G19" s="102">
        <f t="shared" si="1"/>
        <v>0</v>
      </c>
      <c r="H19" s="102">
        <f t="shared" si="1"/>
        <v>0</v>
      </c>
      <c r="I19" s="102">
        <f t="shared" si="1"/>
        <v>0</v>
      </c>
      <c r="J19" s="102">
        <f t="shared" si="1"/>
        <v>0</v>
      </c>
      <c r="K19" s="102">
        <f t="shared" si="1"/>
        <v>0</v>
      </c>
      <c r="L19" s="102">
        <f t="shared" ref="L19:Z19" si="2">SUM(L7:L18)</f>
        <v>0</v>
      </c>
      <c r="M19" s="102">
        <f t="shared" si="2"/>
        <v>0</v>
      </c>
      <c r="N19" s="102">
        <f t="shared" si="2"/>
        <v>0</v>
      </c>
      <c r="O19" s="102">
        <f t="shared" si="2"/>
        <v>0</v>
      </c>
      <c r="P19" s="102">
        <f t="shared" si="2"/>
        <v>0</v>
      </c>
      <c r="Q19" s="102">
        <f t="shared" si="2"/>
        <v>0</v>
      </c>
      <c r="R19" s="102">
        <f t="shared" si="2"/>
        <v>0</v>
      </c>
      <c r="S19" s="102">
        <f t="shared" si="2"/>
        <v>0</v>
      </c>
      <c r="T19" s="102">
        <f t="shared" si="2"/>
        <v>0</v>
      </c>
      <c r="U19" s="102">
        <f t="shared" si="2"/>
        <v>0</v>
      </c>
      <c r="V19" s="102">
        <f t="shared" si="2"/>
        <v>0</v>
      </c>
      <c r="W19" s="102">
        <f t="shared" si="2"/>
        <v>0</v>
      </c>
      <c r="X19" s="102">
        <f t="shared" si="2"/>
        <v>0</v>
      </c>
      <c r="Y19" s="102">
        <f t="shared" si="2"/>
        <v>0</v>
      </c>
      <c r="Z19" s="102">
        <f t="shared" si="2"/>
        <v>0</v>
      </c>
    </row>
    <row r="20" spans="1:26">
      <c r="A20" s="896" t="s">
        <v>148</v>
      </c>
      <c r="B20" s="897"/>
      <c r="C20" s="897"/>
      <c r="D20" s="897"/>
      <c r="E20" s="898"/>
      <c r="F20" s="919">
        <f>(SUM(B19:D19)+SUM(G19:I19)+SUM(L19:N19)+SUM(Q19:S19)+SUM(V19:X19)-(Input!B18*12))/36</f>
        <v>-1666.6666666666667</v>
      </c>
      <c r="G20" s="920"/>
      <c r="H20" s="921"/>
    </row>
    <row r="21" spans="1:26" hidden="1">
      <c r="A21" s="910" t="s">
        <v>149</v>
      </c>
      <c r="B21" s="911"/>
      <c r="C21" s="911"/>
      <c r="D21" s="911"/>
      <c r="E21" s="912"/>
      <c r="F21" s="916"/>
      <c r="G21" s="917"/>
      <c r="H21" s="918"/>
    </row>
    <row r="22" spans="1:26" ht="15.75" thickBot="1">
      <c r="A22" s="908" t="s">
        <v>151</v>
      </c>
      <c r="B22" s="909"/>
      <c r="C22" s="909"/>
      <c r="D22" s="909"/>
      <c r="E22" s="909"/>
      <c r="F22" s="913">
        <f>E19+J19+O19+T19+Y19</f>
        <v>0</v>
      </c>
      <c r="G22" s="914"/>
      <c r="H22" s="915"/>
    </row>
  </sheetData>
  <mergeCells count="33">
    <mergeCell ref="V2:Z2"/>
    <mergeCell ref="Q2:U2"/>
    <mergeCell ref="G3:K3"/>
    <mergeCell ref="L4:P4"/>
    <mergeCell ref="L3:P3"/>
    <mergeCell ref="V4:Z4"/>
    <mergeCell ref="V3:Z3"/>
    <mergeCell ref="A22:E22"/>
    <mergeCell ref="B4:F4"/>
    <mergeCell ref="E6:F6"/>
    <mergeCell ref="B5:D5"/>
    <mergeCell ref="G5:I5"/>
    <mergeCell ref="A21:E21"/>
    <mergeCell ref="F22:H22"/>
    <mergeCell ref="F21:H21"/>
    <mergeCell ref="F20:H20"/>
    <mergeCell ref="G4:K4"/>
    <mergeCell ref="A1:Z1"/>
    <mergeCell ref="V5:X5"/>
    <mergeCell ref="A5:A6"/>
    <mergeCell ref="A20:E20"/>
    <mergeCell ref="L2:P2"/>
    <mergeCell ref="Q3:U3"/>
    <mergeCell ref="Q4:U4"/>
    <mergeCell ref="L5:N5"/>
    <mergeCell ref="Q5:S5"/>
    <mergeCell ref="Y6:Z6"/>
    <mergeCell ref="B3:F3"/>
    <mergeCell ref="B2:F2"/>
    <mergeCell ref="J6:K6"/>
    <mergeCell ref="O6:P6"/>
    <mergeCell ref="T6:U6"/>
    <mergeCell ref="G2:K2"/>
  </mergeCells>
  <dataValidations count="5">
    <dataValidation type="list" allowBlank="1" showInputMessage="1" showErrorMessage="1" prompt="Select Account Type for Banking Product- Additional Current or Savings Account" sqref="G2:Z2" xr:uid="{00000000-0002-0000-0A00-000000000000}">
      <formula1>"Additional Current Account, Additional Savings Account"</formula1>
    </dataValidation>
    <dataValidation allowBlank="1" showInputMessage="1" showErrorMessage="1" prompt="Header will change based on the account type selected (G1-K1)_x000a_" sqref="K5" xr:uid="{00000000-0002-0000-0A00-000001000000}"/>
    <dataValidation allowBlank="1" showInputMessage="1" showErrorMessage="1" prompt="Header will change based on the account type selected (V1-Z1)" sqref="Z5" xr:uid="{00000000-0002-0000-0A00-000002000000}"/>
    <dataValidation allowBlank="1" showInputMessage="1" showErrorMessage="1" prompt="Header will change based on the account type selected (L1-P1)" sqref="P5" xr:uid="{00000000-0002-0000-0A00-000003000000}"/>
    <dataValidation allowBlank="1" showInputMessage="1" showErrorMessage="1" prompt="Header will change based on the account type selected (Q1-U1)" sqref="U5" xr:uid="{00000000-0002-0000-0A00-000004000000}"/>
  </dataValidations>
  <pageMargins left="0.7" right="0.7" top="0.75" bottom="0.75" header="0.3" footer="0.3"/>
  <pageSetup orientation="portrait" r:id="rId1"/>
  <ignoredErrors>
    <ignoredError sqref="A7:A17 E7:E18 J7:J18 O7:O18 T7:T18 Y7:Y18" unlockedFormula="1"/>
  </ignoredErrors>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
  <dimension ref="A1:G10"/>
  <sheetViews>
    <sheetView workbookViewId="0">
      <selection activeCell="B3" sqref="B3"/>
    </sheetView>
  </sheetViews>
  <sheetFormatPr defaultRowHeight="15"/>
  <cols>
    <col min="1" max="1" width="30.85546875" customWidth="1"/>
    <col min="2" max="2" width="13.28515625" customWidth="1"/>
    <col min="3" max="3" width="13.28515625" style="193" customWidth="1"/>
    <col min="4" max="4" width="18.140625" style="193" customWidth="1"/>
    <col min="5" max="5" width="14" style="193" customWidth="1"/>
    <col min="6" max="6" width="20.140625" hidden="1" customWidth="1"/>
    <col min="7" max="7" width="21.85546875" hidden="1" customWidth="1"/>
  </cols>
  <sheetData>
    <row r="1" spans="1:7" ht="15.75" thickBot="1">
      <c r="A1" s="926" t="s">
        <v>26</v>
      </c>
      <c r="B1" s="927"/>
      <c r="C1" s="927"/>
      <c r="D1" s="927"/>
      <c r="E1" s="927"/>
      <c r="F1" s="927"/>
      <c r="G1" s="927"/>
    </row>
    <row r="2" spans="1:7" ht="27.75" thickTop="1" thickBot="1">
      <c r="A2" s="7" t="s">
        <v>17</v>
      </c>
      <c r="B2" s="7" t="s">
        <v>20</v>
      </c>
      <c r="C2" s="289" t="s">
        <v>888</v>
      </c>
      <c r="D2" s="289" t="s">
        <v>25</v>
      </c>
      <c r="E2" s="289" t="s">
        <v>542</v>
      </c>
      <c r="F2" s="7" t="s">
        <v>23</v>
      </c>
      <c r="G2" s="7" t="s">
        <v>24</v>
      </c>
    </row>
    <row r="3" spans="1:7" ht="16.5" thickTop="1" thickBot="1">
      <c r="A3" s="2" t="s">
        <v>21</v>
      </c>
      <c r="B3" s="8"/>
      <c r="C3" s="290"/>
      <c r="D3" s="290"/>
      <c r="E3" s="290"/>
      <c r="F3" s="8"/>
      <c r="G3" s="8"/>
    </row>
    <row r="4" spans="1:7" ht="16.5" thickTop="1" thickBot="1">
      <c r="A4" s="2" t="s">
        <v>889</v>
      </c>
      <c r="B4" s="8"/>
      <c r="C4" s="290"/>
      <c r="D4" s="290"/>
      <c r="E4" s="290"/>
      <c r="F4" s="8"/>
      <c r="G4" s="8"/>
    </row>
    <row r="5" spans="1:7" ht="16.5" thickTop="1" thickBot="1">
      <c r="A5" s="2" t="s">
        <v>890</v>
      </c>
      <c r="B5" s="8"/>
      <c r="C5" s="290"/>
      <c r="D5" s="290"/>
      <c r="E5" s="290"/>
      <c r="F5" s="8"/>
      <c r="G5" s="8"/>
    </row>
    <row r="6" spans="1:7" ht="16.5" thickTop="1" thickBot="1">
      <c r="A6" s="2" t="s">
        <v>891</v>
      </c>
      <c r="B6" s="23"/>
      <c r="C6" s="291"/>
      <c r="D6" s="291"/>
      <c r="E6" s="291"/>
      <c r="F6" s="23"/>
      <c r="G6" s="8"/>
    </row>
    <row r="7" spans="1:7" ht="16.5" thickTop="1" thickBot="1">
      <c r="A7" s="2" t="s">
        <v>251</v>
      </c>
      <c r="B7" s="23"/>
      <c r="C7" s="291"/>
      <c r="D7" s="291"/>
      <c r="E7" s="291"/>
      <c r="F7" s="23"/>
      <c r="G7" s="8"/>
    </row>
    <row r="8" spans="1:7" ht="16.5" thickTop="1" thickBot="1">
      <c r="A8" s="2" t="s">
        <v>252</v>
      </c>
      <c r="B8" s="23"/>
      <c r="C8" s="291"/>
      <c r="D8" s="291"/>
      <c r="E8" s="291"/>
      <c r="F8" s="23"/>
      <c r="G8" s="8"/>
    </row>
    <row r="9" spans="1:7" ht="16.5" thickTop="1" thickBot="1">
      <c r="A9" s="2" t="s">
        <v>18</v>
      </c>
      <c r="B9" s="9" t="s">
        <v>19</v>
      </c>
      <c r="C9" s="291" t="s">
        <v>19</v>
      </c>
      <c r="D9" s="291" t="s">
        <v>19</v>
      </c>
      <c r="E9" s="291" t="s">
        <v>19</v>
      </c>
      <c r="F9" s="9" t="s">
        <v>19</v>
      </c>
      <c r="G9" s="8" t="s">
        <v>19</v>
      </c>
    </row>
    <row r="10" spans="1:7" ht="15.75" thickTop="1"/>
  </sheetData>
  <mergeCells count="1">
    <mergeCell ref="A1:G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
  <dimension ref="A1:G28"/>
  <sheetViews>
    <sheetView workbookViewId="0">
      <selection activeCell="B3" sqref="B3"/>
    </sheetView>
  </sheetViews>
  <sheetFormatPr defaultRowHeight="15"/>
  <cols>
    <col min="1" max="1" width="38.28515625" customWidth="1"/>
    <col min="2" max="2" width="25.5703125" customWidth="1"/>
    <col min="3" max="3" width="17.85546875" customWidth="1"/>
    <col min="4" max="4" width="38.42578125" customWidth="1"/>
    <col min="5" max="5" width="19.85546875" customWidth="1"/>
    <col min="6" max="6" width="18.85546875" customWidth="1"/>
    <col min="7" max="7" width="19.140625" customWidth="1"/>
    <col min="8" max="8" width="9.140625" customWidth="1"/>
  </cols>
  <sheetData>
    <row r="1" spans="1:7" ht="15.75" thickBot="1">
      <c r="A1" s="931" t="s">
        <v>46</v>
      </c>
      <c r="B1" s="933"/>
      <c r="D1" s="931" t="s">
        <v>63</v>
      </c>
      <c r="E1" s="932"/>
      <c r="F1" s="932"/>
      <c r="G1" s="933"/>
    </row>
    <row r="2" spans="1:7" ht="16.5" thickTop="1" thickBot="1">
      <c r="A2" s="7" t="s">
        <v>17</v>
      </c>
      <c r="B2" s="7" t="s">
        <v>39</v>
      </c>
      <c r="D2" s="17" t="s">
        <v>28</v>
      </c>
      <c r="E2" s="18" t="s">
        <v>49</v>
      </c>
      <c r="F2" s="7" t="s">
        <v>36</v>
      </c>
      <c r="G2" s="7" t="s">
        <v>51</v>
      </c>
    </row>
    <row r="3" spans="1:7" ht="16.5" thickTop="1" thickBot="1">
      <c r="A3" s="2" t="s">
        <v>404</v>
      </c>
      <c r="B3" s="8">
        <v>500</v>
      </c>
      <c r="D3" s="2" t="s">
        <v>30</v>
      </c>
      <c r="E3" s="8"/>
      <c r="F3" s="8" t="s">
        <v>35</v>
      </c>
      <c r="G3" s="8"/>
    </row>
    <row r="4" spans="1:7" ht="16.5" thickTop="1" thickBot="1">
      <c r="A4" s="2" t="s">
        <v>405</v>
      </c>
      <c r="B4" s="8"/>
      <c r="D4" s="2" t="s">
        <v>31</v>
      </c>
      <c r="E4" s="8"/>
      <c r="F4" s="8" t="s">
        <v>35</v>
      </c>
      <c r="G4" s="8"/>
    </row>
    <row r="5" spans="1:7" ht="16.5" thickTop="1" thickBot="1">
      <c r="A5" s="2" t="s">
        <v>403</v>
      </c>
      <c r="B5" s="13"/>
      <c r="D5" s="2" t="s">
        <v>40</v>
      </c>
      <c r="E5" s="8"/>
      <c r="F5" s="8" t="s">
        <v>35</v>
      </c>
      <c r="G5" s="8"/>
    </row>
    <row r="6" spans="1:7" ht="16.5" thickTop="1" thickBot="1">
      <c r="A6" s="19" t="s">
        <v>41</v>
      </c>
      <c r="B6" s="14">
        <v>200</v>
      </c>
      <c r="D6" s="2" t="s">
        <v>32</v>
      </c>
      <c r="E6" s="8"/>
      <c r="F6" s="8" t="s">
        <v>35</v>
      </c>
      <c r="G6" s="8"/>
    </row>
    <row r="7" spans="1:7" ht="14.25" customHeight="1" thickTop="1" thickBot="1">
      <c r="A7" s="934" t="s">
        <v>60</v>
      </c>
      <c r="B7" s="935"/>
      <c r="D7" s="2" t="s">
        <v>33</v>
      </c>
      <c r="E7" s="8"/>
      <c r="F7" s="8" t="s">
        <v>35</v>
      </c>
      <c r="G7" s="8"/>
    </row>
    <row r="8" spans="1:7" ht="16.5" customHeight="1" thickTop="1" thickBot="1">
      <c r="A8" s="6" t="s">
        <v>61</v>
      </c>
      <c r="B8" s="8"/>
      <c r="D8" s="16" t="s">
        <v>48</v>
      </c>
      <c r="E8" s="8"/>
      <c r="F8" s="8" t="s">
        <v>35</v>
      </c>
      <c r="G8" s="8"/>
    </row>
    <row r="9" spans="1:7" ht="16.5" thickTop="1" thickBot="1">
      <c r="A9" s="6" t="s">
        <v>37</v>
      </c>
      <c r="B9" s="8"/>
      <c r="D9" s="17" t="s">
        <v>50</v>
      </c>
      <c r="E9" s="18" t="s">
        <v>62</v>
      </c>
      <c r="F9" s="7" t="s">
        <v>29</v>
      </c>
      <c r="G9" s="7" t="s">
        <v>52</v>
      </c>
    </row>
    <row r="10" spans="1:7" ht="16.5" thickTop="1" thickBot="1">
      <c r="A10" s="6" t="s">
        <v>55</v>
      </c>
      <c r="B10" s="8"/>
      <c r="C10" s="15"/>
      <c r="D10" s="2" t="s">
        <v>47</v>
      </c>
      <c r="E10" s="14" t="s">
        <v>38</v>
      </c>
      <c r="F10" s="8" t="s">
        <v>35</v>
      </c>
      <c r="G10" s="8"/>
    </row>
    <row r="11" spans="1:7" ht="16.5" thickTop="1" thickBot="1">
      <c r="A11" s="6" t="s">
        <v>56</v>
      </c>
      <c r="B11" s="8"/>
      <c r="C11" s="20" t="s">
        <v>58</v>
      </c>
      <c r="D11" s="2" t="s">
        <v>42</v>
      </c>
      <c r="E11" s="14" t="s">
        <v>38</v>
      </c>
      <c r="F11" s="8" t="s">
        <v>35</v>
      </c>
      <c r="G11" s="8"/>
    </row>
    <row r="12" spans="1:7" ht="16.5" thickTop="1" thickBot="1">
      <c r="A12" s="6" t="s">
        <v>57</v>
      </c>
      <c r="B12" s="8"/>
      <c r="C12" s="20" t="s">
        <v>58</v>
      </c>
      <c r="D12" s="2" t="s">
        <v>45</v>
      </c>
      <c r="E12" s="14" t="s">
        <v>38</v>
      </c>
      <c r="F12" s="8" t="s">
        <v>35</v>
      </c>
      <c r="G12" s="8"/>
    </row>
    <row r="13" spans="1:7" ht="16.5" thickTop="1" thickBot="1">
      <c r="A13" s="6" t="s">
        <v>33</v>
      </c>
      <c r="B13" s="8"/>
      <c r="C13" s="21"/>
      <c r="D13" s="2" t="s">
        <v>43</v>
      </c>
      <c r="E13" s="14" t="s">
        <v>38</v>
      </c>
      <c r="F13" s="8" t="s">
        <v>35</v>
      </c>
      <c r="G13" s="8"/>
    </row>
    <row r="14" spans="1:7" ht="27.75" thickTop="1" thickBot="1">
      <c r="A14" s="35" t="s">
        <v>71</v>
      </c>
      <c r="B14" s="13"/>
      <c r="C14" s="22" t="s">
        <v>143</v>
      </c>
      <c r="D14" s="2" t="s">
        <v>44</v>
      </c>
      <c r="E14" s="14" t="s">
        <v>38</v>
      </c>
      <c r="F14" s="8" t="s">
        <v>35</v>
      </c>
      <c r="G14" s="8"/>
    </row>
    <row r="15" spans="1:7" ht="16.5" thickTop="1" thickBot="1">
      <c r="A15" s="929" t="s">
        <v>64</v>
      </c>
      <c r="B15" s="930"/>
      <c r="D15" s="2" t="s">
        <v>53</v>
      </c>
      <c r="E15" s="14" t="s">
        <v>38</v>
      </c>
      <c r="F15" s="8" t="s">
        <v>35</v>
      </c>
      <c r="G15" s="8"/>
    </row>
    <row r="16" spans="1:7" ht="16.5" thickTop="1" thickBot="1">
      <c r="A16" s="60" t="s">
        <v>67</v>
      </c>
      <c r="B16" s="61" t="s">
        <v>27</v>
      </c>
      <c r="D16" s="6" t="s">
        <v>54</v>
      </c>
      <c r="E16" s="32" t="s">
        <v>38</v>
      </c>
      <c r="F16" s="13" t="s">
        <v>35</v>
      </c>
      <c r="G16" s="13"/>
    </row>
    <row r="17" spans="1:3" ht="16.5" thickTop="1" thickBot="1">
      <c r="A17" s="6" t="s">
        <v>254</v>
      </c>
      <c r="B17" s="8"/>
    </row>
    <row r="18" spans="1:3" ht="16.5" customHeight="1" thickTop="1" thickBot="1">
      <c r="A18" s="6" t="s">
        <v>72</v>
      </c>
      <c r="B18" s="8"/>
      <c r="C18" s="928" t="s">
        <v>88</v>
      </c>
    </row>
    <row r="19" spans="1:3" ht="16.5" thickTop="1" thickBot="1">
      <c r="A19" s="6" t="s">
        <v>66</v>
      </c>
      <c r="B19" s="8"/>
      <c r="C19" s="928"/>
    </row>
    <row r="20" spans="1:3" ht="16.5" thickTop="1" thickBot="1">
      <c r="A20" s="6" t="s">
        <v>68</v>
      </c>
      <c r="B20" s="8"/>
      <c r="C20" s="928"/>
    </row>
    <row r="21" spans="1:3" ht="16.5" thickTop="1" thickBot="1">
      <c r="A21" s="6" t="s">
        <v>91</v>
      </c>
      <c r="B21" s="8"/>
      <c r="C21" s="928"/>
    </row>
    <row r="22" spans="1:3" ht="16.5" thickTop="1" thickBot="1">
      <c r="A22" s="6" t="s">
        <v>65</v>
      </c>
      <c r="B22" s="8"/>
      <c r="C22" s="928"/>
    </row>
    <row r="23" spans="1:3" ht="16.5" thickTop="1" thickBot="1">
      <c r="A23" s="6" t="s">
        <v>73</v>
      </c>
      <c r="B23" s="8"/>
    </row>
    <row r="24" spans="1:3" ht="16.5" thickTop="1" thickBot="1">
      <c r="A24" s="6" t="s">
        <v>70</v>
      </c>
      <c r="B24" s="8"/>
    </row>
    <row r="25" spans="1:3" ht="15.75" customHeight="1" thickTop="1" thickBot="1">
      <c r="A25" s="6" t="s">
        <v>69</v>
      </c>
      <c r="B25" s="8"/>
    </row>
    <row r="26" spans="1:3" ht="16.5" thickTop="1" thickBot="1">
      <c r="A26" s="2" t="s">
        <v>141</v>
      </c>
      <c r="B26" s="8"/>
    </row>
    <row r="27" spans="1:3" ht="27.75" thickTop="1" thickBot="1">
      <c r="A27" s="38" t="s">
        <v>142</v>
      </c>
      <c r="B27" s="8"/>
    </row>
    <row r="28" spans="1:3" ht="27.75" thickTop="1" thickBot="1">
      <c r="A28" s="6" t="s">
        <v>99</v>
      </c>
      <c r="B28" s="62"/>
    </row>
  </sheetData>
  <mergeCells count="5">
    <mergeCell ref="C18:C22"/>
    <mergeCell ref="A15:B15"/>
    <mergeCell ref="D1:G1"/>
    <mergeCell ref="A7:B7"/>
    <mergeCell ref="A1:B1"/>
  </mergeCells>
  <conditionalFormatting sqref="A16">
    <cfRule type="expression" dxfId="9" priority="5" stopIfTrue="1">
      <formula>#REF!="No"</formula>
    </cfRule>
  </conditionalFormatting>
  <conditionalFormatting sqref="B16">
    <cfRule type="expression" dxfId="8" priority="3" stopIfTrue="1">
      <formula>#REF!="No"</formula>
    </cfRule>
  </conditionalFormatting>
  <dataValidations count="1">
    <dataValidation type="list" allowBlank="1" showInputMessage="1" showErrorMessage="1" sqref="E10:E16" xr:uid="{00000000-0002-0000-0C00-000000000000}">
      <formula1>"Yes,No"</formula1>
    </dataValidation>
  </dataValidation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dimension ref="A1:H42"/>
  <sheetViews>
    <sheetView topLeftCell="A25" workbookViewId="0">
      <selection activeCell="C35" sqref="C35"/>
    </sheetView>
  </sheetViews>
  <sheetFormatPr defaultRowHeight="15" outlineLevelRow="1"/>
  <cols>
    <col min="1" max="1" width="51.85546875" customWidth="1"/>
    <col min="2" max="2" width="22.5703125" customWidth="1"/>
    <col min="3" max="3" width="15.85546875" customWidth="1"/>
    <col min="4" max="4" width="49" customWidth="1"/>
    <col min="5" max="5" width="18.5703125" customWidth="1"/>
    <col min="6" max="6" width="17.5703125" customWidth="1"/>
    <col min="7" max="7" width="15.5703125" customWidth="1"/>
    <col min="8" max="8" width="16.42578125" customWidth="1"/>
  </cols>
  <sheetData>
    <row r="1" spans="1:8" ht="15.75" thickBot="1">
      <c r="A1" s="931" t="s">
        <v>46</v>
      </c>
      <c r="B1" s="933"/>
      <c r="D1" s="931" t="s">
        <v>82</v>
      </c>
      <c r="E1" s="932"/>
      <c r="F1" s="932"/>
      <c r="G1" s="933"/>
    </row>
    <row r="2" spans="1:8" ht="16.5" thickTop="1" thickBot="1">
      <c r="A2" s="7" t="s">
        <v>17</v>
      </c>
      <c r="B2" s="7" t="s">
        <v>39</v>
      </c>
      <c r="D2" s="17" t="s">
        <v>28</v>
      </c>
      <c r="E2" s="18" t="s">
        <v>49</v>
      </c>
      <c r="F2" s="7" t="s">
        <v>36</v>
      </c>
      <c r="G2" s="7" t="s">
        <v>51</v>
      </c>
    </row>
    <row r="3" spans="1:8" ht="16.5" thickTop="1" thickBot="1">
      <c r="A3" s="2" t="s">
        <v>74</v>
      </c>
      <c r="B3" s="8"/>
      <c r="C3" t="s">
        <v>659</v>
      </c>
      <c r="D3" s="2" t="s">
        <v>80</v>
      </c>
      <c r="E3" s="8"/>
      <c r="F3" s="8" t="s">
        <v>35</v>
      </c>
      <c r="G3" s="8"/>
    </row>
    <row r="4" spans="1:8" ht="16.5" thickTop="1" thickBot="1">
      <c r="A4" s="2" t="s">
        <v>87</v>
      </c>
      <c r="B4" s="8"/>
      <c r="C4" t="s">
        <v>660</v>
      </c>
      <c r="D4" s="2" t="s">
        <v>81</v>
      </c>
      <c r="E4" s="8"/>
      <c r="F4" s="8" t="s">
        <v>35</v>
      </c>
      <c r="G4" s="8"/>
    </row>
    <row r="5" spans="1:8" ht="16.5" thickTop="1" thickBot="1">
      <c r="A5" s="19" t="s">
        <v>41</v>
      </c>
      <c r="B5" s="14"/>
      <c r="C5" t="s">
        <v>661</v>
      </c>
      <c r="D5" s="2" t="s">
        <v>33</v>
      </c>
      <c r="E5" s="8"/>
      <c r="F5" s="8" t="s">
        <v>35</v>
      </c>
      <c r="G5" s="8"/>
    </row>
    <row r="6" spans="1:8" ht="16.5" thickTop="1" thickBot="1">
      <c r="A6" s="938" t="s">
        <v>60</v>
      </c>
      <c r="B6" s="937"/>
      <c r="D6" s="2" t="s">
        <v>111</v>
      </c>
      <c r="E6" s="8"/>
      <c r="F6" s="8" t="s">
        <v>35</v>
      </c>
      <c r="G6" s="8"/>
      <c r="H6" s="27" t="s">
        <v>110</v>
      </c>
    </row>
    <row r="7" spans="1:8" ht="19.5" customHeight="1" thickTop="1" thickBot="1">
      <c r="A7" s="6" t="s">
        <v>61</v>
      </c>
      <c r="B7" s="8"/>
      <c r="D7" s="17" t="s">
        <v>50</v>
      </c>
      <c r="E7" s="18" t="s">
        <v>62</v>
      </c>
      <c r="F7" s="7" t="s">
        <v>29</v>
      </c>
      <c r="G7" s="7" t="s">
        <v>52</v>
      </c>
      <c r="H7" s="27"/>
    </row>
    <row r="8" spans="1:8" ht="16.5" thickTop="1" thickBot="1">
      <c r="A8" s="6" t="s">
        <v>37</v>
      </c>
      <c r="B8" s="8"/>
      <c r="D8" s="2" t="s">
        <v>83</v>
      </c>
      <c r="E8" s="14"/>
      <c r="F8" s="8" t="s">
        <v>35</v>
      </c>
      <c r="G8" s="8" t="s">
        <v>417</v>
      </c>
    </row>
    <row r="9" spans="1:8" ht="27.75" thickTop="1" thickBot="1">
      <c r="A9" s="6" t="s">
        <v>55</v>
      </c>
      <c r="B9" s="8"/>
      <c r="C9" s="20" t="s">
        <v>58</v>
      </c>
      <c r="D9" s="219" t="s">
        <v>86</v>
      </c>
      <c r="E9" s="14" t="s">
        <v>38</v>
      </c>
      <c r="F9" s="8" t="s">
        <v>35</v>
      </c>
      <c r="G9" s="8" t="s">
        <v>416</v>
      </c>
    </row>
    <row r="10" spans="1:8" ht="16.5" thickTop="1" thickBot="1">
      <c r="A10" s="6" t="s">
        <v>56</v>
      </c>
      <c r="B10" s="8"/>
      <c r="C10" s="20" t="s">
        <v>58</v>
      </c>
      <c r="D10" s="2" t="s">
        <v>77</v>
      </c>
      <c r="E10" s="14" t="s">
        <v>38</v>
      </c>
      <c r="F10" s="8" t="s">
        <v>35</v>
      </c>
      <c r="G10" s="8"/>
    </row>
    <row r="11" spans="1:8" ht="18.75" customHeight="1" thickTop="1" thickBot="1">
      <c r="A11" s="6" t="s">
        <v>57</v>
      </c>
      <c r="B11" s="8"/>
      <c r="D11" s="2" t="s">
        <v>75</v>
      </c>
      <c r="E11" s="14" t="s">
        <v>38</v>
      </c>
      <c r="F11" s="8" t="s">
        <v>35</v>
      </c>
      <c r="G11" s="8"/>
    </row>
    <row r="12" spans="1:8" ht="16.5" customHeight="1" thickTop="1" thickBot="1">
      <c r="A12" s="6" t="s">
        <v>33</v>
      </c>
      <c r="B12" s="8"/>
      <c r="C12" s="22" t="s">
        <v>96</v>
      </c>
      <c r="D12" s="2" t="s">
        <v>44</v>
      </c>
      <c r="E12" s="14" t="s">
        <v>38</v>
      </c>
      <c r="F12" s="8" t="s">
        <v>35</v>
      </c>
      <c r="G12" s="8"/>
    </row>
    <row r="13" spans="1:8" ht="21" customHeight="1" thickTop="1" thickBot="1">
      <c r="A13" s="6" t="s">
        <v>210</v>
      </c>
      <c r="B13" s="8"/>
      <c r="D13" s="2" t="s">
        <v>76</v>
      </c>
      <c r="E13" s="14" t="s">
        <v>38</v>
      </c>
      <c r="F13" s="8" t="s">
        <v>35</v>
      </c>
      <c r="G13" s="8"/>
    </row>
    <row r="14" spans="1:8" ht="15" customHeight="1" thickTop="1" thickBot="1">
      <c r="D14" s="2" t="s">
        <v>78</v>
      </c>
      <c r="E14" s="14" t="s">
        <v>38</v>
      </c>
      <c r="F14" s="8" t="s">
        <v>35</v>
      </c>
      <c r="G14" s="8"/>
    </row>
    <row r="15" spans="1:8" ht="16.5" thickTop="1" thickBot="1">
      <c r="D15" s="2" t="s">
        <v>79</v>
      </c>
      <c r="E15" s="14" t="s">
        <v>38</v>
      </c>
      <c r="F15" s="8" t="s">
        <v>35</v>
      </c>
      <c r="G15" s="8"/>
    </row>
    <row r="16" spans="1:8" ht="21.75" customHeight="1" thickTop="1" thickBot="1">
      <c r="A16" s="936" t="s">
        <v>64</v>
      </c>
      <c r="B16" s="937"/>
    </row>
    <row r="17" spans="1:3" ht="16.5" outlineLevel="1" thickTop="1" thickBot="1">
      <c r="A17" s="6" t="s">
        <v>93</v>
      </c>
      <c r="B17" s="8">
        <f>'Banking Analysis'!F22</f>
        <v>0</v>
      </c>
    </row>
    <row r="18" spans="1:3" ht="16.5" outlineLevel="1" thickTop="1" thickBot="1">
      <c r="A18" s="6" t="s">
        <v>92</v>
      </c>
      <c r="B18" s="8">
        <v>1.5</v>
      </c>
    </row>
    <row r="19" spans="1:3" ht="16.5" outlineLevel="1" thickTop="1" thickBot="1">
      <c r="A19" s="24" t="s">
        <v>94</v>
      </c>
      <c r="B19" s="8">
        <f>B17/B18</f>
        <v>0</v>
      </c>
    </row>
    <row r="20" spans="1:3" ht="16.5" outlineLevel="1" thickTop="1" thickBot="1">
      <c r="A20" s="6" t="s">
        <v>90</v>
      </c>
      <c r="B20" s="8">
        <f>'Banking Analysis'!F20</f>
        <v>-1666.6666666666667</v>
      </c>
    </row>
    <row r="21" spans="1:3" ht="16.5" outlineLevel="1" thickTop="1" thickBot="1">
      <c r="A21" s="6" t="s">
        <v>650</v>
      </c>
      <c r="B21" s="8">
        <f>3</f>
        <v>3</v>
      </c>
    </row>
    <row r="22" spans="1:3" ht="16.5" outlineLevel="1" thickTop="1" thickBot="1">
      <c r="A22" s="6" t="s">
        <v>95</v>
      </c>
      <c r="B22" s="8">
        <f>B20/B21</f>
        <v>-555.55555555555554</v>
      </c>
    </row>
    <row r="23" spans="1:3" ht="16.5" outlineLevel="1" thickTop="1" thickBot="1">
      <c r="A23" s="6" t="s">
        <v>651</v>
      </c>
      <c r="B23" s="29">
        <v>1.5</v>
      </c>
    </row>
    <row r="24" spans="1:3" ht="16.5" outlineLevel="1" thickTop="1" thickBot="1">
      <c r="A24" s="6" t="s">
        <v>95</v>
      </c>
      <c r="B24" s="8">
        <f>B20/B23</f>
        <v>-1111.1111111111111</v>
      </c>
    </row>
    <row r="25" spans="1:3" ht="16.5" outlineLevel="1" thickTop="1" thickBot="1">
      <c r="A25" s="6" t="s">
        <v>652</v>
      </c>
      <c r="B25" s="8"/>
    </row>
    <row r="26" spans="1:3" ht="16.5" outlineLevel="1" thickTop="1" thickBot="1">
      <c r="A26" s="24" t="s">
        <v>653</v>
      </c>
      <c r="B26" s="8"/>
    </row>
    <row r="27" spans="1:3" ht="16.5" outlineLevel="1" thickTop="1" thickBot="1">
      <c r="A27" s="24" t="s">
        <v>654</v>
      </c>
      <c r="B27" s="8"/>
      <c r="C27" t="s">
        <v>903</v>
      </c>
    </row>
    <row r="28" spans="1:3" ht="16.5" outlineLevel="1" thickTop="1" thickBot="1">
      <c r="A28" s="24" t="s">
        <v>658</v>
      </c>
      <c r="B28" s="8">
        <f>MAX(B26,B27)</f>
        <v>0</v>
      </c>
    </row>
    <row r="29" spans="1:3" ht="16.5" outlineLevel="1" thickTop="1" thickBot="1">
      <c r="A29" s="6" t="s">
        <v>97</v>
      </c>
      <c r="B29" s="8"/>
    </row>
    <row r="30" spans="1:3" ht="16.5" outlineLevel="1" thickTop="1" thickBot="1">
      <c r="A30" s="6" t="s">
        <v>98</v>
      </c>
      <c r="B30" s="8"/>
    </row>
    <row r="31" spans="1:3" ht="16.5" outlineLevel="1" thickTop="1" thickBot="1">
      <c r="A31" s="24" t="s">
        <v>655</v>
      </c>
      <c r="B31" s="8"/>
    </row>
    <row r="32" spans="1:3" ht="27.75" outlineLevel="1" thickTop="1" thickBot="1">
      <c r="A32" s="24" t="s">
        <v>656</v>
      </c>
      <c r="B32" s="25"/>
    </row>
    <row r="33" spans="1:6" ht="27.75" outlineLevel="1" thickTop="1" thickBot="1">
      <c r="A33" s="24" t="s">
        <v>657</v>
      </c>
      <c r="B33" s="25"/>
    </row>
    <row r="34" spans="1:6" ht="15.75" thickBot="1"/>
    <row r="35" spans="1:6" ht="16.5" thickTop="1" thickBot="1">
      <c r="A35" s="936" t="s">
        <v>107</v>
      </c>
      <c r="B35" s="936"/>
      <c r="C35" s="45" t="s">
        <v>933</v>
      </c>
    </row>
    <row r="36" spans="1:6" ht="16.5" thickTop="1" thickBot="1">
      <c r="A36" s="26" t="s">
        <v>100</v>
      </c>
      <c r="B36" s="26" t="s">
        <v>101</v>
      </c>
      <c r="C36" s="26" t="s">
        <v>102</v>
      </c>
      <c r="D36" s="26" t="s">
        <v>102</v>
      </c>
      <c r="E36" s="26" t="s">
        <v>102</v>
      </c>
      <c r="F36" s="26" t="s">
        <v>102</v>
      </c>
    </row>
    <row r="37" spans="1:6" ht="16.5" thickTop="1" thickBot="1">
      <c r="A37" s="6" t="s">
        <v>108</v>
      </c>
      <c r="B37" s="8"/>
      <c r="C37" s="8"/>
      <c r="D37" s="8"/>
      <c r="E37" s="8"/>
      <c r="F37" s="8"/>
    </row>
    <row r="38" spans="1:6" ht="16.5" thickTop="1" thickBot="1">
      <c r="A38" s="6" t="s">
        <v>103</v>
      </c>
      <c r="B38" s="8"/>
      <c r="C38" s="8"/>
      <c r="D38" s="8"/>
      <c r="E38" s="8"/>
      <c r="F38" s="8"/>
    </row>
    <row r="39" spans="1:6" ht="16.5" thickTop="1" thickBot="1">
      <c r="A39" s="6" t="s">
        <v>104</v>
      </c>
      <c r="B39" s="8"/>
      <c r="C39" s="8"/>
      <c r="D39" s="8"/>
      <c r="E39" s="8"/>
      <c r="F39" s="8"/>
    </row>
    <row r="40" spans="1:6" ht="16.5" thickTop="1" thickBot="1">
      <c r="A40" s="6" t="s">
        <v>105</v>
      </c>
      <c r="B40" s="8"/>
      <c r="C40" s="8"/>
      <c r="D40" s="8"/>
      <c r="E40" s="8"/>
      <c r="F40" s="8"/>
    </row>
    <row r="41" spans="1:6" ht="16.5" thickTop="1" thickBot="1">
      <c r="A41" s="6" t="s">
        <v>106</v>
      </c>
      <c r="B41" s="8"/>
      <c r="C41" s="8"/>
      <c r="D41" s="8"/>
      <c r="E41" s="8"/>
      <c r="F41" s="8"/>
    </row>
    <row r="42" spans="1:6" ht="16.5" thickTop="1" thickBot="1">
      <c r="A42" s="6" t="s">
        <v>109</v>
      </c>
      <c r="B42" s="36"/>
      <c r="C42" s="37"/>
    </row>
  </sheetData>
  <mergeCells count="5">
    <mergeCell ref="A35:B35"/>
    <mergeCell ref="A1:B1"/>
    <mergeCell ref="D1:G1"/>
    <mergeCell ref="A16:B16"/>
    <mergeCell ref="A6:B6"/>
  </mergeCells>
  <conditionalFormatting sqref="B36:F36">
    <cfRule type="containsText" dxfId="7" priority="6" stopIfTrue="1" operator="containsText" text="NO">
      <formula>NOT(ISERROR(SEARCH("NO",B36)))</formula>
    </cfRule>
    <cfRule type="containsText" dxfId="6" priority="7" stopIfTrue="1" operator="containsText" text="NA">
      <formula>NOT(ISERROR(SEARCH("NA",B36)))</formula>
    </cfRule>
  </conditionalFormatting>
  <conditionalFormatting sqref="B36:F36">
    <cfRule type="expression" dxfId="5" priority="4" stopIfTrue="1">
      <formula>$B$41="No"</formula>
    </cfRule>
  </conditionalFormatting>
  <conditionalFormatting sqref="A36">
    <cfRule type="containsText" dxfId="4" priority="2" stopIfTrue="1" operator="containsText" text="NO">
      <formula>NOT(ISERROR(SEARCH("NO",A36)))</formula>
    </cfRule>
    <cfRule type="containsText" dxfId="3" priority="3" stopIfTrue="1" operator="containsText" text="NA">
      <formula>NOT(ISERROR(SEARCH("NA",A36)))</formula>
    </cfRule>
  </conditionalFormatting>
  <conditionalFormatting sqref="A36">
    <cfRule type="expression" dxfId="2" priority="1" stopIfTrue="1">
      <formula>$B$41="No"</formula>
    </cfRule>
  </conditionalFormatting>
  <dataValidations count="4">
    <dataValidation type="list" allowBlank="1" showInputMessage="1" showErrorMessage="1" sqref="E10:E15" xr:uid="{00000000-0002-0000-0D00-000000000000}">
      <formula1>"Yes,No"</formula1>
    </dataValidation>
    <dataValidation allowBlank="1" showInputMessage="1" showErrorMessage="1" prompt="Restaurant, Cinema hall, godown, hospital,petrol pump etc " sqref="D15" xr:uid="{00000000-0002-0000-0D00-000001000000}"/>
    <dataValidation type="list" allowBlank="1" showInputMessage="1" showErrorMessage="1" prompt="LAP,Gold Loan, Top up etc" sqref="E9" xr:uid="{00000000-0002-0000-0D00-000002000000}">
      <formula1>"Yes,No"</formula1>
    </dataValidation>
    <dataValidation allowBlank="1" showInputMessage="1" showErrorMessage="1" prompt="Will show the  approving authority based on the NFAs" sqref="B13" xr:uid="{00000000-0002-0000-0D00-000003000000}"/>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5"/>
  <dimension ref="A1:H26"/>
  <sheetViews>
    <sheetView workbookViewId="0">
      <selection sqref="A1:C1"/>
    </sheetView>
  </sheetViews>
  <sheetFormatPr defaultRowHeight="15" outlineLevelRow="1"/>
  <cols>
    <col min="1" max="1" width="41.28515625" customWidth="1"/>
    <col min="2" max="2" width="19.42578125" customWidth="1"/>
    <col min="3" max="3" width="23.7109375" customWidth="1"/>
    <col min="4" max="4" width="15.5703125" customWidth="1"/>
    <col min="5" max="5" width="37.5703125" customWidth="1"/>
    <col min="6" max="6" width="14.5703125" customWidth="1"/>
    <col min="7" max="7" width="15.140625" customWidth="1"/>
    <col min="8" max="8" width="22" customWidth="1"/>
  </cols>
  <sheetData>
    <row r="1" spans="1:8" ht="15.75" thickBot="1">
      <c r="A1" s="926" t="s">
        <v>112</v>
      </c>
      <c r="B1" s="927"/>
      <c r="C1" s="927"/>
      <c r="E1" s="931" t="s">
        <v>115</v>
      </c>
      <c r="F1" s="932"/>
      <c r="G1" s="932"/>
      <c r="H1" s="933"/>
    </row>
    <row r="2" spans="1:8" ht="16.5" thickTop="1" thickBot="1">
      <c r="A2" s="7" t="s">
        <v>17</v>
      </c>
      <c r="B2" s="7" t="s">
        <v>113</v>
      </c>
      <c r="C2" s="7" t="s">
        <v>114</v>
      </c>
      <c r="E2" s="17" t="s">
        <v>125</v>
      </c>
      <c r="F2" s="18" t="s">
        <v>49</v>
      </c>
      <c r="G2" s="7" t="s">
        <v>36</v>
      </c>
      <c r="H2" s="7" t="s">
        <v>51</v>
      </c>
    </row>
    <row r="3" spans="1:8" ht="16.5" thickTop="1" thickBot="1">
      <c r="A3" s="2" t="s">
        <v>74</v>
      </c>
      <c r="B3" s="8"/>
      <c r="C3" s="8"/>
      <c r="E3" s="2" t="s">
        <v>122</v>
      </c>
      <c r="F3" s="8"/>
      <c r="G3" s="30">
        <v>1.25</v>
      </c>
      <c r="H3" s="8"/>
    </row>
    <row r="4" spans="1:8" ht="16.5" thickTop="1" thickBot="1">
      <c r="A4" s="2" t="s">
        <v>87</v>
      </c>
      <c r="B4" s="8"/>
      <c r="C4" s="8"/>
      <c r="E4" s="2" t="s">
        <v>123</v>
      </c>
      <c r="F4" s="8"/>
      <c r="G4" s="29">
        <v>1.5</v>
      </c>
      <c r="H4" s="8"/>
    </row>
    <row r="5" spans="1:8" ht="16.5" thickTop="1" thickBot="1">
      <c r="A5" s="19" t="s">
        <v>41</v>
      </c>
      <c r="B5" s="14"/>
      <c r="C5" s="14"/>
      <c r="E5" s="17" t="s">
        <v>50</v>
      </c>
      <c r="F5" s="18" t="s">
        <v>62</v>
      </c>
      <c r="G5" s="7" t="s">
        <v>29</v>
      </c>
      <c r="H5" s="7" t="s">
        <v>52</v>
      </c>
    </row>
    <row r="6" spans="1:8" ht="16.5" thickTop="1" thickBot="1">
      <c r="A6" s="926" t="s">
        <v>60</v>
      </c>
      <c r="B6" s="927"/>
      <c r="C6" s="927"/>
      <c r="E6" s="2" t="s">
        <v>85</v>
      </c>
      <c r="F6" s="8" t="s">
        <v>38</v>
      </c>
      <c r="G6" s="8" t="s">
        <v>35</v>
      </c>
      <c r="H6" s="8"/>
    </row>
    <row r="7" spans="1:8" ht="27.75" thickTop="1" thickBot="1">
      <c r="A7" s="6" t="s">
        <v>61</v>
      </c>
      <c r="B7" s="8"/>
      <c r="C7" s="8"/>
      <c r="E7" s="2" t="s">
        <v>211</v>
      </c>
      <c r="F7" s="14" t="s">
        <v>38</v>
      </c>
      <c r="G7" s="8" t="s">
        <v>35</v>
      </c>
      <c r="H7" s="31" t="s">
        <v>124</v>
      </c>
    </row>
    <row r="8" spans="1:8" ht="16.5" thickTop="1" thickBot="1">
      <c r="A8" s="6" t="s">
        <v>37</v>
      </c>
      <c r="B8" s="8"/>
      <c r="C8" s="8"/>
      <c r="E8" s="2" t="s">
        <v>158</v>
      </c>
      <c r="F8" s="14" t="s">
        <v>38</v>
      </c>
      <c r="G8" s="8" t="s">
        <v>35</v>
      </c>
      <c r="H8" s="8"/>
    </row>
    <row r="9" spans="1:8" ht="27.75" thickTop="1" thickBot="1">
      <c r="A9" s="6" t="s">
        <v>55</v>
      </c>
      <c r="B9" s="28"/>
      <c r="C9" s="8"/>
      <c r="E9" s="2" t="s">
        <v>118</v>
      </c>
      <c r="F9" s="14" t="s">
        <v>38</v>
      </c>
      <c r="G9" s="8" t="s">
        <v>35</v>
      </c>
      <c r="H9" s="8"/>
    </row>
    <row r="10" spans="1:8" ht="16.5" thickTop="1" thickBot="1">
      <c r="A10" s="6" t="s">
        <v>56</v>
      </c>
      <c r="B10" s="8"/>
      <c r="C10" s="8"/>
      <c r="D10" s="20" t="s">
        <v>58</v>
      </c>
      <c r="E10" s="10" t="s">
        <v>121</v>
      </c>
      <c r="F10" s="14" t="s">
        <v>38</v>
      </c>
      <c r="G10" s="8" t="s">
        <v>35</v>
      </c>
      <c r="H10" s="8"/>
    </row>
    <row r="11" spans="1:8" ht="16.5" thickTop="1" thickBot="1">
      <c r="A11" s="6" t="s">
        <v>57</v>
      </c>
      <c r="B11" s="8"/>
      <c r="C11" s="8"/>
      <c r="D11" s="20" t="s">
        <v>58</v>
      </c>
      <c r="E11" s="6" t="s">
        <v>79</v>
      </c>
      <c r="F11" s="32" t="s">
        <v>38</v>
      </c>
      <c r="G11" s="13" t="s">
        <v>35</v>
      </c>
      <c r="H11" s="13"/>
    </row>
    <row r="12" spans="1:8" ht="16.5" thickTop="1" thickBot="1">
      <c r="A12" s="6" t="s">
        <v>33</v>
      </c>
      <c r="B12" s="8"/>
      <c r="C12" s="8"/>
      <c r="D12" s="21"/>
    </row>
    <row r="13" spans="1:8" ht="27.75" thickTop="1" thickBot="1">
      <c r="A13" s="6" t="s">
        <v>84</v>
      </c>
      <c r="B13" s="940"/>
      <c r="C13" s="941"/>
      <c r="D13" s="22" t="s">
        <v>59</v>
      </c>
    </row>
    <row r="14" spans="1:8">
      <c r="A14" s="939" t="s">
        <v>64</v>
      </c>
      <c r="B14" s="939"/>
      <c r="C14" s="939"/>
    </row>
    <row r="15" spans="1:8" ht="15.75" outlineLevel="1" thickBot="1">
      <c r="A15" s="11" t="s">
        <v>17</v>
      </c>
      <c r="B15" s="12" t="s">
        <v>14</v>
      </c>
      <c r="C15" s="5" t="s">
        <v>15</v>
      </c>
    </row>
    <row r="16" spans="1:8" ht="16.5" outlineLevel="1" thickTop="1" thickBot="1">
      <c r="A16" s="2" t="s">
        <v>7</v>
      </c>
      <c r="B16" s="8"/>
      <c r="C16" s="8"/>
    </row>
    <row r="17" spans="1:3" ht="16.5" outlineLevel="1" thickTop="1" thickBot="1">
      <c r="A17" s="2" t="s">
        <v>12</v>
      </c>
      <c r="B17" s="8"/>
      <c r="C17" s="8"/>
    </row>
    <row r="18" spans="1:3" ht="16.5" outlineLevel="1" thickTop="1" thickBot="1">
      <c r="A18" s="2" t="s">
        <v>9</v>
      </c>
      <c r="B18" s="8"/>
      <c r="C18" s="8"/>
    </row>
    <row r="19" spans="1:3" ht="16.5" outlineLevel="1" thickTop="1" thickBot="1">
      <c r="A19" s="2" t="s">
        <v>10</v>
      </c>
      <c r="B19" s="8"/>
      <c r="C19" s="8"/>
    </row>
    <row r="20" spans="1:3" ht="27.75" outlineLevel="1" thickTop="1" thickBot="1">
      <c r="A20" s="6" t="s">
        <v>132</v>
      </c>
      <c r="B20" s="8"/>
      <c r="C20" s="8"/>
    </row>
    <row r="21" spans="1:3" ht="16.5" outlineLevel="1" thickTop="1" thickBot="1">
      <c r="A21" s="6" t="s">
        <v>129</v>
      </c>
      <c r="B21" s="8"/>
      <c r="C21" s="8"/>
    </row>
    <row r="22" spans="1:3" ht="16.5" outlineLevel="1" thickTop="1" thickBot="1">
      <c r="A22" s="6" t="s">
        <v>130</v>
      </c>
      <c r="B22" s="8"/>
      <c r="C22" s="8"/>
    </row>
    <row r="23" spans="1:3" ht="16.5" outlineLevel="1" thickTop="1" thickBot="1">
      <c r="A23" s="6" t="s">
        <v>131</v>
      </c>
      <c r="B23" s="8"/>
      <c r="C23" s="8"/>
    </row>
    <row r="24" spans="1:3" ht="16.5" outlineLevel="1" thickTop="1" thickBot="1">
      <c r="A24" s="6" t="s">
        <v>133</v>
      </c>
      <c r="B24" s="8"/>
      <c r="C24" s="8"/>
    </row>
    <row r="25" spans="1:3" ht="16.5" outlineLevel="1" thickTop="1" thickBot="1">
      <c r="A25" s="6" t="s">
        <v>134</v>
      </c>
      <c r="B25" s="8"/>
      <c r="C25" s="8"/>
    </row>
    <row r="26" spans="1:3" ht="16.5" outlineLevel="1" thickTop="1" thickBot="1">
      <c r="A26" s="6" t="s">
        <v>135</v>
      </c>
      <c r="B26" s="25"/>
      <c r="C26" s="25"/>
    </row>
  </sheetData>
  <mergeCells count="5">
    <mergeCell ref="E1:H1"/>
    <mergeCell ref="A14:C14"/>
    <mergeCell ref="A6:C6"/>
    <mergeCell ref="A1:C1"/>
    <mergeCell ref="B13:C13"/>
  </mergeCells>
  <dataValidations count="3">
    <dataValidation type="list" allowBlank="1" showInputMessage="1" showErrorMessage="1" sqref="F6:F7 F11" xr:uid="{00000000-0002-0000-0E00-000000000000}">
      <formula1>"Yes,No"</formula1>
    </dataValidation>
    <dataValidation allowBlank="1" showInputMessage="1" showErrorMessage="1" prompt="Restaurant, Cinema hall, godown, hospital,petrol pump etc " sqref="E11" xr:uid="{00000000-0002-0000-0E00-000001000000}"/>
    <dataValidation type="list" allowBlank="1" showInputMessage="1" showErrorMessage="1" prompt="LAP,Gold Loan, Top up etc" sqref="F8:F10" xr:uid="{00000000-0002-0000-0E00-000002000000}">
      <formula1>"Yes,No"</formula1>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6"/>
  <dimension ref="A1:H28"/>
  <sheetViews>
    <sheetView topLeftCell="A13" workbookViewId="0">
      <selection activeCell="A19" sqref="A19"/>
    </sheetView>
  </sheetViews>
  <sheetFormatPr defaultRowHeight="15" outlineLevelRow="1"/>
  <cols>
    <col min="1" max="1" width="53.28515625" customWidth="1"/>
    <col min="2" max="2" width="15.7109375" customWidth="1"/>
    <col min="3" max="3" width="16.42578125" customWidth="1"/>
    <col min="5" max="5" width="48.140625" customWidth="1"/>
    <col min="6" max="6" width="14.140625" customWidth="1"/>
    <col min="7" max="7" width="14.5703125" customWidth="1"/>
    <col min="8" max="8" width="22.5703125" customWidth="1"/>
  </cols>
  <sheetData>
    <row r="1" spans="1:8" ht="15.75" thickBot="1">
      <c r="A1" s="931" t="s">
        <v>112</v>
      </c>
      <c r="B1" s="932"/>
      <c r="C1" s="933"/>
      <c r="E1" s="931" t="s">
        <v>115</v>
      </c>
      <c r="F1" s="932"/>
      <c r="G1" s="932"/>
      <c r="H1" s="933"/>
    </row>
    <row r="2" spans="1:8" ht="16.5" thickTop="1" thickBot="1">
      <c r="A2" s="7" t="s">
        <v>17</v>
      </c>
      <c r="B2" s="7" t="s">
        <v>14</v>
      </c>
      <c r="C2" s="7" t="s">
        <v>116</v>
      </c>
      <c r="E2" s="17" t="s">
        <v>125</v>
      </c>
      <c r="F2" s="18" t="s">
        <v>49</v>
      </c>
      <c r="G2" s="7" t="s">
        <v>36</v>
      </c>
      <c r="H2" s="7" t="s">
        <v>51</v>
      </c>
    </row>
    <row r="3" spans="1:8" ht="20.25" customHeight="1" thickTop="1" thickBot="1">
      <c r="A3" s="2" t="s">
        <v>74</v>
      </c>
      <c r="B3" s="8"/>
      <c r="C3" s="8"/>
      <c r="E3" s="2" t="s">
        <v>122</v>
      </c>
      <c r="F3" s="8"/>
      <c r="G3" s="30">
        <v>1.25</v>
      </c>
      <c r="H3" s="8"/>
    </row>
    <row r="4" spans="1:8" ht="18.75" customHeight="1" thickTop="1" thickBot="1">
      <c r="A4" s="2" t="s">
        <v>87</v>
      </c>
      <c r="B4" s="8"/>
      <c r="C4" s="8"/>
      <c r="E4" s="2" t="s">
        <v>123</v>
      </c>
      <c r="F4" s="8"/>
      <c r="G4" s="29">
        <v>1.5</v>
      </c>
      <c r="H4" s="8"/>
    </row>
    <row r="5" spans="1:8" ht="17.25" customHeight="1" thickTop="1" thickBot="1">
      <c r="A5" s="19" t="s">
        <v>41</v>
      </c>
      <c r="B5" s="14"/>
      <c r="C5" s="14"/>
      <c r="E5" s="17" t="s">
        <v>50</v>
      </c>
      <c r="F5" s="18" t="s">
        <v>62</v>
      </c>
      <c r="G5" s="7" t="s">
        <v>29</v>
      </c>
      <c r="H5" s="7" t="s">
        <v>52</v>
      </c>
    </row>
    <row r="6" spans="1:8" ht="16.5" thickTop="1" thickBot="1">
      <c r="A6" s="926" t="s">
        <v>60</v>
      </c>
      <c r="B6" s="927"/>
      <c r="C6" s="942"/>
      <c r="E6" s="2" t="s">
        <v>85</v>
      </c>
      <c r="F6" s="14" t="s">
        <v>38</v>
      </c>
      <c r="G6" s="8" t="s">
        <v>35</v>
      </c>
      <c r="H6" s="8"/>
    </row>
    <row r="7" spans="1:8" ht="30.75" customHeight="1" thickTop="1" thickBot="1">
      <c r="A7" s="6" t="s">
        <v>61</v>
      </c>
      <c r="B7" s="8"/>
      <c r="C7" s="8"/>
      <c r="E7" s="2" t="s">
        <v>120</v>
      </c>
      <c r="F7" s="14" t="s">
        <v>38</v>
      </c>
      <c r="G7" s="8" t="s">
        <v>35</v>
      </c>
      <c r="H7" s="31" t="s">
        <v>124</v>
      </c>
    </row>
    <row r="8" spans="1:8" ht="16.5" thickTop="1" thickBot="1">
      <c r="A8" s="6" t="s">
        <v>37</v>
      </c>
      <c r="B8" s="8"/>
      <c r="C8" s="8"/>
      <c r="E8" s="2" t="s">
        <v>117</v>
      </c>
      <c r="F8" s="14" t="s">
        <v>38</v>
      </c>
      <c r="G8" s="8" t="s">
        <v>35</v>
      </c>
      <c r="H8" s="8"/>
    </row>
    <row r="9" spans="1:8" ht="27.75" thickTop="1" thickBot="1">
      <c r="A9" s="6" t="s">
        <v>55</v>
      </c>
      <c r="B9" s="28"/>
      <c r="C9" s="8"/>
      <c r="E9" s="2" t="s">
        <v>118</v>
      </c>
      <c r="F9" s="14" t="s">
        <v>38</v>
      </c>
      <c r="G9" s="8" t="s">
        <v>35</v>
      </c>
      <c r="H9" s="8"/>
    </row>
    <row r="10" spans="1:8" ht="16.5" thickTop="1" thickBot="1">
      <c r="A10" s="6" t="s">
        <v>56</v>
      </c>
      <c r="B10" s="8"/>
      <c r="C10" s="8"/>
      <c r="E10" s="10" t="s">
        <v>121</v>
      </c>
      <c r="F10" s="14" t="s">
        <v>38</v>
      </c>
      <c r="G10" s="8" t="s">
        <v>35</v>
      </c>
      <c r="H10" s="8"/>
    </row>
    <row r="11" spans="1:8" ht="19.5" customHeight="1" thickTop="1" thickBot="1">
      <c r="A11" s="6" t="s">
        <v>57</v>
      </c>
      <c r="B11" s="8"/>
      <c r="C11" s="8"/>
      <c r="E11" s="2" t="s">
        <v>119</v>
      </c>
      <c r="F11" s="14" t="s">
        <v>38</v>
      </c>
      <c r="G11" s="8" t="s">
        <v>35</v>
      </c>
      <c r="H11" s="8"/>
    </row>
    <row r="12" spans="1:8" ht="20.25" customHeight="1" thickTop="1" thickBot="1">
      <c r="A12" s="6" t="s">
        <v>33</v>
      </c>
      <c r="B12" s="8"/>
      <c r="C12" s="8"/>
      <c r="E12" s="2" t="s">
        <v>75</v>
      </c>
      <c r="F12" s="14" t="s">
        <v>38</v>
      </c>
      <c r="G12" s="8" t="s">
        <v>35</v>
      </c>
      <c r="H12" s="8"/>
    </row>
    <row r="13" spans="1:8" ht="17.25" customHeight="1" thickTop="1" thickBot="1">
      <c r="A13" s="6" t="s">
        <v>84</v>
      </c>
      <c r="B13" s="943"/>
      <c r="C13" s="944"/>
      <c r="E13" s="6" t="s">
        <v>79</v>
      </c>
      <c r="F13" s="32" t="s">
        <v>38</v>
      </c>
      <c r="G13" s="13" t="s">
        <v>35</v>
      </c>
      <c r="H13" s="13"/>
    </row>
    <row r="14" spans="1:8" ht="15.75" thickBot="1">
      <c r="A14" s="926" t="s">
        <v>64</v>
      </c>
      <c r="B14" s="927"/>
      <c r="C14" s="942"/>
    </row>
    <row r="15" spans="1:8" ht="16.5" outlineLevel="1" thickTop="1" thickBot="1">
      <c r="A15" s="11" t="s">
        <v>17</v>
      </c>
      <c r="B15" s="12" t="s">
        <v>14</v>
      </c>
      <c r="C15" s="5" t="s">
        <v>15</v>
      </c>
    </row>
    <row r="16" spans="1:8" ht="16.5" outlineLevel="1" thickTop="1" thickBot="1">
      <c r="A16" s="2" t="s">
        <v>126</v>
      </c>
      <c r="B16" s="8"/>
      <c r="C16" s="8"/>
    </row>
    <row r="17" spans="1:3" ht="16.5" outlineLevel="1" thickTop="1" thickBot="1">
      <c r="A17" s="2" t="s">
        <v>8</v>
      </c>
      <c r="B17" s="8"/>
      <c r="C17" s="8"/>
    </row>
    <row r="18" spans="1:3" ht="16.5" outlineLevel="1" thickTop="1" thickBot="1">
      <c r="A18" s="2" t="s">
        <v>156</v>
      </c>
      <c r="B18" s="8"/>
      <c r="C18" s="8"/>
    </row>
    <row r="19" spans="1:3" ht="16.5" outlineLevel="1" thickTop="1" thickBot="1">
      <c r="A19" s="2" t="s">
        <v>10</v>
      </c>
      <c r="B19" s="8"/>
      <c r="C19" s="8"/>
    </row>
    <row r="20" spans="1:3" ht="18" customHeight="1" outlineLevel="1" thickTop="1" thickBot="1">
      <c r="A20" s="2" t="s">
        <v>136</v>
      </c>
      <c r="B20" s="8"/>
      <c r="C20" s="8"/>
    </row>
    <row r="21" spans="1:3" ht="16.5" outlineLevel="1" thickTop="1" thickBot="1">
      <c r="A21" s="16" t="s">
        <v>127</v>
      </c>
      <c r="B21" s="8"/>
      <c r="C21" s="8"/>
    </row>
    <row r="22" spans="1:3" ht="16.5" outlineLevel="1" thickTop="1" thickBot="1">
      <c r="A22" s="33" t="s">
        <v>137</v>
      </c>
      <c r="B22" s="25"/>
      <c r="C22" s="25"/>
    </row>
    <row r="23" spans="1:3" ht="16.5" outlineLevel="1" thickTop="1" thickBot="1">
      <c r="A23" s="33" t="s">
        <v>128</v>
      </c>
      <c r="B23" s="34"/>
      <c r="C23" s="34"/>
    </row>
    <row r="24" spans="1:3" ht="16.5" outlineLevel="1" thickTop="1" thickBot="1">
      <c r="A24" s="2" t="s">
        <v>97</v>
      </c>
      <c r="B24" s="8"/>
      <c r="C24" s="8"/>
    </row>
    <row r="25" spans="1:3" ht="16.5" outlineLevel="1" thickTop="1" thickBot="1">
      <c r="A25" s="16" t="s">
        <v>98</v>
      </c>
      <c r="B25" s="8"/>
      <c r="C25" s="8"/>
    </row>
    <row r="26" spans="1:3" ht="16.5" outlineLevel="1" thickTop="1" thickBot="1">
      <c r="A26" s="24" t="s">
        <v>138</v>
      </c>
      <c r="B26" s="8"/>
      <c r="C26" s="8"/>
    </row>
    <row r="27" spans="1:3" ht="16.5" outlineLevel="1" thickTop="1" thickBot="1">
      <c r="A27" s="24" t="s">
        <v>139</v>
      </c>
      <c r="B27" s="8"/>
      <c r="C27" s="8"/>
    </row>
    <row r="28" spans="1:3" ht="16.5" outlineLevel="1" thickTop="1" thickBot="1">
      <c r="A28" s="35" t="s">
        <v>140</v>
      </c>
      <c r="B28" s="25"/>
    </row>
  </sheetData>
  <mergeCells count="5">
    <mergeCell ref="A1:C1"/>
    <mergeCell ref="A6:C6"/>
    <mergeCell ref="B13:C13"/>
    <mergeCell ref="E1:H1"/>
    <mergeCell ref="A14:C14"/>
  </mergeCells>
  <dataValidations count="3">
    <dataValidation type="list" allowBlank="1" showInputMessage="1" showErrorMessage="1" prompt="LAP,Gold Loan, Top up etc" sqref="F8:F10" xr:uid="{00000000-0002-0000-0F00-000000000000}">
      <formula1>"Yes,No"</formula1>
    </dataValidation>
    <dataValidation allowBlank="1" showInputMessage="1" showErrorMessage="1" prompt="Restaurant, Cinema hall, godown, hospital,petrol pump etc " sqref="E13" xr:uid="{00000000-0002-0000-0F00-000001000000}"/>
    <dataValidation type="list" allowBlank="1" showInputMessage="1" showErrorMessage="1" sqref="F6:F7 F11:F13" xr:uid="{00000000-0002-0000-0F00-000002000000}">
      <formula1>"Yes,No"</formula1>
    </dataValidation>
  </dataValidation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G23"/>
  <sheetViews>
    <sheetView workbookViewId="0">
      <selection sqref="A1:B1"/>
    </sheetView>
  </sheetViews>
  <sheetFormatPr defaultRowHeight="15"/>
  <cols>
    <col min="1" max="1" width="38.28515625" customWidth="1"/>
    <col min="2" max="2" width="25.5703125" customWidth="1"/>
    <col min="3" max="3" width="17.85546875" customWidth="1"/>
    <col min="4" max="4" width="50.7109375" bestFit="1" customWidth="1"/>
    <col min="5" max="5" width="19.85546875" customWidth="1"/>
    <col min="6" max="6" width="18.85546875" customWidth="1"/>
    <col min="7" max="7" width="19.140625" customWidth="1"/>
    <col min="8" max="8" width="9.140625" customWidth="1"/>
  </cols>
  <sheetData>
    <row r="1" spans="1:7" ht="15.75" thickBot="1">
      <c r="A1" s="931" t="s">
        <v>46</v>
      </c>
      <c r="B1" s="933"/>
      <c r="D1" s="931" t="s">
        <v>63</v>
      </c>
      <c r="E1" s="932"/>
      <c r="F1" s="932"/>
      <c r="G1" s="933"/>
    </row>
    <row r="2" spans="1:7" ht="16.5" thickTop="1" thickBot="1">
      <c r="A2" s="7" t="s">
        <v>17</v>
      </c>
      <c r="B2" s="7" t="s">
        <v>39</v>
      </c>
      <c r="D2" s="17" t="s">
        <v>28</v>
      </c>
      <c r="E2" s="18" t="s">
        <v>49</v>
      </c>
      <c r="F2" s="7" t="s">
        <v>36</v>
      </c>
      <c r="G2" s="7" t="s">
        <v>51</v>
      </c>
    </row>
    <row r="3" spans="1:7" ht="16.5" thickTop="1" thickBot="1">
      <c r="A3" s="2" t="s">
        <v>406</v>
      </c>
      <c r="B3" s="8">
        <v>500</v>
      </c>
      <c r="D3" s="2" t="s">
        <v>395</v>
      </c>
      <c r="E3" s="293">
        <f>B21/B17</f>
        <v>1</v>
      </c>
      <c r="F3" s="294">
        <v>0.5</v>
      </c>
      <c r="G3" s="8" t="s">
        <v>904</v>
      </c>
    </row>
    <row r="4" spans="1:7" ht="16.5" thickTop="1" thickBot="1">
      <c r="A4" s="2" t="s">
        <v>394</v>
      </c>
      <c r="B4" s="8"/>
      <c r="D4" s="2" t="s">
        <v>884</v>
      </c>
      <c r="E4" s="8"/>
      <c r="F4" s="8" t="s">
        <v>35</v>
      </c>
      <c r="G4" s="8"/>
    </row>
    <row r="5" spans="1:7" ht="16.5" thickTop="1" thickBot="1">
      <c r="A5" s="2" t="s">
        <v>34</v>
      </c>
      <c r="B5" s="13"/>
      <c r="D5" s="2" t="s">
        <v>33</v>
      </c>
      <c r="E5" s="8"/>
      <c r="F5" s="8" t="s">
        <v>35</v>
      </c>
      <c r="G5" s="8"/>
    </row>
    <row r="6" spans="1:7" ht="16.5" thickTop="1" thickBot="1">
      <c r="A6" s="19" t="s">
        <v>41</v>
      </c>
      <c r="B6" s="14">
        <v>200</v>
      </c>
      <c r="D6" s="17" t="s">
        <v>50</v>
      </c>
      <c r="E6" s="18" t="s">
        <v>62</v>
      </c>
      <c r="F6" s="7" t="s">
        <v>29</v>
      </c>
      <c r="G6" s="7" t="s">
        <v>52</v>
      </c>
    </row>
    <row r="7" spans="1:7" ht="16.5" thickTop="1" thickBot="1">
      <c r="A7" s="934" t="s">
        <v>60</v>
      </c>
      <c r="B7" s="935"/>
      <c r="D7" s="2" t="s">
        <v>399</v>
      </c>
      <c r="E7" s="14" t="s">
        <v>38</v>
      </c>
      <c r="F7" s="8" t="s">
        <v>35</v>
      </c>
      <c r="G7" s="8"/>
    </row>
    <row r="8" spans="1:7" ht="27.75" thickTop="1" thickBot="1">
      <c r="A8" s="6" t="s">
        <v>61</v>
      </c>
      <c r="B8" s="8"/>
      <c r="D8" s="2" t="s">
        <v>400</v>
      </c>
      <c r="E8" s="14" t="s">
        <v>38</v>
      </c>
      <c r="F8" s="8" t="s">
        <v>35</v>
      </c>
      <c r="G8" s="8"/>
    </row>
    <row r="9" spans="1:7" ht="27.75" thickTop="1" thickBot="1">
      <c r="A9" s="6" t="s">
        <v>37</v>
      </c>
      <c r="B9" s="8"/>
      <c r="D9" s="2" t="s">
        <v>401</v>
      </c>
      <c r="E9" s="14" t="s">
        <v>38</v>
      </c>
      <c r="F9" s="8" t="s">
        <v>35</v>
      </c>
      <c r="G9" s="8"/>
    </row>
    <row r="10" spans="1:7" ht="27.75" thickTop="1" thickBot="1">
      <c r="A10" s="6" t="s">
        <v>55</v>
      </c>
      <c r="B10" s="8"/>
      <c r="C10" s="15"/>
      <c r="D10" s="2" t="s">
        <v>402</v>
      </c>
      <c r="E10" s="14" t="s">
        <v>38</v>
      </c>
      <c r="F10" s="8" t="s">
        <v>35</v>
      </c>
      <c r="G10" s="8"/>
    </row>
    <row r="11" spans="1:7" ht="16.5" thickTop="1" thickBot="1">
      <c r="A11" s="6" t="s">
        <v>56</v>
      </c>
      <c r="B11" s="8"/>
      <c r="C11" s="20" t="s">
        <v>58</v>
      </c>
      <c r="D11" s="2"/>
      <c r="E11" s="14"/>
      <c r="F11" s="8"/>
      <c r="G11" s="8"/>
    </row>
    <row r="12" spans="1:7" ht="16.5" thickTop="1" thickBot="1">
      <c r="A12" s="6" t="s">
        <v>57</v>
      </c>
      <c r="B12" s="8"/>
      <c r="C12" s="20" t="s">
        <v>58</v>
      </c>
      <c r="D12" s="2"/>
      <c r="E12" s="14"/>
      <c r="F12" s="8"/>
      <c r="G12" s="8"/>
    </row>
    <row r="13" spans="1:7" ht="16.5" thickTop="1" thickBot="1">
      <c r="A13" s="6" t="s">
        <v>33</v>
      </c>
      <c r="B13" s="8"/>
      <c r="C13" s="21" t="s">
        <v>883</v>
      </c>
      <c r="D13" s="6"/>
      <c r="E13" s="32"/>
      <c r="F13" s="13"/>
      <c r="G13" s="13"/>
    </row>
    <row r="14" spans="1:7" ht="27.75" thickTop="1" thickBot="1">
      <c r="A14" s="35" t="s">
        <v>71</v>
      </c>
      <c r="B14" s="13"/>
      <c r="C14" s="22"/>
    </row>
    <row r="15" spans="1:7" ht="15.75" thickBot="1">
      <c r="A15" s="929" t="s">
        <v>64</v>
      </c>
      <c r="B15" s="930"/>
    </row>
    <row r="16" spans="1:7" ht="15.75" thickBot="1">
      <c r="A16" s="60" t="s">
        <v>67</v>
      </c>
      <c r="B16" s="61" t="s">
        <v>27</v>
      </c>
    </row>
    <row r="17" spans="1:3" ht="16.5" thickTop="1" thickBot="1">
      <c r="A17" s="6" t="s">
        <v>396</v>
      </c>
      <c r="B17" s="8">
        <v>10000000</v>
      </c>
    </row>
    <row r="18" spans="1:3" ht="16.5" thickTop="1" thickBot="1">
      <c r="A18" s="6" t="s">
        <v>881</v>
      </c>
      <c r="B18" s="293">
        <v>0.06</v>
      </c>
    </row>
    <row r="19" spans="1:3" ht="16.5" customHeight="1" thickTop="1" thickBot="1">
      <c r="A19" s="6" t="s">
        <v>407</v>
      </c>
      <c r="B19" s="8">
        <f>B17*B18</f>
        <v>600000</v>
      </c>
      <c r="C19" s="115"/>
    </row>
    <row r="20" spans="1:3" ht="16.5" thickTop="1" thickBot="1">
      <c r="A20" s="6" t="s">
        <v>70</v>
      </c>
      <c r="B20" s="8">
        <v>200000</v>
      </c>
    </row>
    <row r="21" spans="1:3" ht="16.5" thickTop="1" thickBot="1">
      <c r="A21" s="2" t="s">
        <v>398</v>
      </c>
      <c r="B21" s="8">
        <v>10000000</v>
      </c>
      <c r="C21">
        <f>B21/B17</f>
        <v>1</v>
      </c>
    </row>
    <row r="22" spans="1:3" ht="16.5" thickTop="1" thickBot="1">
      <c r="A22" s="38"/>
      <c r="B22" s="8"/>
    </row>
    <row r="23" spans="1:3" ht="16.5" thickTop="1" thickBot="1">
      <c r="A23" s="6" t="s">
        <v>397</v>
      </c>
      <c r="B23" s="62"/>
    </row>
  </sheetData>
  <mergeCells count="4">
    <mergeCell ref="A1:B1"/>
    <mergeCell ref="D1:G1"/>
    <mergeCell ref="A7:B7"/>
    <mergeCell ref="A15:B15"/>
  </mergeCells>
  <conditionalFormatting sqref="A16">
    <cfRule type="expression" dxfId="1" priority="2" stopIfTrue="1">
      <formula>#REF!="No"</formula>
    </cfRule>
  </conditionalFormatting>
  <conditionalFormatting sqref="B16">
    <cfRule type="expression" dxfId="0" priority="1" stopIfTrue="1">
      <formula>#REF!="No"</formula>
    </cfRule>
  </conditionalFormatting>
  <dataValidations disablePrompts="1" count="1">
    <dataValidation type="list" allowBlank="1" showInputMessage="1" showErrorMessage="1" sqref="E7:E13" xr:uid="{00000000-0002-0000-1000-000000000000}">
      <formula1>"Yes,No"</formula1>
    </dataValidation>
  </dataValidation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L51"/>
  <sheetViews>
    <sheetView topLeftCell="A19" workbookViewId="0">
      <selection activeCell="A26" sqref="A26"/>
    </sheetView>
  </sheetViews>
  <sheetFormatPr defaultRowHeight="15"/>
  <cols>
    <col min="1" max="1" width="34.5703125" customWidth="1"/>
    <col min="2" max="2" width="16.5703125" customWidth="1"/>
    <col min="3" max="3" width="16.140625" customWidth="1"/>
    <col min="4" max="4" width="18.28515625" customWidth="1"/>
    <col min="5" max="5" width="23.42578125" customWidth="1"/>
    <col min="6" max="6" width="16.5703125" customWidth="1"/>
    <col min="7" max="7" width="21.42578125" customWidth="1"/>
    <col min="8" max="8" width="11.42578125" customWidth="1"/>
    <col min="9" max="9" width="13" customWidth="1"/>
    <col min="10" max="10" width="20.85546875" customWidth="1"/>
    <col min="11" max="11" width="20.140625" customWidth="1"/>
  </cols>
  <sheetData>
    <row r="1" spans="1:7" ht="15.75" thickBot="1">
      <c r="A1" s="950" t="s">
        <v>205</v>
      </c>
      <c r="B1" s="939"/>
      <c r="C1" s="939"/>
      <c r="D1" s="939"/>
      <c r="E1" s="939"/>
      <c r="F1" s="939"/>
      <c r="G1" s="939"/>
    </row>
    <row r="2" spans="1:7" ht="26.25" thickBot="1">
      <c r="A2" s="58" t="s">
        <v>202</v>
      </c>
      <c r="B2" s="59" t="s">
        <v>198</v>
      </c>
      <c r="C2" s="59" t="s">
        <v>199</v>
      </c>
      <c r="D2" s="63" t="s">
        <v>200</v>
      </c>
      <c r="E2" s="64" t="s">
        <v>203</v>
      </c>
      <c r="F2" s="65" t="s">
        <v>204</v>
      </c>
      <c r="G2" s="65" t="s">
        <v>206</v>
      </c>
    </row>
    <row r="3" spans="1:7" ht="16.5" thickTop="1" thickBot="1">
      <c r="A3" s="6" t="s">
        <v>185</v>
      </c>
      <c r="B3" s="28"/>
      <c r="C3" s="8"/>
      <c r="D3" s="8"/>
      <c r="E3" s="8"/>
      <c r="F3" s="8"/>
      <c r="G3" s="57"/>
    </row>
    <row r="4" spans="1:7" ht="16.5" thickTop="1" thickBot="1">
      <c r="A4" s="6" t="s">
        <v>201</v>
      </c>
      <c r="B4" s="8"/>
      <c r="C4" s="8"/>
      <c r="D4" s="8"/>
      <c r="E4" s="8"/>
      <c r="F4" s="8"/>
      <c r="G4" s="57"/>
    </row>
    <row r="5" spans="1:7" ht="16.5" thickTop="1" thickBot="1">
      <c r="A5" s="6" t="s">
        <v>186</v>
      </c>
      <c r="B5" s="8"/>
      <c r="C5" s="8"/>
      <c r="D5" s="8"/>
      <c r="E5" s="8"/>
      <c r="F5" s="8"/>
      <c r="G5" s="57"/>
    </row>
    <row r="6" spans="1:7" ht="16.5" thickTop="1" thickBot="1">
      <c r="A6" s="6" t="s">
        <v>187</v>
      </c>
      <c r="B6" s="8"/>
      <c r="C6" s="8"/>
      <c r="D6" s="8"/>
      <c r="E6" s="8"/>
      <c r="F6" s="8"/>
      <c r="G6" s="57"/>
    </row>
    <row r="7" spans="1:7" ht="16.5" thickTop="1" thickBot="1">
      <c r="A7" s="6" t="s">
        <v>207</v>
      </c>
      <c r="B7" s="8"/>
      <c r="C7" s="8"/>
      <c r="D7" s="8"/>
      <c r="E7" s="8"/>
      <c r="F7" s="8"/>
      <c r="G7" s="57"/>
    </row>
    <row r="8" spans="1:7" ht="16.5" thickTop="1" thickBot="1">
      <c r="A8" s="6" t="s">
        <v>194</v>
      </c>
      <c r="B8" s="8"/>
      <c r="C8" s="8"/>
      <c r="D8" s="8"/>
      <c r="E8" s="8"/>
      <c r="F8" s="8"/>
      <c r="G8" s="57"/>
    </row>
    <row r="9" spans="1:7" ht="16.5" thickTop="1" thickBot="1">
      <c r="A9" s="6" t="s">
        <v>208</v>
      </c>
      <c r="B9" s="8"/>
      <c r="C9" s="8"/>
      <c r="D9" s="8"/>
      <c r="E9" s="8"/>
      <c r="F9" s="8"/>
      <c r="G9" s="57"/>
    </row>
    <row r="10" spans="1:7" ht="16.5" thickTop="1" thickBot="1">
      <c r="A10" s="6" t="s">
        <v>193</v>
      </c>
      <c r="B10" s="8"/>
      <c r="C10" s="8"/>
      <c r="D10" s="8"/>
      <c r="E10" s="8"/>
      <c r="F10" s="8"/>
      <c r="G10" s="57"/>
    </row>
    <row r="11" spans="1:7" ht="16.5" thickTop="1" thickBot="1">
      <c r="A11" s="6" t="s">
        <v>195</v>
      </c>
      <c r="B11" s="8"/>
      <c r="C11" s="8"/>
      <c r="D11" s="8"/>
      <c r="E11" s="8"/>
      <c r="F11" s="8"/>
      <c r="G11" s="57"/>
    </row>
    <row r="12" spans="1:7" ht="16.5" thickTop="1" thickBot="1">
      <c r="A12" s="6" t="s">
        <v>196</v>
      </c>
      <c r="B12" s="8"/>
      <c r="C12" s="8"/>
      <c r="D12" s="8"/>
      <c r="E12" s="8"/>
      <c r="F12" s="8"/>
      <c r="G12" s="57"/>
    </row>
    <row r="13" spans="1:7" ht="16.5" thickTop="1" thickBot="1">
      <c r="A13" s="6" t="s">
        <v>209</v>
      </c>
      <c r="B13" s="8"/>
      <c r="C13" s="8"/>
      <c r="D13" s="8"/>
      <c r="E13" s="8"/>
      <c r="F13" s="8"/>
      <c r="G13" s="57"/>
    </row>
    <row r="14" spans="1:7" ht="16.5" thickTop="1" thickBot="1">
      <c r="A14" s="6" t="s">
        <v>193</v>
      </c>
      <c r="B14" s="8"/>
      <c r="C14" s="8"/>
      <c r="D14" s="8"/>
      <c r="E14" s="8"/>
      <c r="F14" s="8"/>
      <c r="G14" s="57"/>
    </row>
    <row r="15" spans="1:7" ht="16.5" thickTop="1" thickBot="1">
      <c r="A15" s="6" t="s">
        <v>192</v>
      </c>
      <c r="B15" s="8"/>
      <c r="C15" s="8"/>
      <c r="D15" s="8"/>
      <c r="E15" s="8"/>
      <c r="F15" s="8"/>
      <c r="G15" s="57"/>
    </row>
    <row r="16" spans="1:7" ht="16.5" thickTop="1" thickBot="1">
      <c r="A16" s="6" t="s">
        <v>188</v>
      </c>
      <c r="B16" s="8"/>
      <c r="C16" s="8"/>
      <c r="D16" s="8"/>
      <c r="E16" s="8"/>
      <c r="F16" s="8"/>
      <c r="G16" s="57"/>
    </row>
    <row r="17" spans="1:12" ht="16.5" thickTop="1" thickBot="1">
      <c r="A17" s="6" t="s">
        <v>189</v>
      </c>
      <c r="B17" s="8"/>
      <c r="C17" s="8"/>
      <c r="D17" s="8"/>
      <c r="E17" s="8"/>
      <c r="F17" s="8"/>
      <c r="G17" s="57"/>
    </row>
    <row r="18" spans="1:12" ht="16.5" thickTop="1" thickBot="1">
      <c r="A18" s="6" t="s">
        <v>190</v>
      </c>
      <c r="B18" s="8"/>
      <c r="C18" s="8"/>
      <c r="D18" s="8"/>
      <c r="E18" s="8"/>
      <c r="F18" s="8"/>
      <c r="G18" s="57"/>
    </row>
    <row r="19" spans="1:12" ht="16.5" thickTop="1" thickBot="1">
      <c r="A19" s="6" t="s">
        <v>191</v>
      </c>
      <c r="B19" s="8"/>
      <c r="C19" s="8"/>
      <c r="D19" s="8"/>
      <c r="E19" s="8"/>
      <c r="F19" s="8"/>
      <c r="G19" s="57"/>
    </row>
    <row r="20" spans="1:12" ht="16.5" thickTop="1" thickBot="1">
      <c r="A20" s="6" t="s">
        <v>194</v>
      </c>
      <c r="B20" s="8"/>
      <c r="C20" s="8"/>
      <c r="D20" s="8"/>
      <c r="E20" s="8"/>
      <c r="F20" s="8"/>
      <c r="G20" s="57"/>
    </row>
    <row r="21" spans="1:12" ht="16.5" thickTop="1" thickBot="1">
      <c r="A21" s="6" t="s">
        <v>196</v>
      </c>
      <c r="B21" s="8"/>
      <c r="C21" s="8"/>
      <c r="D21" s="8"/>
      <c r="E21" s="8"/>
      <c r="F21" s="8"/>
      <c r="G21" s="57"/>
    </row>
    <row r="22" spans="1:12" ht="16.5" thickTop="1" thickBot="1">
      <c r="A22" s="6" t="s">
        <v>197</v>
      </c>
      <c r="B22" s="8"/>
      <c r="C22" s="8"/>
      <c r="D22" s="8"/>
      <c r="E22" s="8"/>
      <c r="F22" s="8"/>
      <c r="G22" s="57"/>
    </row>
    <row r="24" spans="1:12" ht="15.75" thickBot="1">
      <c r="A24" s="945" t="s">
        <v>253</v>
      </c>
      <c r="B24" s="946"/>
      <c r="C24" s="946"/>
      <c r="D24" s="946"/>
      <c r="E24" s="946"/>
      <c r="F24" s="946"/>
      <c r="G24" s="946"/>
      <c r="H24" s="946"/>
      <c r="I24" s="946"/>
      <c r="J24" s="946"/>
      <c r="K24" s="946"/>
      <c r="L24" t="s">
        <v>932</v>
      </c>
    </row>
    <row r="25" spans="1:12" ht="26.25">
      <c r="A25" s="46" t="s">
        <v>175</v>
      </c>
      <c r="B25" s="47" t="s">
        <v>165</v>
      </c>
      <c r="C25" s="47" t="s">
        <v>164</v>
      </c>
      <c r="D25" s="47" t="s">
        <v>166</v>
      </c>
      <c r="E25" s="47" t="s">
        <v>167</v>
      </c>
      <c r="F25" s="47" t="s">
        <v>169</v>
      </c>
      <c r="G25" s="47" t="s">
        <v>170</v>
      </c>
      <c r="H25" s="47" t="s">
        <v>168</v>
      </c>
      <c r="I25" s="47" t="s">
        <v>171</v>
      </c>
      <c r="J25" s="47" t="s">
        <v>172</v>
      </c>
      <c r="K25" s="48" t="s">
        <v>174</v>
      </c>
    </row>
    <row r="26" spans="1:12">
      <c r="A26" s="49"/>
      <c r="B26" s="45"/>
      <c r="C26" s="45"/>
      <c r="D26" s="45"/>
      <c r="E26" s="45"/>
      <c r="F26" s="45"/>
      <c r="G26" s="45"/>
      <c r="H26" s="45"/>
      <c r="I26" s="45"/>
      <c r="J26" s="45" t="s">
        <v>173</v>
      </c>
      <c r="K26" s="50"/>
    </row>
    <row r="27" spans="1:12">
      <c r="A27" s="49"/>
      <c r="B27" s="45"/>
      <c r="C27" s="45"/>
      <c r="D27" s="45"/>
      <c r="E27" s="45"/>
      <c r="F27" s="45"/>
      <c r="G27" s="45"/>
      <c r="H27" s="45"/>
      <c r="I27" s="45"/>
      <c r="J27" s="45"/>
      <c r="K27" s="50"/>
    </row>
    <row r="28" spans="1:12">
      <c r="A28" s="49"/>
      <c r="B28" s="45"/>
      <c r="C28" s="45"/>
      <c r="D28" s="45"/>
      <c r="E28" s="45"/>
      <c r="F28" s="45"/>
      <c r="G28" s="45"/>
      <c r="H28" s="45"/>
      <c r="I28" s="45"/>
      <c r="J28" s="45"/>
      <c r="K28" s="50"/>
    </row>
    <row r="29" spans="1:12">
      <c r="A29" s="49"/>
      <c r="B29" s="45"/>
      <c r="C29" s="45"/>
      <c r="D29" s="45"/>
      <c r="E29" s="45"/>
      <c r="F29" s="45"/>
      <c r="G29" s="45"/>
      <c r="H29" s="45"/>
      <c r="I29" s="45"/>
      <c r="J29" s="45"/>
      <c r="K29" s="50"/>
    </row>
    <row r="30" spans="1:12" ht="15.75" thickBot="1">
      <c r="A30" s="51"/>
      <c r="B30" s="52"/>
      <c r="C30" s="52"/>
      <c r="D30" s="52"/>
      <c r="E30" s="52"/>
      <c r="F30" s="52"/>
      <c r="G30" s="52"/>
      <c r="H30" s="52"/>
      <c r="I30" s="52"/>
      <c r="J30" s="52"/>
      <c r="K30" s="53"/>
    </row>
    <row r="31" spans="1:12" ht="15.75" thickBot="1"/>
    <row r="32" spans="1:12">
      <c r="A32" s="947" t="s">
        <v>176</v>
      </c>
      <c r="B32" s="948"/>
      <c r="C32" s="948"/>
      <c r="D32" s="948"/>
      <c r="E32" s="948"/>
      <c r="F32" s="948"/>
      <c r="G32" s="948"/>
      <c r="H32" s="948"/>
      <c r="I32" s="949"/>
    </row>
    <row r="33" spans="1:9" s="40" customFormat="1" ht="26.25">
      <c r="A33" s="54" t="s">
        <v>175</v>
      </c>
      <c r="B33" s="55" t="s">
        <v>177</v>
      </c>
      <c r="C33" s="55" t="s">
        <v>178</v>
      </c>
      <c r="D33" s="55" t="s">
        <v>179</v>
      </c>
      <c r="E33" s="55" t="s">
        <v>180</v>
      </c>
      <c r="F33" s="55" t="s">
        <v>181</v>
      </c>
      <c r="G33" s="55" t="s">
        <v>182</v>
      </c>
      <c r="H33" s="55" t="s">
        <v>183</v>
      </c>
      <c r="I33" s="56" t="s">
        <v>184</v>
      </c>
    </row>
    <row r="34" spans="1:9">
      <c r="A34" s="49"/>
      <c r="B34" s="45"/>
      <c r="C34" s="45"/>
      <c r="D34" s="45"/>
      <c r="E34" s="45"/>
      <c r="F34" s="45"/>
      <c r="G34" s="45"/>
      <c r="H34" s="45"/>
      <c r="I34" s="50"/>
    </row>
    <row r="35" spans="1:9">
      <c r="A35" s="49"/>
      <c r="B35" s="45"/>
      <c r="C35" s="45"/>
      <c r="D35" s="45"/>
      <c r="E35" s="45"/>
      <c r="F35" s="45"/>
      <c r="G35" s="45"/>
      <c r="H35" s="45"/>
      <c r="I35" s="50"/>
    </row>
    <row r="36" spans="1:9">
      <c r="A36" s="49"/>
      <c r="B36" s="45"/>
      <c r="C36" s="45"/>
      <c r="D36" s="45"/>
      <c r="E36" s="45"/>
      <c r="F36" s="45"/>
      <c r="G36" s="45"/>
      <c r="H36" s="45"/>
      <c r="I36" s="50"/>
    </row>
    <row r="37" spans="1:9" ht="15.75" thickBot="1">
      <c r="A37" s="51"/>
      <c r="B37" s="52"/>
      <c r="C37" s="52"/>
      <c r="D37" s="52"/>
      <c r="E37" s="52"/>
      <c r="F37" s="52"/>
      <c r="G37" s="52"/>
      <c r="H37" s="52"/>
      <c r="I37" s="53"/>
    </row>
    <row r="46" spans="1:9">
      <c r="A46" t="s">
        <v>161</v>
      </c>
    </row>
    <row r="47" spans="1:9">
      <c r="A47" t="s">
        <v>159</v>
      </c>
    </row>
    <row r="48" spans="1:9">
      <c r="A48" t="s">
        <v>160</v>
      </c>
    </row>
    <row r="49" spans="1:1">
      <c r="A49" t="s">
        <v>162</v>
      </c>
    </row>
    <row r="51" spans="1:1">
      <c r="A51" t="s">
        <v>163</v>
      </c>
    </row>
  </sheetData>
  <mergeCells count="3">
    <mergeCell ref="A24:K24"/>
    <mergeCell ref="A32:I32"/>
    <mergeCell ref="A1:G1"/>
  </mergeCells>
  <dataValidations count="1">
    <dataValidation allowBlank="1" showInputMessage="1" showErrorMessage="1" prompt="RAAC ratio will be populated  populated based on the product type selected in Input Sheet" sqref="E2" xr:uid="{00000000-0002-0000-1100-000000000000}"/>
  </dataValidation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B2:C12"/>
  <sheetViews>
    <sheetView workbookViewId="0">
      <selection activeCell="C12" sqref="C12"/>
    </sheetView>
  </sheetViews>
  <sheetFormatPr defaultRowHeight="15"/>
  <cols>
    <col min="2" max="2" width="56.7109375" customWidth="1"/>
  </cols>
  <sheetData>
    <row r="2" spans="2:3">
      <c r="B2" t="s">
        <v>892</v>
      </c>
    </row>
    <row r="4" spans="2:3">
      <c r="B4" t="s">
        <v>893</v>
      </c>
      <c r="C4" t="s">
        <v>935</v>
      </c>
    </row>
    <row r="5" spans="2:3">
      <c r="B5" t="s">
        <v>895</v>
      </c>
    </row>
    <row r="6" spans="2:3">
      <c r="B6" t="s">
        <v>896</v>
      </c>
      <c r="C6" t="s">
        <v>935</v>
      </c>
    </row>
    <row r="7" spans="2:3">
      <c r="B7" t="s">
        <v>897</v>
      </c>
      <c r="C7" t="s">
        <v>935</v>
      </c>
    </row>
    <row r="8" spans="2:3">
      <c r="B8" t="s">
        <v>898</v>
      </c>
      <c r="C8" t="s">
        <v>934</v>
      </c>
    </row>
    <row r="9" spans="2:3">
      <c r="B9" t="s">
        <v>899</v>
      </c>
      <c r="C9" t="s">
        <v>934</v>
      </c>
    </row>
    <row r="10" spans="2:3">
      <c r="B10" t="s">
        <v>900</v>
      </c>
      <c r="C10" t="s">
        <v>934</v>
      </c>
    </row>
    <row r="11" spans="2:3">
      <c r="B11" t="s">
        <v>542</v>
      </c>
      <c r="C11" t="s">
        <v>934</v>
      </c>
    </row>
    <row r="12" spans="2:3">
      <c r="B12" t="s">
        <v>901</v>
      </c>
      <c r="C12" t="s">
        <v>934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H24"/>
  <sheetViews>
    <sheetView workbookViewId="0">
      <selection activeCell="D18" sqref="D18:D22"/>
    </sheetView>
  </sheetViews>
  <sheetFormatPr defaultRowHeight="15"/>
  <cols>
    <col min="1" max="1" width="36.5703125" customWidth="1"/>
    <col min="2" max="2" width="17.85546875" customWidth="1"/>
    <col min="4" max="4" width="12.28515625" bestFit="1" customWidth="1"/>
    <col min="8" max="8" width="72" customWidth="1"/>
  </cols>
  <sheetData>
    <row r="1" spans="1:8" ht="15.75" thickBot="1">
      <c r="A1" s="960" t="s">
        <v>905</v>
      </c>
      <c r="B1" s="961"/>
      <c r="C1" s="961"/>
      <c r="D1" s="961"/>
      <c r="E1" s="961"/>
      <c r="F1" s="961"/>
      <c r="G1" s="961"/>
      <c r="H1" s="962"/>
    </row>
    <row r="2" spans="1:8" ht="26.25" thickBot="1">
      <c r="A2" s="295" t="s">
        <v>413</v>
      </c>
      <c r="B2" s="295" t="s">
        <v>906</v>
      </c>
      <c r="C2" s="296" t="s">
        <v>907</v>
      </c>
      <c r="D2" s="295" t="s">
        <v>908</v>
      </c>
      <c r="E2" s="295" t="s">
        <v>909</v>
      </c>
      <c r="F2" s="295" t="s">
        <v>910</v>
      </c>
      <c r="G2" s="295" t="s">
        <v>911</v>
      </c>
      <c r="H2" s="295" t="s">
        <v>912</v>
      </c>
    </row>
    <row r="3" spans="1:8" ht="15.75" thickBot="1">
      <c r="A3" s="951" t="s">
        <v>913</v>
      </c>
      <c r="B3" s="298" t="s">
        <v>914</v>
      </c>
      <c r="C3" s="299">
        <v>5</v>
      </c>
      <c r="D3" s="954">
        <f>'Financials - combined'!B8/'Financials - combined'!D8-1</f>
        <v>835.84239888423986</v>
      </c>
      <c r="E3" s="957">
        <f>IF(D3&gt;=25%,C3,IF(AND(D3&gt;=20%,D3&lt;25%),C4,IF(AND(D3&gt;=10%,D3&lt;20%),C5,IF(AND(D3&gt;=0,D3&lt;10%),C6,C7))))</f>
        <v>5</v>
      </c>
      <c r="F3" s="954">
        <v>0.3</v>
      </c>
      <c r="G3" s="957">
        <f>E3*F3</f>
        <v>1.5</v>
      </c>
      <c r="H3" s="951" t="s">
        <v>915</v>
      </c>
    </row>
    <row r="4" spans="1:8" ht="15.75" thickBot="1">
      <c r="A4" s="952"/>
      <c r="B4" s="298" t="s">
        <v>916</v>
      </c>
      <c r="C4" s="299">
        <v>4</v>
      </c>
      <c r="D4" s="955"/>
      <c r="E4" s="958"/>
      <c r="F4" s="955"/>
      <c r="G4" s="958"/>
      <c r="H4" s="952"/>
    </row>
    <row r="5" spans="1:8" ht="15.75" thickBot="1">
      <c r="A5" s="952"/>
      <c r="B5" s="298" t="s">
        <v>917</v>
      </c>
      <c r="C5" s="299">
        <v>3</v>
      </c>
      <c r="D5" s="955"/>
      <c r="E5" s="958"/>
      <c r="F5" s="955"/>
      <c r="G5" s="958"/>
      <c r="H5" s="952"/>
    </row>
    <row r="6" spans="1:8" ht="15.75" thickBot="1">
      <c r="A6" s="952"/>
      <c r="B6" s="298" t="s">
        <v>918</v>
      </c>
      <c r="C6" s="299">
        <v>2</v>
      </c>
      <c r="D6" s="955"/>
      <c r="E6" s="958"/>
      <c r="F6" s="955"/>
      <c r="G6" s="958"/>
      <c r="H6" s="952"/>
    </row>
    <row r="7" spans="1:8" ht="15.75" thickBot="1">
      <c r="A7" s="953"/>
      <c r="B7" s="298" t="s">
        <v>919</v>
      </c>
      <c r="C7" s="299">
        <v>1</v>
      </c>
      <c r="D7" s="956"/>
      <c r="E7" s="959"/>
      <c r="F7" s="956"/>
      <c r="G7" s="959"/>
      <c r="H7" s="953"/>
    </row>
    <row r="8" spans="1:8" ht="15.75" thickBot="1">
      <c r="A8" s="951" t="s">
        <v>920</v>
      </c>
      <c r="B8" s="298" t="s">
        <v>914</v>
      </c>
      <c r="C8" s="299">
        <v>5</v>
      </c>
      <c r="D8" s="954">
        <f>'Financials - combined'!B16/'Financials - combined'!D16-1</f>
        <v>9821.2950819672133</v>
      </c>
      <c r="E8" s="957">
        <f>IF(D8&gt;=25%,C8,IF(AND(D8&gt;=20%,D8&lt;25%),C9,IF(AND(D8&gt;=10%,D8&lt;20%),C10,IF(AND(D8&gt;=0,D8&lt;10%),C11,C12))))</f>
        <v>5</v>
      </c>
      <c r="F8" s="954">
        <v>0.2</v>
      </c>
      <c r="G8" s="957">
        <f>E8*F8</f>
        <v>1</v>
      </c>
      <c r="H8" s="951" t="s">
        <v>921</v>
      </c>
    </row>
    <row r="9" spans="1:8" ht="15.75" thickBot="1">
      <c r="A9" s="952"/>
      <c r="B9" s="298" t="s">
        <v>916</v>
      </c>
      <c r="C9" s="299">
        <v>4</v>
      </c>
      <c r="D9" s="955"/>
      <c r="E9" s="958"/>
      <c r="F9" s="955"/>
      <c r="G9" s="958"/>
      <c r="H9" s="952"/>
    </row>
    <row r="10" spans="1:8" ht="15.75" thickBot="1">
      <c r="A10" s="952"/>
      <c r="B10" s="298" t="s">
        <v>917</v>
      </c>
      <c r="C10" s="299">
        <v>3</v>
      </c>
      <c r="D10" s="955"/>
      <c r="E10" s="958"/>
      <c r="F10" s="955"/>
      <c r="G10" s="958"/>
      <c r="H10" s="952"/>
    </row>
    <row r="11" spans="1:8" ht="15.75" thickBot="1">
      <c r="A11" s="952"/>
      <c r="B11" s="298" t="s">
        <v>918</v>
      </c>
      <c r="C11" s="299">
        <v>2</v>
      </c>
      <c r="D11" s="955"/>
      <c r="E11" s="958"/>
      <c r="F11" s="955"/>
      <c r="G11" s="958"/>
      <c r="H11" s="952"/>
    </row>
    <row r="12" spans="1:8" ht="15.75" thickBot="1">
      <c r="A12" s="953"/>
      <c r="B12" s="298" t="s">
        <v>919</v>
      </c>
      <c r="C12" s="299">
        <v>1</v>
      </c>
      <c r="D12" s="956"/>
      <c r="E12" s="959"/>
      <c r="F12" s="956"/>
      <c r="G12" s="959"/>
      <c r="H12" s="953"/>
    </row>
    <row r="13" spans="1:8" ht="15.75" thickBot="1">
      <c r="A13" s="951" t="s">
        <v>922</v>
      </c>
      <c r="B13" s="298" t="s">
        <v>914</v>
      </c>
      <c r="C13" s="299">
        <v>5</v>
      </c>
      <c r="D13" s="954">
        <f>'Financials - combined'!B29/'Financials - combined'!D29-1</f>
        <v>28528.523809523809</v>
      </c>
      <c r="E13" s="957">
        <f>IF(D13&gt;=25%,C13,IF(AND(D13&gt;=20%,D13&lt;25%),C14,IF(AND(D13&gt;=10%,D13&lt;20%),C15,IF(AND(D13&gt;=0,D13&lt;10%),C16,C17))))</f>
        <v>5</v>
      </c>
      <c r="F13" s="954">
        <v>0.3</v>
      </c>
      <c r="G13" s="957">
        <f>E13*F13</f>
        <v>1.5</v>
      </c>
      <c r="H13" s="951" t="s">
        <v>923</v>
      </c>
    </row>
    <row r="14" spans="1:8" ht="15.75" thickBot="1">
      <c r="A14" s="952"/>
      <c r="B14" s="298" t="s">
        <v>916</v>
      </c>
      <c r="C14" s="299">
        <v>4</v>
      </c>
      <c r="D14" s="955"/>
      <c r="E14" s="958"/>
      <c r="F14" s="955"/>
      <c r="G14" s="958"/>
      <c r="H14" s="952"/>
    </row>
    <row r="15" spans="1:8" ht="15.75" thickBot="1">
      <c r="A15" s="952"/>
      <c r="B15" s="298" t="s">
        <v>917</v>
      </c>
      <c r="C15" s="299">
        <v>3</v>
      </c>
      <c r="D15" s="955"/>
      <c r="E15" s="958"/>
      <c r="F15" s="955"/>
      <c r="G15" s="958"/>
      <c r="H15" s="952"/>
    </row>
    <row r="16" spans="1:8" ht="15.75" thickBot="1">
      <c r="A16" s="952"/>
      <c r="B16" s="298" t="s">
        <v>918</v>
      </c>
      <c r="C16" s="299">
        <v>2</v>
      </c>
      <c r="D16" s="955"/>
      <c r="E16" s="958"/>
      <c r="F16" s="955"/>
      <c r="G16" s="958"/>
      <c r="H16" s="952"/>
    </row>
    <row r="17" spans="1:8" ht="15.75" thickBot="1">
      <c r="A17" s="953"/>
      <c r="B17" s="298" t="s">
        <v>919</v>
      </c>
      <c r="C17" s="299">
        <v>1</v>
      </c>
      <c r="D17" s="956"/>
      <c r="E17" s="959"/>
      <c r="F17" s="956"/>
      <c r="G17" s="959"/>
      <c r="H17" s="953"/>
    </row>
    <row r="18" spans="1:8" ht="15.75" thickBot="1">
      <c r="A18" s="951" t="s">
        <v>924</v>
      </c>
      <c r="B18" s="298" t="s">
        <v>925</v>
      </c>
      <c r="C18" s="299">
        <v>5</v>
      </c>
      <c r="D18" s="957">
        <f>'Financials - combined'!B54/'Financials - combined'!B44</f>
        <v>2</v>
      </c>
      <c r="E18" s="957">
        <f>IF(D18&gt;=1.75,C18,IF(AND(D18&gt;=1.25,D18&lt;1.75),C19,IF(AND(D18&gt;=1,D18&lt;1.25),C20,IF(AND(D18&gt;=0.75,D18&lt;1),C21,C22))))</f>
        <v>5</v>
      </c>
      <c r="F18" s="954">
        <v>0.2</v>
      </c>
      <c r="G18" s="957">
        <f>E18*F18</f>
        <v>1</v>
      </c>
      <c r="H18" s="951" t="s">
        <v>926</v>
      </c>
    </row>
    <row r="19" spans="1:8" ht="15.75" thickBot="1">
      <c r="A19" s="952"/>
      <c r="B19" s="298" t="s">
        <v>927</v>
      </c>
      <c r="C19" s="299">
        <v>4</v>
      </c>
      <c r="D19" s="958"/>
      <c r="E19" s="958"/>
      <c r="F19" s="955"/>
      <c r="G19" s="958"/>
      <c r="H19" s="952"/>
    </row>
    <row r="20" spans="1:8" ht="15.75" thickBot="1">
      <c r="A20" s="952"/>
      <c r="B20" s="298" t="s">
        <v>928</v>
      </c>
      <c r="C20" s="299">
        <v>3</v>
      </c>
      <c r="D20" s="958"/>
      <c r="E20" s="958"/>
      <c r="F20" s="955"/>
      <c r="G20" s="958"/>
      <c r="H20" s="952"/>
    </row>
    <row r="21" spans="1:8" ht="15.75" thickBot="1">
      <c r="A21" s="952"/>
      <c r="B21" s="298" t="s">
        <v>929</v>
      </c>
      <c r="C21" s="299">
        <v>2</v>
      </c>
      <c r="D21" s="958"/>
      <c r="E21" s="958"/>
      <c r="F21" s="955"/>
      <c r="G21" s="958"/>
      <c r="H21" s="952"/>
    </row>
    <row r="22" spans="1:8" ht="15.75" thickBot="1">
      <c r="A22" s="953"/>
      <c r="B22" s="298" t="s">
        <v>930</v>
      </c>
      <c r="C22" s="299">
        <v>1</v>
      </c>
      <c r="D22" s="959"/>
      <c r="E22" s="959"/>
      <c r="F22" s="956"/>
      <c r="G22" s="959"/>
      <c r="H22" s="953"/>
    </row>
    <row r="23" spans="1:8">
      <c r="A23" s="297"/>
      <c r="B23" s="297"/>
      <c r="C23" s="300"/>
      <c r="D23" s="297"/>
      <c r="E23" s="297"/>
      <c r="F23" s="301" t="s">
        <v>145</v>
      </c>
      <c r="G23" s="302">
        <f>SUM(G3:G22)</f>
        <v>5</v>
      </c>
      <c r="H23" s="297"/>
    </row>
    <row r="24" spans="1:8" ht="15.75" thickBot="1">
      <c r="A24" s="297"/>
      <c r="B24" s="297"/>
      <c r="C24" s="300"/>
      <c r="D24" s="297"/>
      <c r="E24" s="297"/>
      <c r="F24" s="303" t="s">
        <v>931</v>
      </c>
      <c r="G24" s="304">
        <v>5</v>
      </c>
      <c r="H24" s="297"/>
    </row>
  </sheetData>
  <mergeCells count="25">
    <mergeCell ref="A18:A22"/>
    <mergeCell ref="D18:D22"/>
    <mergeCell ref="E18:E22"/>
    <mergeCell ref="A1:H1"/>
    <mergeCell ref="A3:A7"/>
    <mergeCell ref="D3:D7"/>
    <mergeCell ref="E3:E7"/>
    <mergeCell ref="F3:F7"/>
    <mergeCell ref="G3:G7"/>
    <mergeCell ref="H3:H7"/>
    <mergeCell ref="A13:A17"/>
    <mergeCell ref="D13:D17"/>
    <mergeCell ref="E13:E17"/>
    <mergeCell ref="F13:F17"/>
    <mergeCell ref="G13:G17"/>
    <mergeCell ref="A8:A12"/>
    <mergeCell ref="H8:H12"/>
    <mergeCell ref="H13:H17"/>
    <mergeCell ref="H18:H22"/>
    <mergeCell ref="D8:D12"/>
    <mergeCell ref="E8:E12"/>
    <mergeCell ref="F8:F12"/>
    <mergeCell ref="G8:G12"/>
    <mergeCell ref="F18:F22"/>
    <mergeCell ref="G18:G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vt:i4>
      </vt:variant>
    </vt:vector>
  </HeadingPairs>
  <TitlesOfParts>
    <vt:vector size="30" baseType="lpstr">
      <vt:lpstr>Business Profile</vt:lpstr>
      <vt:lpstr>ITR</vt:lpstr>
      <vt:lpstr>ROC</vt:lpstr>
      <vt:lpstr>GST</vt:lpstr>
      <vt:lpstr>KYC</vt:lpstr>
      <vt:lpstr>Financials_Applicant 1</vt:lpstr>
      <vt:lpstr>Financials_Applicant 2</vt:lpstr>
      <vt:lpstr>Financials_Applicant 3</vt:lpstr>
      <vt:lpstr>Financials_Applicant 4</vt:lpstr>
      <vt:lpstr>Financials - combined</vt:lpstr>
      <vt:lpstr>Input</vt:lpstr>
      <vt:lpstr>Masters</vt:lpstr>
      <vt:lpstr>RAAC &amp; NFA Master</vt:lpstr>
      <vt:lpstr>GST Margins</vt:lpstr>
      <vt:lpstr>Normal &amp; CGTMSE Eligibility</vt:lpstr>
      <vt:lpstr>NC-RTR</vt:lpstr>
      <vt:lpstr>Credit Summation</vt:lpstr>
      <vt:lpstr>Analysis-Debit</vt:lpstr>
      <vt:lpstr>Analysis-Credit</vt:lpstr>
      <vt:lpstr>Banking Analysis</vt:lpstr>
      <vt:lpstr>Output</vt:lpstr>
      <vt:lpstr>GTP-Sheet</vt:lpstr>
      <vt:lpstr>Banking_Product</vt:lpstr>
      <vt:lpstr>Express_BT_HL</vt:lpstr>
      <vt:lpstr>Express_BT_Non_HL</vt:lpstr>
      <vt:lpstr>GST Sheet</vt:lpstr>
      <vt:lpstr>Summary</vt:lpstr>
      <vt:lpstr>Additional Sheets</vt:lpstr>
      <vt:lpstr>CGTMSE Scorecard</vt:lpstr>
      <vt:lpstr>'Financials - combined'!Print_Area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182023</dc:creator>
  <cp:lastModifiedBy>NAMASTECREDIT-TECH</cp:lastModifiedBy>
  <dcterms:created xsi:type="dcterms:W3CDTF">2017-12-26T14:01:15Z</dcterms:created>
  <dcterms:modified xsi:type="dcterms:W3CDTF">2021-11-18T19:39:47Z</dcterms:modified>
</cp:coreProperties>
</file>