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irmit/Library/CloudStorage/WorkDocsDrive-Documents/Irmi/TFC/"/>
    </mc:Choice>
  </mc:AlternateContent>
  <xr:revisionPtr revIDLastSave="0" documentId="13_ncr:1_{209DC081-EF65-2943-AF29-71D16A8A3420}" xr6:coauthVersionLast="47" xr6:coauthVersionMax="47" xr10:uidLastSave="{00000000-0000-0000-0000-000000000000}"/>
  <bookViews>
    <workbookView xWindow="38400" yWindow="500" windowWidth="38400" windowHeight="19560" activeTab="2" xr2:uid="{8F366F91-9D43-B54C-80F1-BE22DE501760}"/>
  </bookViews>
  <sheets>
    <sheet name="CostSheet" sheetId="5" r:id="rId1"/>
    <sheet name="Table Class Calc (Cost Unknown)" sheetId="2" r:id="rId2"/>
    <sheet name="Table Class Calc(Cost Known)" sheetId="6" r:id="rId3"/>
    <sheet name="Data" sheetId="3" state="hidden" r:id="rId4"/>
    <sheet name="List" sheetId="4" state="hidden" r:id="rId5"/>
  </sheets>
  <definedNames>
    <definedName name="GT">CostSheet!$C$12</definedName>
    <definedName name="GTStorage">CostSheet!$E$12</definedName>
    <definedName name="GTWrites">CostSheet!$F$12</definedName>
    <definedName name="Hours">CostSheet!$E$10</definedName>
    <definedName name="OnDemandRcuPrice">CostSheet!$C$4</definedName>
    <definedName name="OnDemandWcuPrice">CostSheet!$D$4</definedName>
    <definedName name="ProvisionedPricePerReadUnitHourly">CostSheet!$C$5</definedName>
    <definedName name="ProvisionedPricePerWriteUnitHourly">CostSheet!$D$5</definedName>
    <definedName name="ProvisioningEfficiency">CostSheet!$C$11</definedName>
    <definedName name="StorageCostPerGbHour">CostSheet!$E$7</definedName>
    <definedName name="TimeUnit">CostSheet!$C$9</definedName>
    <definedName name="TimeUnitQty">CostSheet!$C$10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E21" i="6" l="1"/>
  <c r="C21" i="6"/>
  <c r="B21" i="6"/>
  <c r="A21" i="6"/>
  <c r="B19" i="6"/>
  <c r="D18" i="6"/>
  <c r="D17" i="6"/>
  <c r="E9" i="6"/>
  <c r="C9" i="6"/>
  <c r="B9" i="6"/>
  <c r="A9" i="6"/>
  <c r="B7" i="6"/>
  <c r="D6" i="6"/>
  <c r="D5" i="6"/>
  <c r="D19" i="6" l="1"/>
  <c r="D7" i="6"/>
  <c r="D9" i="6"/>
  <c r="D21" i="6"/>
  <c r="E14" i="5" l="1"/>
  <c r="F12" i="5"/>
  <c r="E12" i="5"/>
  <c r="E10" i="5"/>
  <c r="D4" i="5"/>
  <c r="C4" i="5"/>
  <c r="G18" i="5" l="1"/>
  <c r="E16" i="5"/>
  <c r="F16" i="5"/>
  <c r="E17" i="5"/>
  <c r="F17" i="5"/>
  <c r="O3" i="3"/>
  <c r="S33" i="3"/>
  <c r="S32" i="3"/>
  <c r="S15" i="3"/>
  <c r="S14" i="3"/>
  <c r="S31" i="3"/>
  <c r="S30" i="3"/>
  <c r="S29" i="3"/>
  <c r="S27" i="3"/>
  <c r="S28" i="3"/>
  <c r="S26" i="3"/>
  <c r="S22" i="3"/>
  <c r="S20" i="3"/>
  <c r="S19" i="3"/>
  <c r="S23" i="3"/>
  <c r="S21" i="3"/>
  <c r="S24" i="3"/>
  <c r="S25" i="3"/>
  <c r="S18" i="3"/>
  <c r="S17" i="3"/>
  <c r="S16" i="3"/>
  <c r="S7" i="3"/>
  <c r="S6" i="3"/>
  <c r="S12" i="3"/>
  <c r="S11" i="3"/>
  <c r="S5" i="3"/>
  <c r="S8" i="3"/>
  <c r="S9" i="3"/>
  <c r="S10" i="3"/>
  <c r="S13" i="3"/>
  <c r="S4" i="3"/>
  <c r="S3" i="3"/>
  <c r="O33" i="3"/>
  <c r="O32" i="3"/>
  <c r="O15" i="3"/>
  <c r="O14" i="3"/>
  <c r="O31" i="3"/>
  <c r="O30" i="3"/>
  <c r="O29" i="3"/>
  <c r="O27" i="3"/>
  <c r="O28" i="3"/>
  <c r="O26" i="3"/>
  <c r="O22" i="3"/>
  <c r="O20" i="3"/>
  <c r="O19" i="3"/>
  <c r="O23" i="3"/>
  <c r="O21" i="3"/>
  <c r="O24" i="3"/>
  <c r="O25" i="3"/>
  <c r="O18" i="3"/>
  <c r="O17" i="3"/>
  <c r="O16" i="3"/>
  <c r="O7" i="3"/>
  <c r="O6" i="3"/>
  <c r="O12" i="3"/>
  <c r="O11" i="3"/>
  <c r="O5" i="3"/>
  <c r="O8" i="3"/>
  <c r="O9" i="3"/>
  <c r="O10" i="3"/>
  <c r="O13" i="3"/>
  <c r="O4" i="3"/>
  <c r="R33" i="3"/>
  <c r="R32" i="3"/>
  <c r="R15" i="3"/>
  <c r="R14" i="3"/>
  <c r="R31" i="3"/>
  <c r="R30" i="3"/>
  <c r="R29" i="3"/>
  <c r="R27" i="3"/>
  <c r="R28" i="3"/>
  <c r="R26" i="3"/>
  <c r="R22" i="3"/>
  <c r="R20" i="3"/>
  <c r="R19" i="3"/>
  <c r="R23" i="3"/>
  <c r="R21" i="3"/>
  <c r="R24" i="3"/>
  <c r="R25" i="3"/>
  <c r="R18" i="3"/>
  <c r="R17" i="3"/>
  <c r="R16" i="3"/>
  <c r="R7" i="3"/>
  <c r="R6" i="3"/>
  <c r="R12" i="3"/>
  <c r="R11" i="3"/>
  <c r="R5" i="3"/>
  <c r="R8" i="3"/>
  <c r="R9" i="3"/>
  <c r="R10" i="3"/>
  <c r="R13" i="3"/>
  <c r="R4" i="3"/>
  <c r="R3" i="3"/>
  <c r="Q33" i="3"/>
  <c r="Q32" i="3"/>
  <c r="Q15" i="3"/>
  <c r="Q14" i="3"/>
  <c r="Q31" i="3"/>
  <c r="Q30" i="3"/>
  <c r="Q29" i="3"/>
  <c r="Q27" i="3"/>
  <c r="Q28" i="3"/>
  <c r="Q26" i="3"/>
  <c r="Q22" i="3"/>
  <c r="Q20" i="3"/>
  <c r="Q19" i="3"/>
  <c r="Q23" i="3"/>
  <c r="Q21" i="3"/>
  <c r="Q24" i="3"/>
  <c r="Q25" i="3"/>
  <c r="Q18" i="3"/>
  <c r="Q17" i="3"/>
  <c r="Q16" i="3"/>
  <c r="Q7" i="3"/>
  <c r="Q6" i="3"/>
  <c r="Q12" i="3"/>
  <c r="Q11" i="3"/>
  <c r="Q5" i="3"/>
  <c r="Q8" i="3"/>
  <c r="Q9" i="3"/>
  <c r="Q10" i="3"/>
  <c r="Q13" i="3"/>
  <c r="Q4" i="3"/>
  <c r="Q3" i="3"/>
  <c r="P33" i="3"/>
  <c r="P32" i="3"/>
  <c r="P15" i="3"/>
  <c r="P14" i="3"/>
  <c r="P31" i="3"/>
  <c r="P30" i="3"/>
  <c r="P29" i="3"/>
  <c r="P27" i="3"/>
  <c r="P28" i="3"/>
  <c r="P26" i="3"/>
  <c r="P22" i="3"/>
  <c r="P20" i="3"/>
  <c r="P19" i="3"/>
  <c r="P23" i="3"/>
  <c r="P21" i="3"/>
  <c r="P24" i="3"/>
  <c r="P25" i="3"/>
  <c r="P18" i="3"/>
  <c r="P17" i="3"/>
  <c r="P16" i="3"/>
  <c r="P7" i="3"/>
  <c r="P6" i="3"/>
  <c r="P12" i="3"/>
  <c r="P11" i="3"/>
  <c r="P5" i="3"/>
  <c r="P8" i="3"/>
  <c r="P9" i="3"/>
  <c r="P10" i="3"/>
  <c r="P13" i="3"/>
  <c r="P4" i="3"/>
  <c r="P3" i="3"/>
  <c r="H17" i="2" a="1"/>
  <c r="H17" i="2" s="1"/>
  <c r="H16" i="2" a="1"/>
  <c r="H16" i="2" s="1"/>
  <c r="H20" i="2" a="1"/>
  <c r="H20" i="2" s="1"/>
  <c r="H15" i="2" a="1"/>
  <c r="H15" i="2" s="1"/>
  <c r="I20" i="2" a="1"/>
  <c r="I20" i="2" s="1"/>
  <c r="I15" i="2" a="1"/>
  <c r="I15" i="2" s="1"/>
  <c r="H22" i="2" a="1"/>
  <c r="H22" i="2" s="1"/>
  <c r="H21" i="2" a="1"/>
  <c r="H21" i="2" s="1"/>
  <c r="I6" i="2" l="1"/>
  <c r="I5" i="2"/>
  <c r="G22" i="2" l="1" a="1"/>
  <c r="G22" i="2" s="1"/>
  <c r="G21" i="2" a="1"/>
  <c r="G21" i="2" s="1"/>
  <c r="G17" i="2" a="1"/>
  <c r="G17" i="2" s="1"/>
  <c r="G16" i="2" a="1"/>
  <c r="G16" i="2" s="1"/>
  <c r="I22" i="2"/>
  <c r="I17" i="2"/>
  <c r="I21" i="2"/>
  <c r="P30" i="2"/>
  <c r="O30" i="2"/>
  <c r="K18" i="2" s="1"/>
  <c r="N30" i="2"/>
  <c r="M30" i="2"/>
  <c r="L30" i="2"/>
  <c r="K30" i="2"/>
  <c r="J30" i="2"/>
  <c r="I30" i="2"/>
  <c r="H30" i="2"/>
  <c r="G30" i="2"/>
  <c r="C21" i="2"/>
  <c r="B21" i="2"/>
  <c r="A21" i="2"/>
  <c r="B19" i="2"/>
  <c r="C9" i="2"/>
  <c r="B9" i="2"/>
  <c r="A9" i="2"/>
  <c r="B7" i="2"/>
  <c r="J35" i="2" l="1"/>
  <c r="M35" i="2"/>
  <c r="J21" i="2" a="1"/>
  <c r="J21" i="2" s="1"/>
  <c r="N35" i="2"/>
  <c r="H23" i="2"/>
  <c r="P36" i="2"/>
  <c r="I35" i="2"/>
  <c r="H18" i="2"/>
  <c r="K23" i="2"/>
  <c r="J22" i="2" a="1"/>
  <c r="J22" i="2" s="1"/>
  <c r="J17" i="2" a="1"/>
  <c r="J17" i="2" s="1"/>
  <c r="I16" i="2"/>
  <c r="D9" i="2"/>
  <c r="D21" i="2"/>
  <c r="I36" i="2" l="1"/>
  <c r="M36" i="2"/>
  <c r="D18" i="2"/>
  <c r="D6" i="2"/>
  <c r="K21" i="2"/>
  <c r="L21" i="2" s="1"/>
  <c r="J16" i="2" a="1"/>
  <c r="J16" i="2" s="1"/>
  <c r="E9" i="2" l="1" a="1"/>
  <c r="E9" i="2" s="1"/>
  <c r="E21" i="2" a="1"/>
  <c r="E21" i="2" s="1"/>
  <c r="D5" i="2" a="1"/>
  <c r="D5" i="2" s="1"/>
  <c r="D7" i="2" s="1"/>
  <c r="D17" i="2" a="1"/>
  <c r="D17" i="2" s="1"/>
  <c r="D19" i="2" s="1"/>
  <c r="K16" i="2"/>
  <c r="L16" i="2" s="1"/>
  <c r="G26" i="2" s="1" a="1"/>
  <c r="G26" i="2" s="1"/>
  <c r="H26" i="2" s="1" a="1"/>
  <c r="H26"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Tzuri, Irmi</author>
  </authors>
  <commentList>
    <comment ref="A3" authorId="0" shapeId="0" xr:uid="{1F57799C-D7EB-D641-875E-5FA59E59FE61}">
      <text>
        <r>
          <rPr>
            <b/>
            <sz val="16"/>
            <color rgb="FF000000"/>
            <rFont val="Calibri"/>
            <family val="2"/>
            <scheme val="minor"/>
          </rPr>
          <t>Standard to Standard-IA check:</t>
        </r>
        <r>
          <rPr>
            <sz val="9"/>
            <color rgb="FF000000"/>
            <rFont val="Calibri"/>
            <family val="2"/>
            <scheme val="minor"/>
          </rPr>
          <t xml:space="preserve">
</t>
        </r>
        <r>
          <rPr>
            <sz val="16"/>
            <color rgb="FF000000"/>
            <rFont val="Calibri"/>
            <family val="2"/>
            <scheme val="minor"/>
          </rPr>
          <t>In case you table storage is under Standard table class, you can input your actual cost the get a recommnedation if switching to Standard-IA can save costs.</t>
        </r>
        <r>
          <rPr>
            <sz val="9"/>
            <color rgb="FF000000"/>
            <rFont val="Calibri"/>
            <family val="2"/>
            <scheme val="minor"/>
          </rPr>
          <t xml:space="preserve">
</t>
        </r>
      </text>
    </comment>
    <comment ref="G4" authorId="0" shapeId="0" xr:uid="{4013C9C5-8D13-5141-938C-0B3E3E9A2F6E}">
      <text>
        <r>
          <rPr>
            <b/>
            <sz val="10"/>
            <color rgb="FF000000"/>
            <rFont val="Calibri"/>
            <family val="2"/>
          </rPr>
          <t>Efficiency applicable for Provisioned Capacity only</t>
        </r>
        <r>
          <rPr>
            <sz val="10"/>
            <color rgb="FF000000"/>
            <rFont val="Calibri"/>
            <family val="2"/>
          </rPr>
          <t xml:space="preserve">
</t>
        </r>
      </text>
    </comment>
    <comment ref="I4" authorId="0" shapeId="0" xr:uid="{8BD38314-AE24-2B49-8CE9-A8F314EE4F6B}">
      <text>
        <r>
          <rPr>
            <b/>
            <sz val="14"/>
            <color rgb="FF000000"/>
            <rFont val="Calibri"/>
            <family val="2"/>
          </rPr>
          <t>Provisiond Capacity:</t>
        </r>
        <r>
          <rPr>
            <sz val="14"/>
            <color rgb="FF000000"/>
            <rFont val="Calibri"/>
            <family val="2"/>
          </rPr>
          <t xml:space="preserve">
</t>
        </r>
        <r>
          <rPr>
            <sz val="14"/>
            <color rgb="FF000000"/>
            <rFont val="Calibri"/>
            <family val="2"/>
          </rPr>
          <t xml:space="preserve">Your Auto Scaling target utilization (use 100% if AutoScaling is disabled)
</t>
        </r>
        <r>
          <rPr>
            <sz val="14"/>
            <color rgb="FF000000"/>
            <rFont val="Calibri"/>
            <family val="2"/>
          </rPr>
          <t xml:space="preserve">20%-90%.
</t>
        </r>
        <r>
          <rPr>
            <sz val="14"/>
            <color rgb="FF000000"/>
            <rFont val="Calibri"/>
            <family val="2"/>
          </rPr>
          <t xml:space="preserve">The default is 70%.
</t>
        </r>
        <r>
          <rPr>
            <sz val="14"/>
            <color rgb="FF000000"/>
            <rFont val="Calibri"/>
            <family val="2"/>
          </rPr>
          <t xml:space="preserve">For example, if you choose 70% of your total capacity, it will add a buffer of 30% of your throughput to handle spikes. This implies that if you select 70 strongly consistent reads per second, the calculation will assume 100 strongly consistent reads per second (100 RCUs). 
</t>
        </r>
        <r>
          <rPr>
            <sz val="14"/>
            <color rgb="FF000000"/>
            <rFont val="Calibri"/>
            <family val="2"/>
          </rPr>
          <t xml:space="preserve">The higher the percentage you choose, the lower your cost will be. 
</t>
        </r>
        <r>
          <rPr>
            <sz val="14"/>
            <color rgb="FF000000"/>
            <rFont val="Calibri"/>
            <family val="2"/>
          </rPr>
          <t xml:space="preserve">
</t>
        </r>
        <r>
          <rPr>
            <b/>
            <sz val="14"/>
            <color rgb="FF000000"/>
            <rFont val="Calibri"/>
            <family val="2"/>
          </rPr>
          <t>On-Demand:</t>
        </r>
        <r>
          <rPr>
            <sz val="14"/>
            <color rgb="FF000000"/>
            <rFont val="Calibri"/>
            <family val="2"/>
          </rPr>
          <t xml:space="preserve">
</t>
        </r>
        <r>
          <rPr>
            <sz val="14"/>
            <color rgb="FF000000"/>
            <rFont val="Calibri"/>
            <family val="2"/>
          </rPr>
          <t xml:space="preserve">The calculation determines the average percentage of the monthly capacity. For example, if you choose 50% and 100 strongly consistent reads per second, the calculation will assume you are requesting 50 requests per second for the entire month (50x3600cx730 = 131.4M requests per month).
</t>
        </r>
        <r>
          <rPr>
            <sz val="14"/>
            <color rgb="FF000000"/>
            <rFont val="Calibri"/>
            <family val="2"/>
          </rPr>
          <t xml:space="preserve">
</t>
        </r>
        <r>
          <rPr>
            <sz val="14"/>
            <color rgb="FF000000"/>
            <rFont val="Calibri"/>
            <family val="2"/>
          </rPr>
          <t xml:space="preserve">As a general rule, your utilization should be less than 18% of the provisioned capacity when using on-demand to save costs.
</t>
        </r>
        <r>
          <rPr>
            <sz val="14"/>
            <color rgb="FF000000"/>
            <rFont val="Calibri"/>
            <family val="2"/>
          </rPr>
          <t xml:space="preserve">
</t>
        </r>
        <r>
          <rPr>
            <sz val="14"/>
            <color rgb="FF000000"/>
            <rFont val="Calibri"/>
            <family val="2"/>
          </rPr>
          <t xml:space="preserve">The higher the percentage you choose, the higher your cost will be. 
</t>
        </r>
        <r>
          <rPr>
            <sz val="14"/>
            <color rgb="FF000000"/>
            <rFont val="Calibri"/>
            <family val="2"/>
          </rPr>
          <t> </t>
        </r>
      </text>
    </comment>
    <comment ref="A5" authorId="0" shapeId="0" xr:uid="{F3C1FABE-2867-C04A-94B1-4978140C08C0}">
      <text>
        <r>
          <rPr>
            <b/>
            <sz val="10"/>
            <color rgb="FF000000"/>
            <rFont val="Tahoma"/>
            <family val="2"/>
          </rPr>
          <t xml:space="preserve">Your table throughput cost </t>
        </r>
      </text>
    </comment>
    <comment ref="B5" authorId="0" shapeId="0" xr:uid="{50C2860F-849A-7547-A17F-56122BDE2409}">
      <text>
        <r>
          <rPr>
            <b/>
            <sz val="14"/>
            <color rgb="FF000000"/>
            <rFont val="Calibri"/>
            <family val="2"/>
            <scheme val="minor"/>
          </rPr>
          <t xml:space="preserve">Input: Your table Standard throughput cost
</t>
        </r>
        <r>
          <rPr>
            <sz val="14"/>
            <color rgb="FF000000"/>
            <rFont val="Calibri"/>
            <family val="2"/>
            <scheme val="minor"/>
          </rPr>
          <t xml:space="preserve">
</t>
        </r>
        <r>
          <rPr>
            <b/>
            <sz val="14"/>
            <color rgb="FF000000"/>
            <rFont val="Calibri"/>
            <family val="2"/>
            <scheme val="minor"/>
          </rPr>
          <t>You can either query your Cost and Usage Report (CUR) or run an estimation with the calculator on the right to get the numbers.</t>
        </r>
      </text>
    </comment>
    <comment ref="G5" authorId="0" shapeId="0" xr:uid="{58DCF44A-1EC9-9D4C-AFD2-EE5356DDE1CC}">
      <text>
        <r>
          <rPr>
            <sz val="10"/>
            <color rgb="FF000000"/>
            <rFont val="Tahoma"/>
            <family val="2"/>
          </rPr>
          <t xml:space="preserve">Select the region where the table is located. </t>
        </r>
      </text>
    </comment>
    <comment ref="I5" authorId="0" shapeId="0" xr:uid="{B949DFC9-F4E0-2E46-8EBC-5994C1758D0E}">
      <text>
        <r>
          <rPr>
            <b/>
            <sz val="10"/>
            <color rgb="FF000000"/>
            <rFont val="Tahoma"/>
            <family val="2"/>
          </rPr>
          <t>Tzuri, Irmi:</t>
        </r>
        <r>
          <rPr>
            <sz val="10"/>
            <color rgb="FF000000"/>
            <rFont val="Tahoma"/>
            <family val="2"/>
          </rPr>
          <t xml:space="preserve">
</t>
        </r>
      </text>
    </comment>
    <comment ref="B6" authorId="0" shapeId="0" xr:uid="{1AEED30D-C98B-0546-ACE1-D433DCFBCA1A}">
      <text>
        <r>
          <rPr>
            <sz val="9"/>
            <color rgb="FF000000"/>
            <rFont val="Tahoma"/>
            <family val="2"/>
          </rPr>
          <t xml:space="preserve">
</t>
        </r>
        <r>
          <rPr>
            <b/>
            <sz val="16"/>
            <color rgb="FF000000"/>
            <rFont val="Calibri"/>
            <family val="2"/>
            <scheme val="minor"/>
          </rPr>
          <t xml:space="preserve">Input: Your tablev Standard Storage cost. 
</t>
        </r>
        <r>
          <rPr>
            <sz val="9"/>
            <color rgb="FF000000"/>
            <rFont val="Calibri"/>
            <family val="2"/>
            <scheme val="minor"/>
          </rPr>
          <t xml:space="preserve">
</t>
        </r>
        <r>
          <rPr>
            <b/>
            <sz val="16"/>
            <color rgb="FF000000"/>
            <rFont val="Calibri"/>
            <family val="2"/>
            <scheme val="minor"/>
          </rPr>
          <t>You can either query your Cost and Usage Report (CUR) or run an estimation with the calculator on the right to get the numbers.</t>
        </r>
        <r>
          <rPr>
            <sz val="9"/>
            <color rgb="FF000000"/>
            <rFont val="Calibri"/>
            <family val="2"/>
            <scheme val="minor"/>
          </rPr>
          <t xml:space="preserve">
</t>
        </r>
      </text>
    </comment>
    <comment ref="G6" authorId="0" shapeId="0" xr:uid="{C2403FA3-C95C-3D48-BD05-82F7FE6E507E}">
      <text>
        <r>
          <rPr>
            <b/>
            <sz val="10"/>
            <color rgb="FF000000"/>
            <rFont val="Tahoma"/>
            <family val="2"/>
          </rPr>
          <t>Your aveage item size in KB.</t>
        </r>
      </text>
    </comment>
    <comment ref="H7" authorId="0" shapeId="0" xr:uid="{D53C6467-7430-1B4E-8C6F-1E5E1EC9BE22}">
      <text>
        <r>
          <rPr>
            <sz val="18"/>
            <color rgb="FF000000"/>
            <rFont val="Calibri"/>
            <family val="2"/>
          </rPr>
          <t xml:space="preserve">The sum of the percentage of eventual cosistancy, strong consistancy, and transaction reads </t>
        </r>
        <r>
          <rPr>
            <b/>
            <sz val="18"/>
            <color rgb="FFFF0000"/>
            <rFont val="Calibri"/>
            <family val="2"/>
          </rPr>
          <t xml:space="preserve">must be equal to 100%. </t>
        </r>
        <r>
          <rPr>
            <sz val="18"/>
            <color rgb="FFFF0000"/>
            <rFont val="Calibri"/>
            <family val="2"/>
          </rPr>
          <t xml:space="preserve">
</t>
        </r>
        <r>
          <rPr>
            <sz val="18"/>
            <color rgb="FF000000"/>
            <rFont val="Calibri"/>
            <family val="2"/>
          </rPr>
          <t>The default is 100% eventual consistency.</t>
        </r>
      </text>
    </comment>
    <comment ref="D8" authorId="0" shapeId="0" xr:uid="{2D06DF9A-565A-8740-8045-597F588491CC}">
      <text>
        <r>
          <rPr>
            <b/>
            <sz val="18"/>
            <color rgb="FF000000"/>
            <rFont val="Calibri"/>
            <family val="2"/>
            <scheme val="minor"/>
          </rPr>
          <t xml:space="preserve">Candidate to Standard-IA: </t>
        </r>
        <r>
          <rPr>
            <sz val="18"/>
            <color rgb="FF000000"/>
            <rFont val="Calibri"/>
            <family val="2"/>
            <scheme val="minor"/>
          </rPr>
          <t xml:space="preserve">Your potential saving is positive based on your input costs. We recommend switching your table class to Standard-IA.
</t>
        </r>
        <r>
          <rPr>
            <sz val="10"/>
            <color rgb="FF000000"/>
            <rFont val="Calibri"/>
            <family val="2"/>
            <scheme val="minor"/>
          </rPr>
          <t xml:space="preserve">
</t>
        </r>
        <r>
          <rPr>
            <b/>
            <sz val="18"/>
            <color rgb="FF000000"/>
            <rFont val="Calibri"/>
            <family val="2"/>
            <scheme val="minor"/>
          </rPr>
          <t xml:space="preserve">Optimized: </t>
        </r>
        <r>
          <rPr>
            <sz val="18"/>
            <color rgb="FF000000"/>
            <rFont val="Calibri"/>
            <family val="2"/>
            <scheme val="minor"/>
          </rPr>
          <t>Based on your input cost, the potential savings if you switch your table class to Standard-IA</t>
        </r>
        <r>
          <rPr>
            <sz val="18"/>
            <color rgb="FF000000"/>
            <rFont val="Calibri"/>
            <family val="2"/>
            <scheme val="minor"/>
          </rPr>
          <t xml:space="preserve"> </t>
        </r>
        <r>
          <rPr>
            <sz val="18"/>
            <color rgb="FF000000"/>
            <rFont val="Calibri"/>
            <family val="2"/>
            <scheme val="minor"/>
          </rPr>
          <t>are negative. This means your table storage and throughput costs are optimized with the Standard table class. </t>
        </r>
      </text>
    </comment>
    <comment ref="H8" authorId="0" shapeId="0" xr:uid="{AABC1ACC-E6D2-734A-BA95-85BD7CC2AA0B}">
      <text>
        <r>
          <rPr>
            <b/>
            <sz val="10"/>
            <color rgb="FF000000"/>
            <rFont val="Tahoma"/>
            <family val="2"/>
          </rPr>
          <t>% Envantually consistance reads</t>
        </r>
      </text>
    </comment>
    <comment ref="A9" authorId="0" shapeId="0" xr:uid="{57814C5B-8A7F-D646-8A9E-7B286547668B}">
      <text>
        <r>
          <rPr>
            <sz val="14"/>
            <color rgb="FF000000"/>
            <rFont val="Calibri"/>
            <family val="2"/>
            <scheme val="minor"/>
          </rPr>
          <t>If the ratio of [storage cost] / [throughput cost]  is greater</t>
        </r>
        <r>
          <rPr>
            <sz val="14"/>
            <color rgb="FF000000"/>
            <rFont val="Calibri"/>
            <family val="2"/>
            <scheme val="minor"/>
          </rPr>
          <t xml:space="preserve"> than</t>
        </r>
        <r>
          <rPr>
            <sz val="14"/>
            <color rgb="FF000000"/>
            <rFont val="Calibri"/>
            <family val="2"/>
            <scheme val="minor"/>
          </rPr>
          <t xml:space="preserve"> 42%, it means the table is a good candidate for Standard-IA.</t>
        </r>
      </text>
    </comment>
    <comment ref="H9" authorId="0" shapeId="0" xr:uid="{02872100-795F-3C43-82D4-C3B68E7FFCB8}">
      <text>
        <r>
          <rPr>
            <b/>
            <sz val="11"/>
            <color rgb="FF000000"/>
            <rFont val="Calibri"/>
            <family val="2"/>
          </rPr>
          <t xml:space="preserve"> % Strongly consistance reads Reads</t>
        </r>
      </text>
    </comment>
    <comment ref="H10" authorId="0" shapeId="0" xr:uid="{D1CD77ED-7646-2F48-AF53-A65BBF4820A0}">
      <text>
        <r>
          <rPr>
            <b/>
            <sz val="10"/>
            <color rgb="FF000000"/>
            <rFont val="Tahoma"/>
            <family val="2"/>
          </rPr>
          <t xml:space="preserve"> % Transactional Reads</t>
        </r>
      </text>
    </comment>
    <comment ref="I10" authorId="0" shapeId="0" xr:uid="{BFD09B51-CDA2-584E-9C7A-2DA12B5B268F}">
      <text>
        <r>
          <rPr>
            <b/>
            <sz val="10"/>
            <color rgb="FF000000"/>
            <rFont val="Tahoma"/>
            <family val="2"/>
          </rPr>
          <t xml:space="preserve">Transactional Writes: 0-100%
</t>
        </r>
        <r>
          <rPr>
            <sz val="10"/>
            <color rgb="FF000000"/>
            <rFont val="Tahoma"/>
            <family val="2"/>
          </rPr>
          <t xml:space="preserve">
</t>
        </r>
        <r>
          <rPr>
            <sz val="10"/>
            <color rgb="FF000000"/>
            <rFont val="Tahoma"/>
            <family val="2"/>
          </rPr>
          <t>if set to 0% means, 100% Regular writes</t>
        </r>
      </text>
    </comment>
    <comment ref="A15" authorId="0" shapeId="0" xr:uid="{C7F7F1AE-9B05-C74D-AABE-BAC630B786F9}">
      <text>
        <r>
          <rPr>
            <b/>
            <sz val="16"/>
            <color rgb="FF000000"/>
            <rFont val="Calibri"/>
            <family val="2"/>
            <scheme val="minor"/>
          </rPr>
          <t>Standard-IA to Standard check:</t>
        </r>
        <r>
          <rPr>
            <sz val="9"/>
            <color rgb="FF000000"/>
            <rFont val="Calibri"/>
            <family val="2"/>
            <scheme val="minor"/>
          </rPr>
          <t xml:space="preserve">
</t>
        </r>
        <r>
          <rPr>
            <sz val="16"/>
            <color rgb="FF000000"/>
            <rFont val="Calibri"/>
            <family val="2"/>
            <scheme val="minor"/>
          </rPr>
          <t>In case you table storage is under Standard-IA table class, you can input your actual cost the get a recommnedation if switching to Standard can save costs.</t>
        </r>
      </text>
    </comment>
    <comment ref="K16" authorId="0" shapeId="0" xr:uid="{45E780BA-0ED3-514E-9E0F-E30A7E40FE83}">
      <text>
        <r>
          <rPr>
            <b/>
            <sz val="12"/>
            <color rgb="FF000000"/>
            <rFont val="Tahoma"/>
            <family val="2"/>
          </rPr>
          <t>The estimated Throughput costs (Reads and Writes)</t>
        </r>
      </text>
    </comment>
    <comment ref="L16" authorId="0" shapeId="0" xr:uid="{0141C2A7-626A-9A48-A2FA-1866048C29AF}">
      <text>
        <r>
          <rPr>
            <b/>
            <sz val="12"/>
            <color rgb="FF000000"/>
            <rFont val="Tahoma"/>
            <family val="2"/>
          </rPr>
          <t>The total estimated Table costs (Throughput + Storage) on Standard table class</t>
        </r>
        <r>
          <rPr>
            <sz val="12"/>
            <color rgb="FF000000"/>
            <rFont val="Tahoma"/>
            <family val="2"/>
          </rPr>
          <t xml:space="preserve">
</t>
        </r>
      </text>
    </comment>
    <comment ref="B17" authorId="0" shapeId="0" xr:uid="{B8E6A785-3045-6B40-AEFA-855A85E841DB}">
      <text>
        <r>
          <rPr>
            <b/>
            <sz val="16"/>
            <color rgb="FF000000"/>
            <rFont val="Calibri"/>
            <family val="2"/>
            <scheme val="minor"/>
          </rPr>
          <t>Input: Your table Standard-IA</t>
        </r>
        <r>
          <rPr>
            <b/>
            <sz val="16"/>
            <color rgb="FF000000"/>
            <rFont val="Calibri"/>
            <family val="2"/>
            <scheme val="minor"/>
          </rPr>
          <t xml:space="preserve"> </t>
        </r>
        <r>
          <rPr>
            <b/>
            <sz val="16"/>
            <color rgb="FF000000"/>
            <rFont val="Calibri"/>
            <family val="2"/>
            <scheme val="minor"/>
          </rPr>
          <t xml:space="preserve">throughput cost
</t>
        </r>
        <r>
          <rPr>
            <sz val="9"/>
            <color rgb="FF000000"/>
            <rFont val="Calibri"/>
            <family val="2"/>
            <scheme val="minor"/>
          </rPr>
          <t xml:space="preserve">
</t>
        </r>
        <r>
          <rPr>
            <b/>
            <sz val="16"/>
            <color rgb="FF000000"/>
            <rFont val="Calibri"/>
            <family val="2"/>
            <scheme val="minor"/>
          </rPr>
          <t>You can either query your Cost and Usage Report (CUR) or run an estimation with the calculator on the right to get the numbers.</t>
        </r>
      </text>
    </comment>
    <comment ref="B18" authorId="0" shapeId="0" xr:uid="{6371EF4F-C5EA-E54A-8627-C9EEC60CE9FC}">
      <text>
        <r>
          <rPr>
            <sz val="9"/>
            <color rgb="FF000000"/>
            <rFont val="Calibri"/>
            <family val="2"/>
            <scheme val="minor"/>
          </rPr>
          <t xml:space="preserve">
</t>
        </r>
        <r>
          <rPr>
            <b/>
            <sz val="16"/>
            <color rgb="FF000000"/>
            <rFont val="Calibri"/>
            <family val="2"/>
            <scheme val="minor"/>
          </rPr>
          <t xml:space="preserve">Input: Your table Standard-IA Storage cost. </t>
        </r>
        <r>
          <rPr>
            <sz val="9"/>
            <color rgb="FF000000"/>
            <rFont val="Calibri"/>
            <family val="2"/>
            <scheme val="minor"/>
          </rPr>
          <t xml:space="preserve">
</t>
        </r>
        <r>
          <rPr>
            <b/>
            <sz val="16"/>
            <color rgb="FF000000"/>
            <rFont val="Calibri"/>
            <family val="2"/>
            <scheme val="minor"/>
          </rPr>
          <t>You can either query your Cost and Usage Report (CUR) or run an estimation with the calculator on the right to get the numbers.</t>
        </r>
        <r>
          <rPr>
            <sz val="9"/>
            <color rgb="FF000000"/>
            <rFont val="Calibri"/>
            <family val="2"/>
            <scheme val="minor"/>
          </rPr>
          <t xml:space="preserve">
</t>
        </r>
      </text>
    </comment>
    <comment ref="G18" authorId="0" shapeId="0" xr:uid="{E21EEEEE-C573-3043-8E98-52CD0B25AB9E}">
      <text>
        <r>
          <rPr>
            <sz val="10"/>
            <color rgb="FF000000"/>
            <rFont val="Tahoma"/>
            <family val="2"/>
          </rPr>
          <t>Including 25GB free tier. if less than 25GB the cost is 0$</t>
        </r>
      </text>
    </comment>
    <comment ref="K18" authorId="0" shapeId="0" xr:uid="{3C0FCC3E-40DF-D448-B7D1-07A2A81A766C}">
      <text>
        <r>
          <rPr>
            <b/>
            <sz val="12"/>
            <color rgb="FF000000"/>
            <rFont val="Calibri"/>
            <family val="2"/>
          </rPr>
          <t>The estimated Storage costs</t>
        </r>
        <r>
          <rPr>
            <sz val="7"/>
            <color rgb="FF000000"/>
            <rFont val="Calibri"/>
            <family val="2"/>
          </rPr>
          <t xml:space="preserve">
</t>
        </r>
      </text>
    </comment>
    <comment ref="D20" authorId="0" shapeId="0" xr:uid="{30A77378-A2B6-BC4B-B562-19AF984333BD}">
      <text>
        <r>
          <rPr>
            <b/>
            <sz val="14"/>
            <color rgb="FF000000"/>
            <rFont val="Calibri"/>
            <family val="2"/>
            <scheme val="minor"/>
          </rPr>
          <t xml:space="preserve">Candidate to Standard: </t>
        </r>
        <r>
          <rPr>
            <sz val="14"/>
            <color rgb="FF000000"/>
            <rFont val="Calibri"/>
            <family val="2"/>
            <scheme val="minor"/>
          </rPr>
          <t xml:space="preserve">Your potential saving is positive based on your input costs. We recommend switching your table class to Standard.
</t>
        </r>
        <r>
          <rPr>
            <sz val="14"/>
            <color rgb="FF000000"/>
            <rFont val="Calibri"/>
            <family val="2"/>
            <scheme val="minor"/>
          </rPr>
          <t xml:space="preserve">
</t>
        </r>
        <r>
          <rPr>
            <b/>
            <sz val="14"/>
            <color rgb="FF000000"/>
            <rFont val="Calibri"/>
            <family val="2"/>
            <scheme val="minor"/>
          </rPr>
          <t xml:space="preserve">Optimized: </t>
        </r>
        <r>
          <rPr>
            <sz val="14"/>
            <color rgb="FF000000"/>
            <rFont val="Calibri"/>
            <family val="2"/>
            <scheme val="minor"/>
          </rPr>
          <t xml:space="preserve">Based on your input cost, the potential savings if you switch your table class to Standard are negative. This means your table storage and throughput costs are optimized with the Standard-IA table class. 
</t>
        </r>
      </text>
    </comment>
    <comment ref="A21" authorId="0" shapeId="0" xr:uid="{76B5848C-3013-A24B-B0F7-4C703642F900}">
      <text>
        <r>
          <rPr>
            <sz val="14"/>
            <color rgb="FF000000"/>
            <rFont val="Calibri"/>
            <family val="2"/>
            <scheme val="minor"/>
          </rPr>
          <t>If the ratio of [storage cost] / [throughput cost] is less than 13%, it means the table is a good candidate for the standard table class.</t>
        </r>
      </text>
    </comment>
    <comment ref="K21" authorId="0" shapeId="0" xr:uid="{D4225D07-3EA5-6244-990D-FEDC763D32B9}">
      <text>
        <r>
          <rPr>
            <b/>
            <sz val="10"/>
            <color rgb="FF000000"/>
            <rFont val="Calibri"/>
            <family val="2"/>
          </rPr>
          <t>The estimated Throughput costs (Reads and Writes)</t>
        </r>
        <r>
          <rPr>
            <sz val="10"/>
            <color rgb="FF000000"/>
            <rFont val="Calibri"/>
            <family val="2"/>
          </rPr>
          <t xml:space="preserve">
</t>
        </r>
      </text>
    </comment>
    <comment ref="L21" authorId="0" shapeId="0" xr:uid="{4636590A-0BED-FF4A-811C-7B4F4BE78DD1}">
      <text>
        <r>
          <rPr>
            <b/>
            <sz val="14"/>
            <color rgb="FF000000"/>
            <rFont val="Calibri"/>
            <family val="2"/>
          </rPr>
          <t>The total estimated Table costs (Throughput + Storage) on Standard-IA table class</t>
        </r>
        <r>
          <rPr>
            <sz val="8"/>
            <color rgb="FF000000"/>
            <rFont val="Calibri"/>
            <family val="2"/>
          </rPr>
          <t xml:space="preserve">
</t>
        </r>
      </text>
    </comment>
    <comment ref="G23" authorId="0" shapeId="0" xr:uid="{6AAAA8F4-971B-AA42-B183-C284A9FCE413}">
      <text>
        <r>
          <rPr>
            <sz val="10"/>
            <color rgb="FF000000"/>
            <rFont val="Calibri"/>
            <family val="2"/>
          </rPr>
          <t xml:space="preserve">Including 25GB free tier. if less than 25GB the cost is 0$
</t>
        </r>
      </text>
    </comment>
    <comment ref="K23" authorId="0" shapeId="0" xr:uid="{E34B9220-774C-B740-B169-C6D51BE6AC60}">
      <text>
        <r>
          <rPr>
            <b/>
            <sz val="10"/>
            <color rgb="FF000000"/>
            <rFont val="Calibri"/>
            <family val="2"/>
          </rPr>
          <t>The estimated Storage costs</t>
        </r>
      </text>
    </comment>
    <comment ref="G25" authorId="0" shapeId="0" xr:uid="{1512747B-9B1E-4147-95E0-0B6F7D04759A}">
      <text>
        <r>
          <rPr>
            <sz val="14"/>
            <color rgb="FF000000"/>
            <rFont val="Calibri"/>
            <family val="2"/>
          </rPr>
          <t>The recommnended table class is determined by the total costs of both options (calculated above): STD and STD-IA</t>
        </r>
      </text>
    </comment>
    <comment ref="H25" authorId="0" shapeId="0" xr:uid="{B16EE421-C6F1-7041-B534-1D1FC89DE4BB}">
      <text>
        <r>
          <rPr>
            <b/>
            <sz val="18"/>
            <color rgb="FF000000"/>
            <rFont val="Calibri"/>
            <family val="2"/>
          </rPr>
          <t>There is a potential save if you are on Table Class X and move to Table Class Y.</t>
        </r>
        <r>
          <rPr>
            <sz val="18"/>
            <color rgb="FF000000"/>
            <rFont val="Calibri"/>
            <family val="2"/>
          </rPr>
          <t xml:space="preserve">
</t>
        </r>
        <r>
          <rPr>
            <sz val="18"/>
            <color rgb="FF000000"/>
            <rFont val="Calibri"/>
            <family val="2"/>
          </rPr>
          <t xml:space="preserve">For example:
</t>
        </r>
        <r>
          <rPr>
            <sz val="18"/>
            <color rgb="FF000000"/>
            <rFont val="Calibri"/>
            <family val="2"/>
          </rPr>
          <t xml:space="preserve">If the recommendation is "Candidate to Standard" and you are on "Standard IA," then the potential saving is applicable. But if you are already on "standard," that means you are in the right table class and don't need to switch.
</t>
        </r>
        <r>
          <rPr>
            <sz val="18"/>
            <color rgb="FF000000"/>
            <rFont val="Tahoma"/>
            <family val="2"/>
          </rPr>
          <t xml:space="preserve">. </t>
        </r>
      </text>
    </comment>
    <comment ref="G28" authorId="0" shapeId="0" xr:uid="{F44A818E-6306-DA47-A8CA-A46937E9D1C2}">
      <text>
        <r>
          <rPr>
            <b/>
            <sz val="10"/>
            <color rgb="FF000000"/>
            <rFont val="Tahoma"/>
            <family val="2"/>
          </rPr>
          <t xml:space="preserve">Public Pricing ($) as of June 2024
</t>
        </r>
        <r>
          <rPr>
            <b/>
            <sz val="10"/>
            <color rgb="FF000000"/>
            <rFont val="Tahoma"/>
            <family val="2"/>
          </rPr>
          <t>*note prices may change over time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<sst xmlns="http://schemas.openxmlformats.org/spreadsheetml/2006/main" count="272" uniqueCount="210">
  <si>
    <t>Actual Storage</t>
  </si>
  <si>
    <t xml:space="preserve">Recommendation </t>
  </si>
  <si>
    <t>Decision Ratio (Storage/RW)</t>
  </si>
  <si>
    <t>~42% of R/W Cost</t>
  </si>
  <si>
    <t>Decision Ratio (RW/Storage)</t>
  </si>
  <si>
    <t>If the actual storage cost is greater than 42% of the throughput cost, then it is recommended to use Standard IA </t>
  </si>
  <si>
    <t>If the actual storage cost is less than 13% of the actual throughput cost, then it is recommended to use Standard</t>
  </si>
  <si>
    <t>Actual Read/Write Cost:</t>
  </si>
  <si>
    <t>Actual Storage Cost:</t>
  </si>
  <si>
    <t>Standard (Input)</t>
  </si>
  <si>
    <t>Standard-IA</t>
  </si>
  <si>
    <t>Potential Save</t>
  </si>
  <si>
    <t>Standard</t>
  </si>
  <si>
    <t>Standard-IA (Input)</t>
  </si>
  <si>
    <t>Switch from Standard to Standard-IA Check</t>
  </si>
  <si>
    <t>Switch From Standard-IA to Standard Check</t>
  </si>
  <si>
    <r>
      <rPr>
        <sz val="8"/>
        <color rgb="FF548235"/>
        <rFont val="Calibri (Body)"/>
      </rPr>
      <t>Green</t>
    </r>
    <r>
      <rPr>
        <sz val="8"/>
        <color theme="0" tint="-0.249977111117893"/>
        <rFont val="Calibri"/>
        <family val="2"/>
        <scheme val="minor"/>
      </rPr>
      <t xml:space="preserve"> values can be changed to adjust the cost model</t>
    </r>
  </si>
  <si>
    <t>Move to Standard-IA Rule:</t>
  </si>
  <si>
    <t>Move to Standard Rule:</t>
  </si>
  <si>
    <t>Total Cost:</t>
  </si>
  <si>
    <t>TotalCost:</t>
  </si>
  <si>
    <t>Actual Storage-IA</t>
  </si>
  <si>
    <t>~13% of R/W Cost - IA</t>
  </si>
  <si>
    <t># aws_region</t>
  </si>
  <si>
    <t>country_code</t>
  </si>
  <si>
    <t>region_code</t>
  </si>
  <si>
    <t>city</t>
  </si>
  <si>
    <t>ZA</t>
  </si>
  <si>
    <t>af-south-1</t>
  </si>
  <si>
    <t>ZA-WC</t>
  </si>
  <si>
    <t>ap-east-1</t>
  </si>
  <si>
    <t>HK</t>
  </si>
  <si>
    <t>CN-HK</t>
  </si>
  <si>
    <t>ap-northeast-1</t>
  </si>
  <si>
    <t>JP</t>
  </si>
  <si>
    <t>JP-13</t>
  </si>
  <si>
    <t>ap-northeast-2</t>
  </si>
  <si>
    <t>KR</t>
  </si>
  <si>
    <t>KR-11</t>
  </si>
  <si>
    <t>ap-northeast-3</t>
  </si>
  <si>
    <t>IN</t>
  </si>
  <si>
    <t>IN-MH</t>
  </si>
  <si>
    <t>ap-south-1</t>
  </si>
  <si>
    <t>ap-south-2</t>
  </si>
  <si>
    <t>IN-TG</t>
  </si>
  <si>
    <t>SG</t>
  </si>
  <si>
    <t>SG-01</t>
  </si>
  <si>
    <t>ap-southeast-1</t>
  </si>
  <si>
    <t>ap-southeast-2</t>
  </si>
  <si>
    <t>AU</t>
  </si>
  <si>
    <t>AU-NSW</t>
  </si>
  <si>
    <t>ap-southeast-3</t>
  </si>
  <si>
    <t>ID</t>
  </si>
  <si>
    <t>ID-JK</t>
  </si>
  <si>
    <t>ap-southeast-4</t>
  </si>
  <si>
    <t>AU-VIC</t>
  </si>
  <si>
    <t>ca-central-1</t>
  </si>
  <si>
    <t>CA</t>
  </si>
  <si>
    <t>CA-QC</t>
  </si>
  <si>
    <t>ca-west-1</t>
  </si>
  <si>
    <t>CA-AB</t>
  </si>
  <si>
    <t>DE</t>
  </si>
  <si>
    <t>eu-central-1</t>
  </si>
  <si>
    <t>DE-HE</t>
  </si>
  <si>
    <t>eu-central-2</t>
  </si>
  <si>
    <t>CH</t>
  </si>
  <si>
    <t>CH-ZH</t>
  </si>
  <si>
    <t>eu-north-1</t>
  </si>
  <si>
    <t>SE</t>
  </si>
  <si>
    <t>SE-AB</t>
  </si>
  <si>
    <t>eu-south-1</t>
  </si>
  <si>
    <t>IT</t>
  </si>
  <si>
    <t>IT-25</t>
  </si>
  <si>
    <t>eu-south-2</t>
  </si>
  <si>
    <t>ES</t>
  </si>
  <si>
    <t>ES-MD</t>
  </si>
  <si>
    <t>eu-west-1</t>
  </si>
  <si>
    <t>IE</t>
  </si>
  <si>
    <t>IE-L</t>
  </si>
  <si>
    <t>eu-west-2</t>
  </si>
  <si>
    <t>GB</t>
  </si>
  <si>
    <t>GB-LND</t>
  </si>
  <si>
    <t>eu-west-3</t>
  </si>
  <si>
    <t>FR</t>
  </si>
  <si>
    <t>FR-IDF</t>
  </si>
  <si>
    <t>il-central-1</t>
  </si>
  <si>
    <t>IL</t>
  </si>
  <si>
    <t>IL-TA</t>
  </si>
  <si>
    <t>me-central-1</t>
  </si>
  <si>
    <t>AE</t>
  </si>
  <si>
    <t>AE-DU</t>
  </si>
  <si>
    <t>me-south-1</t>
  </si>
  <si>
    <t>BH</t>
  </si>
  <si>
    <t>sa-east-1</t>
  </si>
  <si>
    <t>BR</t>
  </si>
  <si>
    <t>BR-SP</t>
  </si>
  <si>
    <t>US</t>
  </si>
  <si>
    <t>US-VA</t>
  </si>
  <si>
    <t>us-east-1</t>
  </si>
  <si>
    <t>US-OH</t>
  </si>
  <si>
    <t>us-east-2</t>
  </si>
  <si>
    <t>us-gov-east-1</t>
  </si>
  <si>
    <t>us-gov-west-1</t>
  </si>
  <si>
    <t>US-OR</t>
  </si>
  <si>
    <t>us-west-1</t>
  </si>
  <si>
    <t>US-CA</t>
  </si>
  <si>
    <t>us-west-2</t>
  </si>
  <si>
    <t>Provisioned - WCU</t>
  </si>
  <si>
    <t>Provisioned_IA- WCU</t>
  </si>
  <si>
    <t>OD_RRU</t>
  </si>
  <si>
    <t>OD_WRU</t>
  </si>
  <si>
    <t>Standard_IA</t>
  </si>
  <si>
    <t>OD_IA_RRU</t>
  </si>
  <si>
    <t>OD_IA_WRU</t>
  </si>
  <si>
    <t>Provisioned - RCU</t>
  </si>
  <si>
    <t>Provisioned_IA- RCU</t>
  </si>
  <si>
    <t>Provisioned capacity</t>
  </si>
  <si>
    <t>On Demand</t>
  </si>
  <si>
    <t>Write (%)</t>
  </si>
  <si>
    <t>Cost ($) - Month</t>
  </si>
  <si>
    <t>Total Cost ($) -Month</t>
  </si>
  <si>
    <t>Estimate your Throughput and Storage Cost</t>
  </si>
  <si>
    <t>Read (%) = SUM 100%</t>
  </si>
  <si>
    <t xml:space="preserve">Standard IA </t>
  </si>
  <si>
    <t xml:space="preserve">Standard </t>
  </si>
  <si>
    <t>Calc OD_TP_Price</t>
  </si>
  <si>
    <t>Precentage of Eventually Cosistency:</t>
  </si>
  <si>
    <t>Precentage of Strongly Consistance:</t>
  </si>
  <si>
    <t>Reads per seconds:</t>
  </si>
  <si>
    <t>Writes per second:</t>
  </si>
  <si>
    <t>Storage Size (GB-Month):</t>
  </si>
  <si>
    <t>Average Item Size (KB):</t>
  </si>
  <si>
    <t>Calc TP Price Ratio</t>
  </si>
  <si>
    <t>Storage Cost:</t>
  </si>
  <si>
    <t>Region (select):</t>
  </si>
  <si>
    <t>Capacity Mode (select) / Efficiency:</t>
  </si>
  <si>
    <t>Precentage of Transctional R/W:</t>
  </si>
  <si>
    <t>US East (N. Virginia)</t>
  </si>
  <si>
    <t>Europe (Ireland)</t>
  </si>
  <si>
    <t>US West (N. California)</t>
  </si>
  <si>
    <t>Asia Pacific (Singapore)</t>
  </si>
  <si>
    <t>Asia Pacific (Tokyo)</t>
  </si>
  <si>
    <t>AWS GovCloud (US-West)</t>
  </si>
  <si>
    <t>US West (Oregon)</t>
  </si>
  <si>
    <t>South America (Sao Paulo)</t>
  </si>
  <si>
    <t>Asia Pacific (Sydney)</t>
  </si>
  <si>
    <t>Europe (Frankfurt)</t>
  </si>
  <si>
    <t>Asia Pacific (Seoul)</t>
  </si>
  <si>
    <t>Asia Pacific (Mumbai)</t>
  </si>
  <si>
    <t>US East (Ohio)</t>
  </si>
  <si>
    <t>Canada (Central)</t>
  </si>
  <si>
    <t>Europe (London)</t>
  </si>
  <si>
    <t>Europe (Paris)</t>
  </si>
  <si>
    <t>Asia Pacific (Osaka)</t>
  </si>
  <si>
    <t>AWS GovCloud (US-East)</t>
  </si>
  <si>
    <t>Europe (Stockholm)</t>
  </si>
  <si>
    <t>Asia Pacific (Hong Kong)</t>
  </si>
  <si>
    <t>Middle East (Bahrain)</t>
  </si>
  <si>
    <t>Europe (Milan)</t>
  </si>
  <si>
    <t>Africa (Cape Town)</t>
  </si>
  <si>
    <t>Asia Pacific (Jakarta)</t>
  </si>
  <si>
    <t>Middle East (UAE)</t>
  </si>
  <si>
    <t>Europe (Zurich)</t>
  </si>
  <si>
    <t>Europe (Spain)</t>
  </si>
  <si>
    <t>Asia Pacific (Hyderabad)</t>
  </si>
  <si>
    <t>Asia Pacific (Melbourne)</t>
  </si>
  <si>
    <t>Israel (Tel Aviv)</t>
  </si>
  <si>
    <t>Canada West (Calgary)</t>
  </si>
  <si>
    <t>Public Pricing ($):</t>
  </si>
  <si>
    <t xml:space="preserve">Grant Total ($) </t>
  </si>
  <si>
    <t>RatioStorage</t>
  </si>
  <si>
    <t>Ratio_P_WCU</t>
  </si>
  <si>
    <t>Ratio_P_RCU</t>
  </si>
  <si>
    <t>RationOD_WCU</t>
  </si>
  <si>
    <t>RatioOD_RCU</t>
  </si>
  <si>
    <r>
      <t xml:space="preserve">DynamoDB Cost Template
</t>
    </r>
    <r>
      <rPr>
        <sz val="11"/>
        <color theme="0"/>
        <rFont val="Calibri (Body)"/>
      </rPr>
      <t>Prices in us-east-1</t>
    </r>
  </si>
  <si>
    <t>RCU</t>
  </si>
  <si>
    <t>WCU</t>
  </si>
  <si>
    <t>Storage</t>
  </si>
  <si>
    <t>Unit size (KB) for reference</t>
  </si>
  <si>
    <t xml:space="preserve">On Demand price per each unit consumed </t>
  </si>
  <si>
    <t xml:space="preserve">Provisioned hourly pricing for a level of 1 Unit per second </t>
  </si>
  <si>
    <t xml:space="preserve">Storage Costs per GB-hr </t>
  </si>
  <si>
    <t xml:space="preserve">Time unit </t>
  </si>
  <si>
    <t>Month</t>
  </si>
  <si>
    <t xml:space="preserve">Time unit Qty </t>
  </si>
  <si>
    <t xml:space="preserve">Provisioning Efficiency % </t>
  </si>
  <si>
    <t>Global Table?</t>
  </si>
  <si>
    <t>No</t>
  </si>
  <si>
    <t xml:space="preserve"> On Demand mode</t>
  </si>
  <si>
    <t xml:space="preserve"> Provisioned mode</t>
  </si>
  <si>
    <t xml:space="preserve"> Storage</t>
  </si>
  <si>
    <t>Average read units per second</t>
  </si>
  <si>
    <t>Read cost:</t>
  </si>
  <si>
    <t>Average write units per second</t>
  </si>
  <si>
    <t>Write cost:</t>
  </si>
  <si>
    <t>Table size in GB</t>
  </si>
  <si>
    <t>Storage cost:</t>
  </si>
  <si>
    <t>Green values can be changed to adjust the cost model</t>
  </si>
  <si>
    <t>DynamoDB capacity is either On Demand or Provisioned. This model shows you the cost of each, and assumes you would need to over provision somewhat, resulting in less than 100% provisioning efficiency.</t>
  </si>
  <si>
    <t>**Note: Global Tables simplifies prices to 2x storage and 3x write costs compared to the single region table</t>
  </si>
  <si>
    <t>Time Unit List</t>
  </si>
  <si>
    <t>Global Tables</t>
  </si>
  <si>
    <t>Hour</t>
  </si>
  <si>
    <t>Day</t>
  </si>
  <si>
    <t>Yes, 2 regions</t>
  </si>
  <si>
    <t>Year</t>
  </si>
  <si>
    <t>Actual Read/Write Cost($):</t>
  </si>
  <si>
    <t>Actual Storage Cost($):</t>
  </si>
  <si>
    <t>TotalCost($):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</si>
</sst>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_([$$-409]* #,##0_);_([$$-409]* \(#,##0\);_([$$-409]* &quot;-&quot;??_);_(@_)"/>
    <numFmt numFmtId="165" formatCode="_([$$-409]* #,##0.0_);_([$$-409]* \(#,##0.0\);_([$$-409]* &quot;-&quot;??_);_(@_)"/>
    <numFmt numFmtId="166" formatCode="&quot;$&quot;#,##0"/>
    <numFmt numFmtId="167" formatCode="_(* #,##0_);_(* \(#,##0\);_(* &quot;-&quot;??_);_(@_)"/>
    <numFmt numFmtId="168" formatCode="0.0000000"/>
    <numFmt numFmtId="169" formatCode="0.00000"/>
    <numFmt numFmtId="170" formatCode="0.0000"/>
    <numFmt numFmtId="171" formatCode="&quot;$&quot;#,##0.00000000"/>
    <numFmt numFmtId="172" formatCode="&quot;$&quot;#,##0.00000"/>
    <numFmt numFmtId="173" formatCode="&quot;$&quot;#,##0.00"/>
  </numFmts>
  <fonts count="58" x14ac:knownFonts="1">
    <font>
      <sz val="12"/>
      <color theme="1"/>
      <name val="Calibri"/>
      <family val="2"/>
      <scheme val="minor"/>
    </font>
    <font>
      <sz val="12"/>
      <color rgb="FFFF0000"/>
      <name val="Calibri"/>
      <family val="2"/>
      <scheme val="minor"/>
    </font>
    <font>
      <sz val="15"/>
      <color rgb="FFFF0000"/>
      <name val="Arial"/>
      <family val="2"/>
    </font>
    <font>
      <sz val="12"/>
      <color theme="1"/>
      <name val="Calibri"/>
      <family val="2"/>
      <scheme val="minor"/>
    </font>
    <font>
      <sz val="16"/>
      <color theme="1"/>
      <name val="Calibri"/>
      <family val="2"/>
      <scheme val="minor"/>
    </font>
    <font>
      <sz val="16"/>
      <color theme="0"/>
      <name val="Calibri"/>
      <family val="2"/>
      <scheme val="minor"/>
    </font>
    <font>
      <sz val="10"/>
      <color theme="0" tint="-0.249977111117893"/>
      <name val="Calibri"/>
      <family val="2"/>
      <scheme val="minor"/>
    </font>
    <font>
      <sz val="12"/>
      <color theme="0" tint="-0.249977111117893"/>
      <name val="Calibri"/>
      <family val="2"/>
      <scheme val="minor"/>
    </font>
    <font>
      <b/>
      <sz val="8"/>
      <color theme="9"/>
      <name val="Calibri"/>
      <family val="2"/>
      <scheme val="minor"/>
    </font>
    <font>
      <sz val="8"/>
      <color rgb="FF548235"/>
      <name val="Calibri (Body)"/>
    </font>
    <font>
      <sz val="8"/>
      <color theme="0" tint="-0.249977111117893"/>
      <name val="Calibri"/>
      <family val="2"/>
      <scheme val="minor"/>
    </font>
    <font>
      <b/>
      <sz val="16"/>
      <color theme="1"/>
      <name val="Calibri"/>
      <family val="2"/>
      <scheme val="minor"/>
    </font>
    <font>
      <i/>
      <sz val="14"/>
      <color theme="1"/>
      <name val="Calibri"/>
      <family val="2"/>
      <scheme val="minor"/>
    </font>
    <font>
      <sz val="14"/>
      <color theme="1" tint="0.34998626667073579"/>
      <name val="Calibri"/>
      <family val="2"/>
      <scheme val="minor"/>
    </font>
    <font>
      <b/>
      <sz val="22"/>
      <color rgb="FF70AD47"/>
      <name val="Calibri"/>
      <family val="2"/>
      <scheme val="minor"/>
    </font>
    <font>
      <b/>
      <sz val="12"/>
      <color theme="0"/>
      <name val="Calibri"/>
      <family val="2"/>
      <scheme val="minor"/>
    </font>
    <font>
      <sz val="8"/>
      <name val="Calibri"/>
      <family val="2"/>
      <scheme val="minor"/>
    </font>
    <font>
      <sz val="14"/>
      <color rgb="FF333333"/>
      <name val="Helvetica Neue"/>
      <family val="2"/>
    </font>
    <font>
      <b/>
      <sz val="14"/>
      <color rgb="FF333333"/>
      <name val="Helvetica Neue"/>
      <family val="2"/>
    </font>
    <font>
      <b/>
      <sz val="12"/>
      <color rgb="FFFFFFFF"/>
      <name val="Calibri"/>
      <family val="2"/>
      <scheme val="minor"/>
    </font>
    <font>
      <sz val="14"/>
      <color theme="2" tint="-0.749992370372631"/>
      <name val="Calibri"/>
      <family val="2"/>
      <scheme val="minor"/>
    </font>
    <font>
      <sz val="10"/>
      <color rgb="FF000000"/>
      <name val="Tahoma"/>
      <family val="2"/>
    </font>
    <font>
      <b/>
      <sz val="10"/>
      <color rgb="FF000000"/>
      <name val="Tahoma"/>
      <family val="2"/>
    </font>
    <font>
      <sz val="10"/>
      <color rgb="FF000000"/>
      <name val="Calibri"/>
      <family val="2"/>
      <scheme val="minor"/>
    </font>
    <font>
      <sz val="10"/>
      <color rgb="FF000000"/>
      <name val="Calibri"/>
      <family val="2"/>
    </font>
    <font>
      <b/>
      <sz val="12"/>
      <color rgb="FF000000"/>
      <name val="Tahoma"/>
      <family val="2"/>
    </font>
    <font>
      <b/>
      <sz val="14"/>
      <color rgb="FF000000"/>
      <name val="Calibri"/>
      <family val="2"/>
      <scheme val="minor"/>
    </font>
    <font>
      <sz val="12"/>
      <color rgb="FF000000"/>
      <name val="Tahoma"/>
      <family val="2"/>
    </font>
    <font>
      <b/>
      <sz val="10"/>
      <color rgb="FF000000"/>
      <name val="Calibri"/>
      <family val="2"/>
    </font>
    <font>
      <b/>
      <sz val="12"/>
      <color theme="1"/>
      <name val="Calibri"/>
      <family val="2"/>
      <scheme val="minor"/>
    </font>
    <font>
      <sz val="12"/>
      <color theme="0"/>
      <name val="Calibri"/>
      <family val="2"/>
      <scheme val="minor"/>
    </font>
    <font>
      <b/>
      <sz val="18"/>
      <color rgb="FF000000"/>
      <name val="Calibri"/>
      <family val="2"/>
      <scheme val="minor"/>
    </font>
    <font>
      <sz val="18"/>
      <color rgb="FF000000"/>
      <name val="Calibri"/>
      <family val="2"/>
      <scheme val="minor"/>
    </font>
    <font>
      <b/>
      <sz val="16"/>
      <color rgb="FF000000"/>
      <name val="Calibri"/>
      <family val="2"/>
      <scheme val="minor"/>
    </font>
    <font>
      <sz val="9"/>
      <color rgb="FF000000"/>
      <name val="Calibri"/>
      <family val="2"/>
      <scheme val="minor"/>
    </font>
    <font>
      <sz val="16"/>
      <color rgb="FF000000"/>
      <name val="Calibri"/>
      <family val="2"/>
      <scheme val="minor"/>
    </font>
    <font>
      <sz val="14"/>
      <color rgb="FF000000"/>
      <name val="Calibri"/>
      <family val="2"/>
      <scheme val="minor"/>
    </font>
    <font>
      <sz val="9"/>
      <color rgb="FF000000"/>
      <name val="Tahoma"/>
      <family val="2"/>
    </font>
    <font>
      <b/>
      <sz val="11"/>
      <color rgb="FF000000"/>
      <name val="Calibri"/>
      <family val="2"/>
    </font>
    <font>
      <b/>
      <sz val="12"/>
      <color rgb="FF000000"/>
      <name val="Calibri"/>
      <family val="2"/>
    </font>
    <font>
      <b/>
      <sz val="18"/>
      <color rgb="FF000000"/>
      <name val="Calibri"/>
      <family val="2"/>
    </font>
    <font>
      <sz val="18"/>
      <color rgb="FF000000"/>
      <name val="Calibri"/>
      <family val="2"/>
    </font>
    <font>
      <sz val="18"/>
      <color rgb="FF000000"/>
      <name val="Tahoma"/>
      <family val="2"/>
    </font>
    <font>
      <sz val="14"/>
      <color rgb="FF000000"/>
      <name val="Calibri"/>
      <family val="2"/>
    </font>
    <font>
      <sz val="7"/>
      <color rgb="FF000000"/>
      <name val="Calibri"/>
      <family val="2"/>
    </font>
    <font>
      <b/>
      <sz val="14"/>
      <color rgb="FF000000"/>
      <name val="Calibri"/>
      <family val="2"/>
    </font>
    <font>
      <sz val="11"/>
      <color theme="0"/>
      <name val="Calibri (Body)"/>
    </font>
    <font>
      <sz val="11"/>
      <color theme="1"/>
      <name val="Calibri"/>
      <family val="2"/>
      <scheme val="minor"/>
    </font>
    <font>
      <b/>
      <sz val="14"/>
      <color theme="0" tint="-0.499984740745262"/>
      <name val="Calibri"/>
      <family val="2"/>
      <scheme val="minor"/>
    </font>
    <font>
      <b/>
      <sz val="12"/>
      <color theme="9" tint="-0.249977111117893"/>
      <name val="Calibri"/>
      <family val="2"/>
      <scheme val="minor"/>
    </font>
    <font>
      <sz val="12"/>
      <color theme="1" tint="0.34998626667073579"/>
      <name val="Calibri"/>
      <family val="2"/>
      <scheme val="minor"/>
    </font>
    <font>
      <i/>
      <sz val="12"/>
      <color theme="1"/>
      <name val="Calibri"/>
      <family val="2"/>
      <scheme val="minor"/>
    </font>
    <font>
      <b/>
      <sz val="16"/>
      <color theme="9"/>
      <name val="Calibri"/>
      <family val="2"/>
      <scheme val="minor"/>
    </font>
    <font>
      <sz val="11"/>
      <color theme="1" tint="0.34998626667073579"/>
      <name val="Calibri"/>
      <family val="2"/>
      <scheme val="minor"/>
    </font>
    <font>
      <sz val="8"/>
      <color rgb="FF000000"/>
      <name val="Calibri"/>
      <family val="2"/>
    </font>
    <font>
      <b/>
      <sz val="22"/>
      <color theme="9"/>
      <name val="Calibri"/>
      <family val="2"/>
      <scheme val="minor"/>
    </font>
    <font>
      <b/>
      <sz val="18"/>
      <color rgb="FFFF0000"/>
      <name val="Calibri"/>
      <family val="2"/>
    </font>
    <font>
      <sz val="18"/>
      <color rgb="FFFF0000"/>
      <name val="Calibri"/>
      <family val="2"/>
    </font>
  </fonts>
  <fills count="12">
    <fill>
      <patternFill patternType="none"/>
    </fill>
    <fill>
      <patternFill patternType="gray125"/>
    </fill>
    <fill>
      <patternFill patternType="solid">
        <fgColor theme="9" tint="0.79998168889431442"/>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rgb="FFBFBFBF"/>
        <bgColor indexed="64"/>
      </patternFill>
    </fill>
    <fill>
      <patternFill patternType="solid">
        <fgColor rgb="FFE2EFDA"/>
        <bgColor indexed="64"/>
      </patternFill>
    </fill>
    <fill>
      <patternFill patternType="solid">
        <fgColor theme="0"/>
        <bgColor indexed="64"/>
      </patternFill>
    </fill>
    <fill>
      <patternFill patternType="solid">
        <fgColor theme="2" tint="-0.249977111117893"/>
        <bgColor indexed="64"/>
      </patternFill>
    </fill>
    <fill>
      <patternFill patternType="solid">
        <fgColor theme="2" tint="-0.499984740745262"/>
        <bgColor theme="4"/>
      </patternFill>
    </fill>
    <fill>
      <patternFill patternType="solid">
        <fgColor theme="2" tint="-0.499984740745262"/>
        <bgColor rgb="FF4472C4"/>
      </patternFill>
    </fill>
  </fills>
  <borders count="92">
    <border>
      <left/>
      <right/>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right style="thin">
        <color indexed="64"/>
      </right>
      <top style="medium">
        <color indexed="64"/>
      </top>
      <bottom/>
      <diagonal/>
    </border>
    <border>
      <left style="medium">
        <color rgb="FF548235"/>
      </left>
      <right/>
      <top style="medium">
        <color indexed="64"/>
      </top>
      <bottom/>
      <diagonal/>
    </border>
    <border>
      <left/>
      <right style="medium">
        <color rgb="FF548235"/>
      </right>
      <top style="medium">
        <color indexed="64"/>
      </top>
      <bottom/>
      <diagonal/>
    </border>
    <border>
      <left style="medium">
        <color rgb="FF548235"/>
      </left>
      <right/>
      <top/>
      <bottom style="medium">
        <color rgb="FF548235"/>
      </bottom>
      <diagonal/>
    </border>
    <border>
      <left/>
      <right style="medium">
        <color rgb="FF548235"/>
      </right>
      <top/>
      <bottom style="medium">
        <color rgb="FF548235"/>
      </bottom>
      <diagonal/>
    </border>
    <border>
      <left style="medium">
        <color rgb="FF548235"/>
      </left>
      <right/>
      <top style="medium">
        <color rgb="FF548235"/>
      </top>
      <bottom/>
      <diagonal/>
    </border>
    <border>
      <left/>
      <right style="medium">
        <color rgb="FF548235"/>
      </right>
      <top style="medium">
        <color rgb="FF548235"/>
      </top>
      <bottom/>
      <diagonal/>
    </border>
    <border>
      <left/>
      <right/>
      <top style="medium">
        <color rgb="FF548235"/>
      </top>
      <bottom/>
      <diagonal/>
    </border>
    <border>
      <left/>
      <right style="medium">
        <color rgb="FF548235"/>
      </right>
      <top style="medium">
        <color indexed="64"/>
      </top>
      <bottom style="medium">
        <color indexed="64"/>
      </bottom>
      <diagonal/>
    </border>
    <border>
      <left style="medium">
        <color rgb="FF548235"/>
      </left>
      <right/>
      <top/>
      <bottom/>
      <diagonal/>
    </border>
    <border>
      <left/>
      <right style="medium">
        <color rgb="FF548235"/>
      </right>
      <top style="thin">
        <color rgb="FF548235"/>
      </top>
      <bottom style="thin">
        <color rgb="FF548235"/>
      </bottom>
      <diagonal/>
    </border>
    <border>
      <left style="medium">
        <color rgb="FF548235"/>
      </left>
      <right/>
      <top/>
      <bottom style="medium">
        <color indexed="64"/>
      </bottom>
      <diagonal/>
    </border>
    <border>
      <left/>
      <right style="medium">
        <color rgb="FF548235"/>
      </right>
      <top style="thin">
        <color rgb="FF548235"/>
      </top>
      <bottom style="medium">
        <color indexed="64"/>
      </bottom>
      <diagonal/>
    </border>
    <border>
      <left style="medium">
        <color indexed="64"/>
      </left>
      <right/>
      <top/>
      <bottom style="medium">
        <color rgb="FF548235"/>
      </bottom>
      <diagonal/>
    </border>
    <border>
      <left/>
      <right style="medium">
        <color indexed="64"/>
      </right>
      <top/>
      <bottom style="medium">
        <color rgb="FF548235"/>
      </bottom>
      <diagonal/>
    </border>
    <border>
      <left style="thin">
        <color indexed="64"/>
      </left>
      <right style="medium">
        <color rgb="FF548235"/>
      </right>
      <top style="medium">
        <color indexed="64"/>
      </top>
      <bottom/>
      <diagonal/>
    </border>
    <border>
      <left/>
      <right style="medium">
        <color rgb="FF548235"/>
      </right>
      <top/>
      <bottom/>
      <diagonal/>
    </border>
    <border>
      <left/>
      <right style="medium">
        <color rgb="FF548235"/>
      </right>
      <top style="medium">
        <color indexed="64"/>
      </top>
      <bottom style="thin">
        <color rgb="FF548235"/>
      </bottom>
      <diagonal/>
    </border>
    <border>
      <left/>
      <right/>
      <top style="medium">
        <color indexed="64"/>
      </top>
      <bottom style="thin">
        <color rgb="FF548235"/>
      </bottom>
      <diagonal/>
    </border>
    <border>
      <left/>
      <right/>
      <top style="thin">
        <color rgb="FF548235"/>
      </top>
      <bottom style="thin">
        <color rgb="FF548235"/>
      </bottom>
      <diagonal/>
    </border>
    <border>
      <left/>
      <right/>
      <top style="thin">
        <color rgb="FF548235"/>
      </top>
      <bottom style="medium">
        <color indexed="64"/>
      </bottom>
      <diagonal/>
    </border>
    <border>
      <left style="medium">
        <color theme="1"/>
      </left>
      <right/>
      <top style="medium">
        <color theme="1"/>
      </top>
      <bottom style="medium">
        <color indexed="64"/>
      </bottom>
      <diagonal/>
    </border>
    <border>
      <left/>
      <right style="medium">
        <color theme="1"/>
      </right>
      <top style="medium">
        <color theme="1"/>
      </top>
      <bottom style="medium">
        <color indexed="64"/>
      </bottom>
      <diagonal/>
    </border>
    <border>
      <left style="medium">
        <color theme="1"/>
      </left>
      <right/>
      <top style="medium">
        <color indexed="64"/>
      </top>
      <bottom style="thin">
        <color rgb="FF548235"/>
      </bottom>
      <diagonal/>
    </border>
    <border>
      <left/>
      <right style="medium">
        <color theme="1"/>
      </right>
      <top style="medium">
        <color indexed="64"/>
      </top>
      <bottom style="thin">
        <color rgb="FF548235"/>
      </bottom>
      <diagonal/>
    </border>
    <border>
      <left style="medium">
        <color theme="1"/>
      </left>
      <right/>
      <top style="thin">
        <color rgb="FF548235"/>
      </top>
      <bottom style="thin">
        <color rgb="FF548235"/>
      </bottom>
      <diagonal/>
    </border>
    <border>
      <left/>
      <right style="medium">
        <color theme="1"/>
      </right>
      <top style="thin">
        <color rgb="FF548235"/>
      </top>
      <bottom style="thin">
        <color rgb="FF548235"/>
      </bottom>
      <diagonal/>
    </border>
    <border>
      <left style="medium">
        <color theme="1"/>
      </left>
      <right/>
      <top style="thin">
        <color rgb="FF548235"/>
      </top>
      <bottom style="medium">
        <color theme="1"/>
      </bottom>
      <diagonal/>
    </border>
    <border>
      <left/>
      <right style="medium">
        <color theme="1"/>
      </right>
      <top style="thin">
        <color rgb="FF548235"/>
      </top>
      <bottom style="medium">
        <color theme="1"/>
      </bottom>
      <diagonal/>
    </border>
    <border>
      <left style="medium">
        <color theme="1"/>
      </left>
      <right/>
      <top/>
      <bottom style="medium">
        <color theme="1"/>
      </bottom>
      <diagonal/>
    </border>
    <border>
      <left/>
      <right style="medium">
        <color theme="1"/>
      </right>
      <top/>
      <bottom style="medium">
        <color theme="1"/>
      </bottom>
      <diagonal/>
    </border>
    <border>
      <left style="medium">
        <color theme="1"/>
      </left>
      <right/>
      <top/>
      <bottom style="thin">
        <color rgb="FF548235"/>
      </bottom>
      <diagonal/>
    </border>
    <border>
      <left/>
      <right style="medium">
        <color theme="1"/>
      </right>
      <top/>
      <bottom style="thin">
        <color rgb="FF548235"/>
      </bottom>
      <diagonal/>
    </border>
    <border>
      <left/>
      <right style="medium">
        <color rgb="FF548235"/>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theme="4" tint="0.39997558519241921"/>
      </bottom>
      <diagonal/>
    </border>
    <border>
      <left/>
      <right/>
      <top style="medium">
        <color indexed="64"/>
      </top>
      <bottom style="thin">
        <color theme="4" tint="0.39997558519241921"/>
      </bottom>
      <diagonal/>
    </border>
    <border>
      <left/>
      <right style="thin">
        <color theme="4" tint="0.39997558519241921"/>
      </right>
      <top style="medium">
        <color indexed="64"/>
      </top>
      <bottom style="thin">
        <color theme="4" tint="0.39997558519241921"/>
      </bottom>
      <diagonal/>
    </border>
    <border>
      <left/>
      <right/>
      <top style="medium">
        <color indexed="64"/>
      </top>
      <bottom style="thin">
        <color rgb="FF8EA9DB"/>
      </bottom>
      <diagonal/>
    </border>
    <border>
      <left/>
      <right style="medium">
        <color indexed="64"/>
      </right>
      <top style="medium">
        <color indexed="64"/>
      </top>
      <bottom style="thin">
        <color rgb="FF8EA9DB"/>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rgb="FF70AD47"/>
      </top>
      <bottom style="thin">
        <color rgb="FF70AD47"/>
      </bottom>
      <diagonal/>
    </border>
    <border>
      <left style="medium">
        <color indexed="64"/>
      </left>
      <right style="medium">
        <color indexed="64"/>
      </right>
      <top style="thin">
        <color rgb="FF70AD47"/>
      </top>
      <bottom style="medium">
        <color indexed="64"/>
      </bottom>
      <diagonal/>
    </border>
    <border>
      <left style="thin">
        <color indexed="64"/>
      </left>
      <right style="thin">
        <color indexed="64"/>
      </right>
      <top style="thin">
        <color rgb="FF70AD47"/>
      </top>
      <bottom style="medium">
        <color indexed="64"/>
      </bottom>
      <diagonal/>
    </border>
    <border>
      <left style="medium">
        <color indexed="64"/>
      </left>
      <right style="thin">
        <color indexed="64"/>
      </right>
      <top style="thin">
        <color rgb="FF70AD47"/>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rgb="FF70AD47"/>
      </bottom>
      <diagonal/>
    </border>
    <border>
      <left style="medium">
        <color rgb="FF548235"/>
      </left>
      <right/>
      <top style="medium">
        <color rgb="FF548235"/>
      </top>
      <bottom style="thin">
        <color indexed="64"/>
      </bottom>
      <diagonal/>
    </border>
    <border>
      <left/>
      <right/>
      <top style="medium">
        <color rgb="FF548235"/>
      </top>
      <bottom style="thin">
        <color indexed="64"/>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style="thin">
        <color auto="1"/>
      </left>
      <right style="thin">
        <color auto="1"/>
      </right>
      <top style="thin">
        <color auto="1"/>
      </top>
      <bottom style="thin">
        <color auto="1"/>
      </bottom>
      <diagonal/>
    </border>
    <border>
      <left/>
      <right/>
      <top style="thin">
        <color theme="0" tint="-0.34998626667073579"/>
      </top>
      <bottom/>
      <diagonal/>
    </border>
    <border>
      <left style="thin">
        <color theme="0" tint="-0.34998626667073579"/>
      </left>
      <right/>
      <top style="thin">
        <color theme="0" tint="-0.34998626667073579"/>
      </top>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rgb="FF548235"/>
      </right>
      <top style="thin">
        <color indexed="64"/>
      </top>
      <bottom style="thin">
        <color indexed="64"/>
      </bottom>
      <diagonal/>
    </border>
    <border>
      <left style="medium">
        <color indexed="64"/>
      </left>
      <right/>
      <top style="thin">
        <color indexed="64"/>
      </top>
      <bottom style="medium">
        <color indexed="64"/>
      </bottom>
      <diagonal/>
    </border>
    <border>
      <left/>
      <right style="medium">
        <color rgb="FF548235"/>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rgb="FF548235"/>
      </top>
      <bottom style="thin">
        <color rgb="FF548235"/>
      </bottom>
      <diagonal/>
    </border>
    <border>
      <left/>
      <right style="medium">
        <color indexed="64"/>
      </right>
      <top style="thin">
        <color rgb="FF548235"/>
      </top>
      <bottom style="thin">
        <color rgb="FF548235"/>
      </bottom>
      <diagonal/>
    </border>
    <border>
      <left style="medium">
        <color indexed="64"/>
      </left>
      <right/>
      <top style="thin">
        <color rgb="FF548235"/>
      </top>
      <bottom style="medium">
        <color indexed="64"/>
      </bottom>
      <diagonal/>
    </border>
  </borders>
  <cellStyleXfs count="3">
    <xf numFmtId="0" fontId="0" fillId="0" borderId="0"/>
    <xf numFmtId="9" fontId="3" fillId="0" borderId="0" applyFont="0" applyFill="0" applyBorder="0" applyAlignment="0" applyProtection="0"/>
    <xf numFmtId="43" fontId="3" fillId="0" borderId="0" applyFont="0" applyFill="0" applyBorder="0" applyAlignment="0" applyProtection="0"/>
  </cellStyleXfs>
  <cellXfs count="187">
    <xf numFmtId="0" fontId="0" fillId="0" borderId="0" xfId="0"/>
    <xf numFmtId="0" fontId="1" fillId="0" borderId="0" xfId="0" applyFont="1"/>
    <xf numFmtId="0" fontId="2" fillId="0" borderId="0" xfId="0" applyFont="1" applyAlignment="1">
      <alignment horizontal="center"/>
    </xf>
    <xf numFmtId="0" fontId="2" fillId="0" borderId="0" xfId="0" applyFont="1"/>
    <xf numFmtId="164" fontId="8" fillId="2" borderId="0" xfId="0" applyNumberFormat="1" applyFont="1" applyFill="1" applyAlignment="1">
      <alignment horizontal="center"/>
    </xf>
    <xf numFmtId="0" fontId="0" fillId="6" borderId="0" xfId="0" applyFill="1"/>
    <xf numFmtId="2" fontId="12" fillId="5" borderId="2" xfId="0" applyNumberFormat="1" applyFont="1" applyFill="1" applyBorder="1" applyAlignment="1">
      <alignment horizontal="center" wrapText="1"/>
    </xf>
    <xf numFmtId="2" fontId="12" fillId="5" borderId="3" xfId="0" applyNumberFormat="1" applyFont="1" applyFill="1" applyBorder="1" applyAlignment="1">
      <alignment horizontal="center" wrapText="1"/>
    </xf>
    <xf numFmtId="0" fontId="0" fillId="0" borderId="8" xfId="0" applyBorder="1"/>
    <xf numFmtId="166" fontId="4" fillId="3" borderId="20" xfId="0" applyNumberFormat="1" applyFont="1" applyFill="1" applyBorder="1" applyAlignment="1">
      <alignment horizontal="center"/>
    </xf>
    <xf numFmtId="166" fontId="4" fillId="3" borderId="21" xfId="0" applyNumberFormat="1" applyFont="1" applyFill="1" applyBorder="1" applyAlignment="1">
      <alignment horizontal="center"/>
    </xf>
    <xf numFmtId="0" fontId="13" fillId="0" borderId="16" xfId="0" applyFont="1" applyBorder="1" applyAlignment="1">
      <alignment horizontal="right"/>
    </xf>
    <xf numFmtId="0" fontId="13" fillId="0" borderId="18" xfId="0" applyFont="1" applyBorder="1" applyAlignment="1">
      <alignment horizontal="right"/>
    </xf>
    <xf numFmtId="2" fontId="12" fillId="5" borderId="16" xfId="0" applyNumberFormat="1" applyFont="1" applyFill="1" applyBorder="1" applyAlignment="1">
      <alignment horizontal="center" wrapText="1"/>
    </xf>
    <xf numFmtId="2" fontId="12" fillId="5" borderId="23" xfId="0" applyNumberFormat="1" applyFont="1" applyFill="1" applyBorder="1" applyAlignment="1">
      <alignment horizontal="center" wrapText="1"/>
    </xf>
    <xf numFmtId="10" fontId="4" fillId="0" borderId="10" xfId="1" applyNumberFormat="1" applyFont="1" applyFill="1" applyBorder="1" applyAlignment="1">
      <alignment horizontal="center"/>
    </xf>
    <xf numFmtId="0" fontId="4" fillId="0" borderId="21" xfId="0" applyFont="1" applyBorder="1" applyAlignment="1">
      <alignment horizontal="center"/>
    </xf>
    <xf numFmtId="165" fontId="11" fillId="0" borderId="11" xfId="0" applyNumberFormat="1" applyFont="1" applyBorder="1" applyAlignment="1">
      <alignment horizontal="center"/>
    </xf>
    <xf numFmtId="0" fontId="7" fillId="0" borderId="0" xfId="0" applyFont="1" applyAlignment="1">
      <alignment horizontal="right"/>
    </xf>
    <xf numFmtId="0" fontId="7" fillId="0" borderId="0" xfId="0" applyFont="1"/>
    <xf numFmtId="2" fontId="12" fillId="5" borderId="1" xfId="0" applyNumberFormat="1" applyFont="1" applyFill="1" applyBorder="1" applyAlignment="1">
      <alignment horizontal="center" wrapText="1"/>
    </xf>
    <xf numFmtId="2" fontId="12" fillId="5" borderId="8" xfId="0" applyNumberFormat="1" applyFont="1" applyFill="1" applyBorder="1" applyAlignment="1">
      <alignment horizontal="center" wrapText="1"/>
    </xf>
    <xf numFmtId="2" fontId="12" fillId="5" borderId="9" xfId="0" applyNumberFormat="1" applyFont="1" applyFill="1" applyBorder="1" applyAlignment="1">
      <alignment horizontal="center" wrapText="1"/>
    </xf>
    <xf numFmtId="10" fontId="4" fillId="0" borderId="10" xfId="1" applyNumberFormat="1" applyFont="1" applyBorder="1" applyAlignment="1">
      <alignment horizontal="center"/>
    </xf>
    <xf numFmtId="0" fontId="0" fillId="8" borderId="0" xfId="0" applyFill="1"/>
    <xf numFmtId="0" fontId="6" fillId="8" borderId="0" xfId="0" applyFont="1" applyFill="1"/>
    <xf numFmtId="168" fontId="17" fillId="0" borderId="0" xfId="0" applyNumberFormat="1" applyFont="1" applyAlignment="1">
      <alignment horizontal="right"/>
    </xf>
    <xf numFmtId="169" fontId="17" fillId="0" borderId="0" xfId="0" applyNumberFormat="1" applyFont="1" applyAlignment="1">
      <alignment horizontal="right"/>
    </xf>
    <xf numFmtId="170" fontId="17" fillId="0" borderId="0" xfId="0" applyNumberFormat="1" applyFont="1" applyAlignment="1">
      <alignment horizontal="right"/>
    </xf>
    <xf numFmtId="170" fontId="18" fillId="0" borderId="0" xfId="0" applyNumberFormat="1" applyFont="1" applyAlignment="1">
      <alignment horizontal="right"/>
    </xf>
    <xf numFmtId="0" fontId="0" fillId="0" borderId="5" xfId="0" applyBorder="1"/>
    <xf numFmtId="0" fontId="0" fillId="0" borderId="44" xfId="0" applyBorder="1"/>
    <xf numFmtId="169" fontId="0" fillId="0" borderId="43" xfId="0" applyNumberFormat="1" applyBorder="1"/>
    <xf numFmtId="169" fontId="0" fillId="0" borderId="5" xfId="0" applyNumberFormat="1" applyBorder="1"/>
    <xf numFmtId="0" fontId="0" fillId="0" borderId="51" xfId="0" applyBorder="1"/>
    <xf numFmtId="166" fontId="0" fillId="0" borderId="0" xfId="0" applyNumberFormat="1"/>
    <xf numFmtId="0" fontId="0" fillId="0" borderId="0" xfId="0" applyAlignment="1">
      <alignment horizontal="right"/>
    </xf>
    <xf numFmtId="0" fontId="4" fillId="9" borderId="42" xfId="0" applyFont="1" applyFill="1" applyBorder="1" applyAlignment="1">
      <alignment horizontal="right"/>
    </xf>
    <xf numFmtId="0" fontId="11" fillId="9" borderId="57" xfId="0" applyFont="1" applyFill="1" applyBorder="1" applyAlignment="1">
      <alignment horizontal="center"/>
    </xf>
    <xf numFmtId="0" fontId="20" fillId="9" borderId="55" xfId="0" applyFont="1" applyFill="1" applyBorder="1" applyAlignment="1">
      <alignment horizontal="center"/>
    </xf>
    <xf numFmtId="0" fontId="13" fillId="0" borderId="42" xfId="0" applyFont="1" applyBorder="1" applyAlignment="1">
      <alignment horizontal="right"/>
    </xf>
    <xf numFmtId="0" fontId="13" fillId="0" borderId="2" xfId="0" applyFont="1" applyBorder="1" applyAlignment="1">
      <alignment horizontal="right"/>
    </xf>
    <xf numFmtId="0" fontId="13" fillId="0" borderId="43" xfId="0" applyFont="1" applyBorder="1" applyAlignment="1">
      <alignment horizontal="right"/>
    </xf>
    <xf numFmtId="0" fontId="11" fillId="9" borderId="58" xfId="0" applyFont="1" applyFill="1" applyBorder="1" applyAlignment="1">
      <alignment horizontal="center"/>
    </xf>
    <xf numFmtId="0" fontId="20" fillId="9" borderId="59" xfId="0" applyFont="1" applyFill="1" applyBorder="1" applyAlignment="1">
      <alignment horizontal="center"/>
    </xf>
    <xf numFmtId="164" fontId="14" fillId="6" borderId="50" xfId="2" applyNumberFormat="1" applyFont="1" applyFill="1" applyBorder="1"/>
    <xf numFmtId="0" fontId="13" fillId="8" borderId="60" xfId="0" applyFont="1" applyFill="1" applyBorder="1" applyAlignment="1">
      <alignment horizontal="right"/>
    </xf>
    <xf numFmtId="0" fontId="13" fillId="8" borderId="63" xfId="0" applyFont="1" applyFill="1" applyBorder="1" applyAlignment="1">
      <alignment horizontal="right"/>
    </xf>
    <xf numFmtId="0" fontId="13" fillId="8" borderId="54" xfId="0" applyFont="1" applyFill="1" applyBorder="1" applyAlignment="1">
      <alignment horizontal="right"/>
    </xf>
    <xf numFmtId="0" fontId="13" fillId="8" borderId="16" xfId="0" applyFont="1" applyFill="1" applyBorder="1" applyAlignment="1">
      <alignment horizontal="right"/>
    </xf>
    <xf numFmtId="0" fontId="13" fillId="8" borderId="57" xfId="0" applyFont="1" applyFill="1" applyBorder="1" applyAlignment="1">
      <alignment horizontal="right"/>
    </xf>
    <xf numFmtId="2" fontId="12" fillId="5" borderId="60" xfId="0" applyNumberFormat="1" applyFont="1" applyFill="1" applyBorder="1" applyAlignment="1">
      <alignment horizontal="center" wrapText="1"/>
    </xf>
    <xf numFmtId="2" fontId="12" fillId="5" borderId="56" xfId="0" applyNumberFormat="1" applyFont="1" applyFill="1" applyBorder="1" applyAlignment="1">
      <alignment horizontal="center" wrapText="1"/>
    </xf>
    <xf numFmtId="0" fontId="4" fillId="0" borderId="61" xfId="0" applyFont="1" applyBorder="1" applyAlignment="1">
      <alignment horizontal="center"/>
    </xf>
    <xf numFmtId="165" fontId="11" fillId="0" borderId="62" xfId="0" applyNumberFormat="1" applyFont="1" applyBorder="1" applyAlignment="1">
      <alignment horizontal="center"/>
    </xf>
    <xf numFmtId="0" fontId="4" fillId="7" borderId="52" xfId="0" applyFont="1" applyFill="1" applyBorder="1"/>
    <xf numFmtId="0" fontId="4" fillId="7" borderId="53" xfId="0" applyFont="1" applyFill="1" applyBorder="1"/>
    <xf numFmtId="0" fontId="4" fillId="5" borderId="1" xfId="0" applyFont="1" applyFill="1" applyBorder="1"/>
    <xf numFmtId="0" fontId="4" fillId="5" borderId="3" xfId="0" applyFont="1" applyFill="1" applyBorder="1"/>
    <xf numFmtId="0" fontId="4" fillId="5" borderId="44" xfId="0" applyFont="1" applyFill="1" applyBorder="1"/>
    <xf numFmtId="0" fontId="4" fillId="7" borderId="65" xfId="0" applyFont="1" applyFill="1" applyBorder="1"/>
    <xf numFmtId="0" fontId="4" fillId="7" borderId="66" xfId="0" applyFont="1" applyFill="1" applyBorder="1"/>
    <xf numFmtId="167" fontId="4" fillId="6" borderId="59" xfId="2" applyNumberFormat="1" applyFont="1" applyFill="1" applyBorder="1"/>
    <xf numFmtId="164" fontId="4" fillId="6" borderId="59" xfId="2" applyNumberFormat="1" applyFont="1" applyFill="1" applyBorder="1"/>
    <xf numFmtId="167" fontId="4" fillId="6" borderId="67" xfId="2" applyNumberFormat="1" applyFont="1" applyFill="1" applyBorder="1"/>
    <xf numFmtId="164" fontId="4" fillId="6" borderId="67" xfId="2" applyNumberFormat="1" applyFont="1" applyFill="1" applyBorder="1"/>
    <xf numFmtId="167" fontId="4" fillId="6" borderId="58" xfId="2" applyNumberFormat="1" applyFont="1" applyFill="1" applyBorder="1"/>
    <xf numFmtId="167" fontId="4" fillId="6" borderId="68" xfId="2" applyNumberFormat="1" applyFont="1" applyFill="1" applyBorder="1"/>
    <xf numFmtId="165" fontId="4" fillId="6" borderId="59" xfId="2" applyNumberFormat="1" applyFont="1" applyFill="1" applyBorder="1"/>
    <xf numFmtId="165" fontId="4" fillId="6" borderId="67" xfId="2" applyNumberFormat="1" applyFont="1" applyFill="1" applyBorder="1"/>
    <xf numFmtId="0" fontId="4" fillId="7" borderId="71" xfId="0" applyFont="1" applyFill="1" applyBorder="1"/>
    <xf numFmtId="0" fontId="4" fillId="5" borderId="71" xfId="0" applyFont="1" applyFill="1" applyBorder="1"/>
    <xf numFmtId="0" fontId="4" fillId="7" borderId="41" xfId="0" applyFont="1" applyFill="1" applyBorder="1"/>
    <xf numFmtId="9" fontId="4" fillId="7" borderId="41" xfId="1" applyFont="1" applyFill="1" applyBorder="1"/>
    <xf numFmtId="0" fontId="4" fillId="9" borderId="69" xfId="0" applyFont="1" applyFill="1" applyBorder="1" applyAlignment="1">
      <alignment horizontal="center"/>
    </xf>
    <xf numFmtId="0" fontId="4" fillId="9" borderId="55" xfId="0" applyFont="1" applyFill="1" applyBorder="1" applyAlignment="1">
      <alignment horizontal="center"/>
    </xf>
    <xf numFmtId="0" fontId="15" fillId="10" borderId="45" xfId="0" applyFont="1" applyFill="1" applyBorder="1"/>
    <xf numFmtId="0" fontId="15" fillId="10" borderId="46" xfId="0" applyFont="1" applyFill="1" applyBorder="1"/>
    <xf numFmtId="0" fontId="15" fillId="10" borderId="47" xfId="0" applyFont="1" applyFill="1" applyBorder="1"/>
    <xf numFmtId="0" fontId="19" fillId="11" borderId="48" xfId="0" applyFont="1" applyFill="1" applyBorder="1"/>
    <xf numFmtId="0" fontId="19" fillId="11" borderId="49" xfId="0" applyFont="1" applyFill="1" applyBorder="1"/>
    <xf numFmtId="0" fontId="5" fillId="4" borderId="0" xfId="0" applyFont="1" applyFill="1" applyAlignment="1">
      <alignment vertical="center" wrapText="1"/>
    </xf>
    <xf numFmtId="0" fontId="5" fillId="4" borderId="0" xfId="0" applyFont="1" applyFill="1" applyAlignment="1">
      <alignment horizontal="center" vertical="center"/>
    </xf>
    <xf numFmtId="0" fontId="5" fillId="4" borderId="0" xfId="0" applyFont="1" applyFill="1" applyAlignment="1">
      <alignment vertical="center"/>
    </xf>
    <xf numFmtId="0" fontId="4" fillId="0" borderId="0" xfId="0" applyFont="1" applyAlignment="1">
      <alignment vertical="center"/>
    </xf>
    <xf numFmtId="0" fontId="47" fillId="5" borderId="0" xfId="0" applyFont="1" applyFill="1" applyAlignment="1">
      <alignment horizontal="right"/>
    </xf>
    <xf numFmtId="0" fontId="48" fillId="3" borderId="0" xfId="0" applyFont="1" applyFill="1" applyAlignment="1">
      <alignment horizontal="center"/>
    </xf>
    <xf numFmtId="0" fontId="0" fillId="5" borderId="0" xfId="0" applyFill="1"/>
    <xf numFmtId="171" fontId="49" fillId="3" borderId="0" xfId="0" applyNumberFormat="1" applyFont="1" applyFill="1" applyAlignment="1">
      <alignment horizontal="right"/>
    </xf>
    <xf numFmtId="172" fontId="49" fillId="3" borderId="0" xfId="0" applyNumberFormat="1" applyFont="1" applyFill="1"/>
    <xf numFmtId="0" fontId="0" fillId="3" borderId="0" xfId="0" applyFill="1"/>
    <xf numFmtId="173" fontId="49" fillId="3" borderId="0" xfId="0" applyNumberFormat="1" applyFont="1" applyFill="1" applyAlignment="1">
      <alignment horizontal="center"/>
    </xf>
    <xf numFmtId="0" fontId="0" fillId="5" borderId="0" xfId="0" applyFill="1" applyAlignment="1">
      <alignment horizontal="right"/>
    </xf>
    <xf numFmtId="0" fontId="49" fillId="3" borderId="0" xfId="0" applyFont="1" applyFill="1" applyAlignment="1">
      <alignment horizontal="center"/>
    </xf>
    <xf numFmtId="0" fontId="30" fillId="0" borderId="0" xfId="0" applyFont="1"/>
    <xf numFmtId="1" fontId="49" fillId="3" borderId="0" xfId="0" applyNumberFormat="1" applyFont="1" applyFill="1" applyAlignment="1">
      <alignment horizontal="center"/>
    </xf>
    <xf numFmtId="2" fontId="0" fillId="0" borderId="0" xfId="0" applyNumberFormat="1" applyAlignment="1">
      <alignment wrapText="1"/>
    </xf>
    <xf numFmtId="0" fontId="50" fillId="3" borderId="0" xfId="0" applyFont="1" applyFill="1" applyAlignment="1">
      <alignment horizontal="left"/>
    </xf>
    <xf numFmtId="0" fontId="50" fillId="3" borderId="0" xfId="0" applyFont="1" applyFill="1" applyAlignment="1">
      <alignment horizontal="center"/>
    </xf>
    <xf numFmtId="2" fontId="51" fillId="5" borderId="0" xfId="0" applyNumberFormat="1" applyFont="1" applyFill="1" applyAlignment="1">
      <alignment wrapText="1"/>
    </xf>
    <xf numFmtId="2" fontId="51" fillId="5" borderId="74" xfId="0" applyNumberFormat="1" applyFont="1" applyFill="1" applyBorder="1" applyAlignment="1">
      <alignment wrapText="1"/>
    </xf>
    <xf numFmtId="2" fontId="51" fillId="5" borderId="75" xfId="0" applyNumberFormat="1" applyFont="1" applyFill="1" applyBorder="1" applyAlignment="1">
      <alignment wrapText="1"/>
    </xf>
    <xf numFmtId="0" fontId="0" fillId="0" borderId="0" xfId="0" applyAlignment="1">
      <alignment vertical="center"/>
    </xf>
    <xf numFmtId="0" fontId="52" fillId="2" borderId="76" xfId="0" applyFont="1" applyFill="1" applyBorder="1" applyAlignment="1">
      <alignment horizontal="center"/>
    </xf>
    <xf numFmtId="0" fontId="53" fillId="0" borderId="0" xfId="0" applyFont="1" applyAlignment="1">
      <alignment horizontal="right"/>
    </xf>
    <xf numFmtId="166" fontId="4" fillId="3" borderId="0" xfId="0" applyNumberFormat="1" applyFont="1" applyFill="1"/>
    <xf numFmtId="166" fontId="4" fillId="3" borderId="74" xfId="0" applyNumberFormat="1" applyFont="1" applyFill="1" applyBorder="1"/>
    <xf numFmtId="0" fontId="4" fillId="5" borderId="0" xfId="0" applyFont="1" applyFill="1"/>
    <xf numFmtId="166" fontId="4" fillId="3" borderId="77" xfId="0" applyNumberFormat="1" applyFont="1" applyFill="1" applyBorder="1"/>
    <xf numFmtId="166" fontId="4" fillId="3" borderId="78" xfId="0" applyNumberFormat="1" applyFont="1" applyFill="1" applyBorder="1"/>
    <xf numFmtId="0" fontId="6" fillId="0" borderId="0" xfId="0" applyFont="1"/>
    <xf numFmtId="2" fontId="12" fillId="5" borderId="87" xfId="0" applyNumberFormat="1" applyFont="1" applyFill="1" applyBorder="1" applyAlignment="1">
      <alignment horizontal="center" wrapText="1"/>
    </xf>
    <xf numFmtId="2" fontId="12" fillId="5" borderId="88" xfId="0" applyNumberFormat="1" applyFont="1" applyFill="1" applyBorder="1" applyAlignment="1">
      <alignment horizontal="center" wrapText="1"/>
    </xf>
    <xf numFmtId="0" fontId="53" fillId="0" borderId="16" xfId="0" applyFont="1" applyBorder="1" applyAlignment="1">
      <alignment horizontal="right"/>
    </xf>
    <xf numFmtId="0" fontId="53" fillId="0" borderId="18" xfId="0" applyFont="1" applyBorder="1" applyAlignment="1">
      <alignment horizontal="right"/>
    </xf>
    <xf numFmtId="2" fontId="51" fillId="5" borderId="8" xfId="0" applyNumberFormat="1" applyFont="1" applyFill="1" applyBorder="1" applyAlignment="1">
      <alignment horizontal="center" wrapText="1"/>
    </xf>
    <xf numFmtId="2" fontId="51" fillId="5" borderId="42" xfId="0" applyNumberFormat="1" applyFont="1" applyFill="1" applyBorder="1" applyAlignment="1">
      <alignment horizontal="center" wrapText="1"/>
    </xf>
    <xf numFmtId="2" fontId="51" fillId="5" borderId="1" xfId="0" applyNumberFormat="1" applyFont="1" applyFill="1" applyBorder="1" applyAlignment="1">
      <alignment horizontal="center" wrapText="1"/>
    </xf>
    <xf numFmtId="0" fontId="50" fillId="3" borderId="9" xfId="0" applyFont="1" applyFill="1" applyBorder="1" applyAlignment="1">
      <alignment horizontal="center"/>
    </xf>
    <xf numFmtId="10" fontId="0" fillId="0" borderId="10" xfId="1" applyNumberFormat="1" applyFont="1" applyBorder="1" applyAlignment="1">
      <alignment horizontal="center"/>
    </xf>
    <xf numFmtId="0" fontId="0" fillId="0" borderId="21" xfId="0" applyBorder="1" applyAlignment="1">
      <alignment horizontal="center"/>
    </xf>
    <xf numFmtId="165" fontId="29" fillId="0" borderId="11" xfId="0" applyNumberFormat="1" applyFont="1" applyBorder="1" applyAlignment="1">
      <alignment horizontal="center"/>
    </xf>
    <xf numFmtId="0" fontId="5" fillId="4" borderId="12"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3" xfId="0" applyFont="1" applyFill="1" applyBorder="1" applyAlignment="1">
      <alignment horizontal="center" vertical="center"/>
    </xf>
    <xf numFmtId="0" fontId="13" fillId="3" borderId="7" xfId="0" applyFont="1" applyFill="1" applyBorder="1" applyAlignment="1">
      <alignment horizontal="center"/>
    </xf>
    <xf numFmtId="0" fontId="13" fillId="3" borderId="22" xfId="0" applyFont="1" applyFill="1" applyBorder="1" applyAlignment="1">
      <alignment horizontal="center"/>
    </xf>
    <xf numFmtId="166" fontId="4" fillId="3" borderId="4" xfId="0" applyNumberFormat="1" applyFont="1" applyFill="1" applyBorder="1" applyAlignment="1">
      <alignment horizontal="center"/>
    </xf>
    <xf numFmtId="166" fontId="4" fillId="3" borderId="9" xfId="0" applyNumberFormat="1" applyFont="1" applyFill="1" applyBorder="1" applyAlignment="1">
      <alignment horizontal="center"/>
    </xf>
    <xf numFmtId="166" fontId="4" fillId="3" borderId="32" xfId="0" applyNumberFormat="1" applyFont="1" applyFill="1" applyBorder="1" applyAlignment="1">
      <alignment horizontal="center"/>
    </xf>
    <xf numFmtId="166" fontId="4" fillId="3" borderId="17" xfId="0" applyNumberFormat="1" applyFont="1" applyFill="1" applyBorder="1" applyAlignment="1">
      <alignment horizontal="center"/>
    </xf>
    <xf numFmtId="166" fontId="4" fillId="3" borderId="5" xfId="0" applyNumberFormat="1" applyFont="1" applyFill="1" applyBorder="1" applyAlignment="1">
      <alignment horizontal="center"/>
    </xf>
    <xf numFmtId="166" fontId="4" fillId="3" borderId="40" xfId="0" applyNumberFormat="1" applyFont="1" applyFill="1" applyBorder="1" applyAlignment="1">
      <alignment horizontal="center"/>
    </xf>
    <xf numFmtId="0" fontId="13" fillId="3" borderId="28" xfId="0" applyFont="1" applyFill="1" applyBorder="1" applyAlignment="1">
      <alignment horizontal="center"/>
    </xf>
    <xf numFmtId="0" fontId="13" fillId="3" borderId="29" xfId="0" applyFont="1" applyFill="1" applyBorder="1" applyAlignment="1">
      <alignment horizontal="center"/>
    </xf>
    <xf numFmtId="166" fontId="14" fillId="7" borderId="30" xfId="0" applyNumberFormat="1" applyFont="1" applyFill="1" applyBorder="1" applyAlignment="1">
      <alignment horizontal="center"/>
    </xf>
    <xf numFmtId="166" fontId="14" fillId="7" borderId="31" xfId="0" applyNumberFormat="1" applyFont="1" applyFill="1" applyBorder="1" applyAlignment="1">
      <alignment horizontal="center"/>
    </xf>
    <xf numFmtId="166" fontId="14" fillId="7" borderId="38" xfId="0" applyNumberFormat="1" applyFont="1" applyFill="1" applyBorder="1" applyAlignment="1">
      <alignment horizontal="center"/>
    </xf>
    <xf numFmtId="166" fontId="14" fillId="7" borderId="39" xfId="0" applyNumberFormat="1" applyFont="1" applyFill="1" applyBorder="1" applyAlignment="1">
      <alignment horizontal="center"/>
    </xf>
    <xf numFmtId="166" fontId="4" fillId="3" borderId="36" xfId="0" applyNumberFormat="1" applyFont="1" applyFill="1" applyBorder="1" applyAlignment="1">
      <alignment horizontal="center"/>
    </xf>
    <xf numFmtId="166" fontId="4" fillId="3" borderId="37" xfId="0" applyNumberFormat="1" applyFont="1" applyFill="1" applyBorder="1" applyAlignment="1">
      <alignment horizontal="center"/>
    </xf>
    <xf numFmtId="0" fontId="13" fillId="3" borderId="6" xfId="0" applyFont="1" applyFill="1" applyBorder="1" applyAlignment="1">
      <alignment horizontal="center"/>
    </xf>
    <xf numFmtId="0" fontId="13" fillId="3" borderId="15" xfId="0" applyFont="1" applyFill="1" applyBorder="1" applyAlignment="1">
      <alignment horizontal="center"/>
    </xf>
    <xf numFmtId="166" fontId="4" fillId="3" borderId="25" xfId="0" applyNumberFormat="1" applyFont="1" applyFill="1" applyBorder="1" applyAlignment="1">
      <alignment horizontal="center"/>
    </xf>
    <xf numFmtId="166" fontId="4" fillId="3" borderId="24" xfId="0" applyNumberFormat="1" applyFont="1" applyFill="1" applyBorder="1" applyAlignment="1">
      <alignment horizontal="center"/>
    </xf>
    <xf numFmtId="166" fontId="4" fillId="3" borderId="26" xfId="0" applyNumberFormat="1" applyFont="1" applyFill="1" applyBorder="1" applyAlignment="1">
      <alignment horizontal="center"/>
    </xf>
    <xf numFmtId="166" fontId="4" fillId="3" borderId="27" xfId="0" applyNumberFormat="1" applyFont="1" applyFill="1" applyBorder="1" applyAlignment="1">
      <alignment horizontal="center"/>
    </xf>
    <xf numFmtId="166" fontId="4" fillId="3" borderId="19" xfId="0" applyNumberFormat="1" applyFont="1" applyFill="1" applyBorder="1" applyAlignment="1">
      <alignment horizontal="center"/>
    </xf>
    <xf numFmtId="166" fontId="14" fillId="7" borderId="32" xfId="0" applyNumberFormat="1" applyFont="1" applyFill="1" applyBorder="1" applyAlignment="1">
      <alignment horizontal="center"/>
    </xf>
    <xf numFmtId="166" fontId="14" fillId="7" borderId="33" xfId="0" applyNumberFormat="1" applyFont="1" applyFill="1" applyBorder="1" applyAlignment="1">
      <alignment horizontal="center"/>
    </xf>
    <xf numFmtId="166" fontId="4" fillId="3" borderId="34" xfId="0" applyNumberFormat="1" applyFont="1" applyFill="1" applyBorder="1" applyAlignment="1">
      <alignment horizontal="center"/>
    </xf>
    <xf numFmtId="166" fontId="4" fillId="3" borderId="35" xfId="0" applyNumberFormat="1" applyFont="1" applyFill="1" applyBorder="1" applyAlignment="1">
      <alignment horizontal="center"/>
    </xf>
    <xf numFmtId="0" fontId="5" fillId="4" borderId="72" xfId="0" applyFont="1" applyFill="1" applyBorder="1" applyAlignment="1">
      <alignment horizontal="center"/>
    </xf>
    <xf numFmtId="0" fontId="5" fillId="4" borderId="14" xfId="0" applyFont="1" applyFill="1" applyBorder="1" applyAlignment="1">
      <alignment horizontal="center"/>
    </xf>
    <xf numFmtId="0" fontId="5" fillId="4" borderId="73" xfId="0" applyFont="1" applyFill="1" applyBorder="1" applyAlignment="1">
      <alignment horizontal="center"/>
    </xf>
    <xf numFmtId="164" fontId="4" fillId="6" borderId="69" xfId="2" applyNumberFormat="1" applyFont="1" applyFill="1" applyBorder="1" applyAlignment="1">
      <alignment horizontal="center"/>
    </xf>
    <xf numFmtId="164" fontId="4" fillId="6" borderId="6" xfId="2" applyNumberFormat="1" applyFont="1" applyFill="1" applyBorder="1" applyAlignment="1">
      <alignment horizontal="center"/>
    </xf>
    <xf numFmtId="164" fontId="4" fillId="6" borderId="70" xfId="2" applyNumberFormat="1" applyFont="1" applyFill="1" applyBorder="1" applyAlignment="1">
      <alignment horizontal="center"/>
    </xf>
    <xf numFmtId="164" fontId="4" fillId="6" borderId="57" xfId="2" applyNumberFormat="1" applyFont="1" applyFill="1" applyBorder="1" applyAlignment="1">
      <alignment horizontal="center"/>
    </xf>
    <xf numFmtId="0" fontId="0" fillId="0" borderId="0" xfId="0" applyAlignment="1">
      <alignment horizontal="center"/>
    </xf>
    <xf numFmtId="164" fontId="4" fillId="0" borderId="1" xfId="2" applyNumberFormat="1" applyFont="1" applyBorder="1" applyAlignment="1">
      <alignment horizontal="left" vertical="center"/>
    </xf>
    <xf numFmtId="164" fontId="4" fillId="0" borderId="3" xfId="2" applyNumberFormat="1" applyFont="1" applyBorder="1" applyAlignment="1">
      <alignment horizontal="left" vertical="center"/>
    </xf>
    <xf numFmtId="164" fontId="4" fillId="0" borderId="44" xfId="2" applyNumberFormat="1" applyFont="1" applyBorder="1" applyAlignment="1">
      <alignment horizontal="left" vertical="center"/>
    </xf>
    <xf numFmtId="164" fontId="4" fillId="0" borderId="1" xfId="2" applyNumberFormat="1" applyFont="1" applyBorder="1" applyAlignment="1">
      <alignment horizontal="center" vertical="center"/>
    </xf>
    <xf numFmtId="164" fontId="4" fillId="0" borderId="3" xfId="2" applyNumberFormat="1" applyFont="1" applyBorder="1" applyAlignment="1">
      <alignment horizontal="center" vertical="center"/>
    </xf>
    <xf numFmtId="164" fontId="4" fillId="0" borderId="44" xfId="2" applyNumberFormat="1" applyFont="1" applyBorder="1" applyAlignment="1">
      <alignment horizontal="center" vertical="center"/>
    </xf>
    <xf numFmtId="164" fontId="14" fillId="6" borderId="56" xfId="2" applyNumberFormat="1" applyFont="1" applyFill="1" applyBorder="1" applyAlignment="1">
      <alignment horizontal="center" vertical="center"/>
    </xf>
    <xf numFmtId="164" fontId="14" fillId="6" borderId="64" xfId="2" applyNumberFormat="1" applyFont="1" applyFill="1" applyBorder="1" applyAlignment="1">
      <alignment horizontal="center" vertical="center"/>
    </xf>
    <xf numFmtId="0" fontId="55" fillId="2" borderId="80" xfId="0" applyFont="1" applyFill="1" applyBorder="1" applyAlignment="1">
      <alignment horizontal="center"/>
    </xf>
    <xf numFmtId="0" fontId="55" fillId="2" borderId="81" xfId="0" applyFont="1" applyFill="1" applyBorder="1" applyAlignment="1">
      <alignment horizontal="center"/>
    </xf>
    <xf numFmtId="166" fontId="4" fillId="3" borderId="42" xfId="0" applyNumberFormat="1" applyFont="1" applyFill="1" applyBorder="1" applyAlignment="1">
      <alignment horizontal="center"/>
    </xf>
    <xf numFmtId="0" fontId="13" fillId="3" borderId="57" xfId="0" applyFont="1" applyFill="1" applyBorder="1" applyAlignment="1">
      <alignment horizontal="center"/>
    </xf>
    <xf numFmtId="0" fontId="13" fillId="3" borderId="79" xfId="0" applyFont="1" applyFill="1" applyBorder="1" applyAlignment="1">
      <alignment horizontal="center"/>
    </xf>
    <xf numFmtId="0" fontId="55" fillId="2" borderId="89" xfId="0" applyFont="1" applyFill="1" applyBorder="1" applyAlignment="1">
      <alignment horizontal="center"/>
    </xf>
    <xf numFmtId="0" fontId="55" fillId="2" borderId="90" xfId="0" applyFont="1" applyFill="1" applyBorder="1" applyAlignment="1">
      <alignment horizontal="center"/>
    </xf>
    <xf numFmtId="166" fontId="4" fillId="3" borderId="89" xfId="0" applyNumberFormat="1" applyFont="1" applyFill="1" applyBorder="1" applyAlignment="1">
      <alignment horizontal="center"/>
    </xf>
    <xf numFmtId="166" fontId="4" fillId="3" borderId="43" xfId="0" applyNumberFormat="1" applyFont="1" applyFill="1" applyBorder="1" applyAlignment="1">
      <alignment horizontal="center"/>
    </xf>
    <xf numFmtId="166" fontId="4" fillId="3" borderId="44" xfId="0" applyNumberFormat="1" applyFont="1" applyFill="1" applyBorder="1" applyAlignment="1">
      <alignment horizontal="center"/>
    </xf>
    <xf numFmtId="166" fontId="4" fillId="3" borderId="91" xfId="0" applyNumberFormat="1" applyFont="1" applyFill="1" applyBorder="1" applyAlignment="1">
      <alignment horizontal="center"/>
    </xf>
    <xf numFmtId="0" fontId="55" fillId="2" borderId="82" xfId="0" applyFont="1" applyFill="1" applyBorder="1" applyAlignment="1">
      <alignment horizontal="center"/>
    </xf>
    <xf numFmtId="0" fontId="55" fillId="2" borderId="83" xfId="0" applyFont="1" applyFill="1" applyBorder="1" applyAlignment="1">
      <alignment horizontal="center"/>
    </xf>
    <xf numFmtId="166" fontId="4" fillId="3" borderId="82" xfId="0" applyNumberFormat="1" applyFont="1" applyFill="1" applyBorder="1" applyAlignment="1">
      <alignment horizontal="center"/>
    </xf>
    <xf numFmtId="166" fontId="4" fillId="3" borderId="84" xfId="0" applyNumberFormat="1" applyFont="1" applyFill="1" applyBorder="1" applyAlignment="1">
      <alignment horizontal="center"/>
    </xf>
    <xf numFmtId="166" fontId="4" fillId="3" borderId="85" xfId="0" applyNumberFormat="1" applyFont="1" applyFill="1" applyBorder="1" applyAlignment="1">
      <alignment horizontal="center"/>
    </xf>
    <xf numFmtId="166" fontId="4" fillId="3" borderId="86" xfId="0" applyNumberFormat="1" applyFont="1" applyFill="1" applyBorder="1" applyAlignment="1">
      <alignment horizontal="center"/>
    </xf>
    <xf numFmtId="0" fontId="55" fillId="2" borderId="42" xfId="0" applyFont="1" applyFill="1" applyBorder="1" applyAlignment="1">
      <alignment horizontal="center"/>
    </xf>
    <xf numFmtId="0" fontId="55" fillId="2" borderId="1" xfId="0" applyFont="1" applyFill="1" applyBorder="1" applyAlignment="1">
      <alignment horizontal="center"/>
    </xf>
  </cellXfs>
  <cellStyles count="3">
    <cellStyle name="Comma" xfId="2" builtinId="3"/>
    <cellStyle name="Normal" xfId="0" builtinId="0"/>
    <cellStyle name="Percent" xfId="1" builtinId="5"/>
  </cellStyles>
  <dxfs count="62">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9" formatCode="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9" formatCode="0.00000"/>
      <alignment horizontal="right" vertical="bottom" textRotation="0" wrapText="0" indent="0" justifyLastLine="0" shrinkToFit="0" readingOrder="0"/>
    </dxf>
    <dxf>
      <font>
        <color rgb="FFBFBFBF"/>
      </font>
      <fill>
        <patternFill>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bgColor rgb="FFBFBFBF"/>
        </patternFill>
      </fill>
    </dxf>
    <dxf>
      <font>
        <color rgb="FF548235"/>
      </font>
      <fill>
        <patternFill>
          <bgColor rgb="FFBFBFBF"/>
        </patternFill>
      </fill>
    </dxf>
    <dxf>
      <font>
        <color rgb="FFBFBFBF"/>
      </font>
      <fill>
        <patternFill>
          <bgColor rgb="FF548235"/>
        </patternFill>
      </fill>
    </dxf>
    <dxf>
      <font>
        <color rgb="FFBFBFBF"/>
      </font>
      <fill>
        <patternFill>
          <bgColor rgb="FF548235"/>
        </patternFill>
      </fill>
    </dxf>
    <dxf>
      <font>
        <color rgb="FF548235"/>
      </font>
      <fill>
        <patternFill>
          <bgColor rgb="FFBFBFBF"/>
        </patternFill>
      </fill>
    </dxf>
    <dxf>
      <font>
        <color rgb="FFBFBFBF"/>
      </font>
      <fill>
        <patternFill>
          <fgColor rgb="FF548235"/>
          <bgColor rgb="FF548235"/>
        </patternFill>
      </fill>
    </dxf>
    <dxf>
      <font>
        <color rgb="FF548235"/>
      </font>
      <fill>
        <patternFill>
          <bgColor rgb="FFBFBFBF"/>
        </patternFill>
      </fill>
    </dxf>
    <dxf>
      <font>
        <color rgb="FFBFBFBF"/>
      </font>
      <fill>
        <patternFill>
          <fgColor rgb="FF548235"/>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fgColor rgb="FFBFBFBF"/>
          <bgColor rgb="FFBFBFBF"/>
        </patternFill>
      </fill>
    </dxf>
    <dxf>
      <font>
        <color rgb="FF548235"/>
      </font>
      <fill>
        <patternFill>
          <bgColor rgb="FFBFBFBF"/>
        </patternFill>
      </fill>
    </dxf>
    <dxf>
      <font>
        <color rgb="FFBFBFBF"/>
      </font>
      <fill>
        <patternFill>
          <bgColor rgb="FF548235"/>
        </patternFill>
      </fill>
    </dxf>
    <dxf>
      <font>
        <color rgb="FFBFBFBF"/>
      </font>
      <fill>
        <patternFill>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fgColor rgb="FFBFBFBF"/>
          <bgColor rgb="FFBFBFBF"/>
        </patternFill>
      </fill>
    </dxf>
    <dxf>
      <font>
        <color rgb="FFBFBFBF"/>
      </font>
      <fill>
        <patternFill>
          <bgColor rgb="FF548235"/>
        </patternFill>
      </fill>
    </dxf>
    <dxf>
      <font>
        <color rgb="FF548235"/>
      </font>
      <fill>
        <patternFill>
          <bgColor rgb="FFBFBFBF"/>
        </patternFill>
      </fill>
    </dxf>
    <dxf>
      <font>
        <color rgb="FF548235"/>
      </font>
      <fill>
        <patternFill>
          <bgColor rgb="FFBFBFBF"/>
        </patternFill>
      </fill>
    </dxf>
    <dxf>
      <font>
        <color rgb="FFBFBFBF"/>
      </font>
      <fill>
        <patternFill>
          <bgColor rgb="FF548235"/>
        </patternFill>
      </fill>
    </dxf>
    <dxf>
      <font>
        <color rgb="FFBFBFBF"/>
      </font>
      <fill>
        <patternFill>
          <bgColor rgb="FF548235"/>
        </patternFill>
      </fill>
    </dxf>
    <dxf>
      <font>
        <color rgb="FF548235"/>
      </font>
      <fill>
        <patternFill>
          <bgColor rgb="FFBFBFBF"/>
        </patternFill>
      </fill>
    </dxf>
    <dxf>
      <font>
        <color rgb="FFBFBFBF"/>
      </font>
      <fill>
        <patternFill>
          <fgColor rgb="FF548235"/>
          <bgColor rgb="FF548235"/>
        </patternFill>
      </fill>
    </dxf>
    <dxf>
      <font>
        <color rgb="FF548235"/>
      </font>
      <fill>
        <patternFill>
          <bgColor rgb="FFBFBFBF"/>
        </patternFill>
      </fill>
    </dxf>
    <dxf>
      <font>
        <color rgb="FFBFBFBF"/>
      </font>
      <fill>
        <patternFill>
          <fgColor rgb="FF548235"/>
          <bgColor rgb="FF548235"/>
        </patternFill>
      </fill>
    </dxf>
    <dxf>
      <font>
        <color rgb="FF548235"/>
      </font>
      <fill>
        <patternFill>
          <fgColor rgb="FFBFBFBF"/>
          <bgColor rgb="FFBFBFBF"/>
        </patternFill>
      </fill>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70" formatCode="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8" formatCode="0.0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9" formatCode="0.00000"/>
      <alignment horizontal="right" vertical="bottom" textRotation="0" wrapText="0" indent="0" justifyLastLine="0" shrinkToFit="0" readingOrder="0"/>
    </dxf>
    <dxf>
      <font>
        <b val="0"/>
        <i val="0"/>
        <strike val="0"/>
        <condense val="0"/>
        <extend val="0"/>
        <outline val="0"/>
        <shadow val="0"/>
        <u val="none"/>
        <vertAlign val="baseline"/>
        <sz val="14"/>
        <color rgb="FF333333"/>
        <name val="Helvetica Neue"/>
        <family val="2"/>
        <scheme val="none"/>
      </font>
      <numFmt numFmtId="169" formatCode="0.00000"/>
      <alignment horizontal="right" vertical="bottom" textRotation="0" wrapText="0" indent="0" justifyLastLine="0" shrinkToFit="0" readingOrder="0"/>
    </dxf>
  </dxfs>
  <tableStyles count="0" defaultTableStyle="TableStyleMedium2" defaultPivotStyle="PivotStyleLight16"/>
  <colors>
    <mruColors>
      <color rgb="FF70AD47"/>
      <color rgb="FFBFBFBF"/>
      <color rgb="FF548235"/>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0</xdr:col>
      <xdr:colOff>64972</xdr:colOff>
      <xdr:row>12</xdr:row>
      <xdr:rowOff>91459</xdr:rowOff>
    </xdr:from>
    <xdr:to>
      <xdr:col>5</xdr:col>
      <xdr:colOff>379158</xdr:colOff>
      <xdr:row>14</xdr:row>
      <xdr:rowOff>8400</xdr:rowOff>
    </xdr:to>
    <xdr:sp macro="" textlink="">
      <xdr:nvSpPr>
        <xdr:cNvPr id="3" name="TextBox 4">
          <a:extLst>
            <a:ext uri="{FF2B5EF4-FFF2-40B4-BE49-F238E27FC236}">
              <a16:creationId xmlns:a16="http://schemas.microsoft.com/office/drawing/2014/main" id="{80EB424F-887F-43BC-F117-04309A164FAF}"/>
            </a:ext>
          </a:extLst>
        </xdr:cNvPr>
        <xdr:cNvSpPr txBox="1"/>
      </xdr:nvSpPr>
      <xdr:spPr>
        <a:xfrm>
          <a:off x="64972" y="3202959"/>
          <a:ext cx="9788386" cy="374141"/>
        </a:xfrm>
        <a:prstGeom prst="rect">
          <a:avLst/>
        </a:prstGeom>
        <a:no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Standard-IA </a:t>
          </a:r>
          <a:r>
            <a:rPr lang="en-IL">
              <a:sym typeface="Wingdings" pitchFamily="2" charset="2"/>
            </a:rPr>
            <a:t> Standard = </a:t>
          </a:r>
          <a:r>
            <a:rPr lang="en-IL" b="1">
              <a:solidFill>
                <a:srgbClr val="548235"/>
              </a:solidFill>
              <a:sym typeface="Wingdings" pitchFamily="2" charset="2"/>
            </a:rPr>
            <a:t>20% </a:t>
          </a:r>
          <a:r>
            <a:rPr lang="en-IL" b="1">
              <a:sym typeface="Wingdings" pitchFamily="2" charset="2"/>
            </a:rPr>
            <a:t>less</a:t>
          </a:r>
          <a:r>
            <a:rPr lang="en-IL">
              <a:sym typeface="Wingdings" pitchFamily="2" charset="2"/>
            </a:rPr>
            <a:t> on Throughput (Read/Write) cost and </a:t>
          </a:r>
          <a:r>
            <a:rPr lang="en-IL" b="1">
              <a:solidFill>
                <a:schemeClr val="bg2">
                  <a:lumMod val="75000"/>
                </a:schemeClr>
              </a:solidFill>
              <a:sym typeface="Wingdings" pitchFamily="2" charset="2"/>
            </a:rPr>
            <a:t>150%</a:t>
          </a:r>
          <a:r>
            <a:rPr lang="en-IL" b="1">
              <a:solidFill>
                <a:schemeClr val="bg2">
                  <a:lumMod val="50000"/>
                </a:schemeClr>
              </a:solidFill>
              <a:sym typeface="Wingdings" pitchFamily="2" charset="2"/>
            </a:rPr>
            <a:t> </a:t>
          </a:r>
          <a:r>
            <a:rPr lang="en-IL" b="1">
              <a:sym typeface="Wingdings" pitchFamily="2" charset="2"/>
            </a:rPr>
            <a:t>more</a:t>
          </a:r>
          <a:r>
            <a:rPr lang="en-IL">
              <a:sym typeface="Wingdings" pitchFamily="2" charset="2"/>
            </a:rPr>
            <a:t> on Storage cost</a:t>
          </a:r>
          <a:endParaRPr lang="en-IL"/>
        </a:p>
      </xdr:txBody>
    </xdr:sp>
    <xdr:clientData/>
  </xdr:twoCellAnchor>
  <xdr:twoCellAnchor>
    <xdr:from>
      <xdr:col>0</xdr:col>
      <xdr:colOff>63500</xdr:colOff>
      <xdr:row>0</xdr:row>
      <xdr:rowOff>38100</xdr:rowOff>
    </xdr:from>
    <xdr:to>
      <xdr:col>5</xdr:col>
      <xdr:colOff>552171</xdr:colOff>
      <xdr:row>1</xdr:row>
      <xdr:rowOff>209041</xdr:rowOff>
    </xdr:to>
    <xdr:sp macro="" textlink="">
      <xdr:nvSpPr>
        <xdr:cNvPr id="4" name="TextBox 5">
          <a:extLst>
            <a:ext uri="{FF2B5EF4-FFF2-40B4-BE49-F238E27FC236}">
              <a16:creationId xmlns:a16="http://schemas.microsoft.com/office/drawing/2014/main" id="{33B5866C-B9A0-50DC-02DF-F7D27D0DBD70}"/>
            </a:ext>
          </a:extLst>
        </xdr:cNvPr>
        <xdr:cNvSpPr txBox="1"/>
      </xdr:nvSpPr>
      <xdr:spPr>
        <a:xfrm>
          <a:off x="63500" y="38100"/>
          <a:ext cx="9962871" cy="374141"/>
        </a:xfrm>
        <a:prstGeom prst="rect">
          <a:avLst/>
        </a:prstGeom>
        <a:no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Standard </a:t>
          </a:r>
          <a:r>
            <a:rPr lang="en-IL">
              <a:sym typeface="Wingdings" pitchFamily="2" charset="2"/>
            </a:rPr>
            <a:t> Standard-IA = </a:t>
          </a:r>
          <a:r>
            <a:rPr lang="en-IL" b="1">
              <a:solidFill>
                <a:srgbClr val="BFBFBF"/>
              </a:solidFill>
              <a:sym typeface="Wingdings" pitchFamily="2" charset="2"/>
            </a:rPr>
            <a:t>25% </a:t>
          </a:r>
          <a:r>
            <a:rPr lang="en-IL" b="1">
              <a:sym typeface="Wingdings" pitchFamily="2" charset="2"/>
            </a:rPr>
            <a:t>more</a:t>
          </a:r>
          <a:r>
            <a:rPr lang="en-IL">
              <a:sym typeface="Wingdings" pitchFamily="2" charset="2"/>
            </a:rPr>
            <a:t> on Throughput (Read/Write) cost and </a:t>
          </a:r>
          <a:r>
            <a:rPr lang="en-IL" b="1">
              <a:solidFill>
                <a:srgbClr val="548235"/>
              </a:solidFill>
              <a:sym typeface="Wingdings" pitchFamily="2" charset="2"/>
            </a:rPr>
            <a:t>60% </a:t>
          </a:r>
          <a:r>
            <a:rPr lang="en-IL" b="1">
              <a:sym typeface="Wingdings" pitchFamily="2" charset="2"/>
            </a:rPr>
            <a:t>less</a:t>
          </a:r>
          <a:r>
            <a:rPr lang="en-IL">
              <a:sym typeface="Wingdings" pitchFamily="2" charset="2"/>
            </a:rPr>
            <a:t> on Storage cost </a:t>
          </a:r>
          <a:endParaRPr lang="en-IL"/>
        </a:p>
      </xdr:txBody>
    </xdr:sp>
    <xdr:clientData/>
  </xdr:twoCellAnchor>
  <xdr:twoCellAnchor>
    <xdr:from>
      <xdr:col>6</xdr:col>
      <xdr:colOff>0</xdr:colOff>
      <xdr:row>0</xdr:row>
      <xdr:rowOff>0</xdr:rowOff>
    </xdr:from>
    <xdr:to>
      <xdr:col>10</xdr:col>
      <xdr:colOff>1060171</xdr:colOff>
      <xdr:row>1</xdr:row>
      <xdr:rowOff>170941</xdr:rowOff>
    </xdr:to>
    <xdr:sp macro="" textlink="">
      <xdr:nvSpPr>
        <xdr:cNvPr id="2" name="TextBox 5">
          <a:extLst>
            <a:ext uri="{FF2B5EF4-FFF2-40B4-BE49-F238E27FC236}">
              <a16:creationId xmlns:a16="http://schemas.microsoft.com/office/drawing/2014/main" id="{9B24D052-0100-884A-8117-8731C053B0BC}"/>
            </a:ext>
          </a:extLst>
        </xdr:cNvPr>
        <xdr:cNvSpPr txBox="1"/>
      </xdr:nvSpPr>
      <xdr:spPr>
        <a:xfrm>
          <a:off x="10058400" y="0"/>
          <a:ext cx="9721571" cy="374141"/>
        </a:xfrm>
        <a:prstGeom prst="rect">
          <a:avLst/>
        </a:prstGeom>
        <a:solidFill>
          <a:schemeClr val="bg1"/>
        </a:solid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Use</a:t>
          </a:r>
          <a:r>
            <a:rPr lang="en-IL" baseline="0"/>
            <a:t> this calculator if your spend is unknown, and your usage is known. </a:t>
          </a:r>
          <a:endParaRPr lang="en-IL"/>
        </a:p>
      </xdr:txBody>
    </xdr:sp>
    <xdr:clientData/>
  </xdr:twoCellAnchor>
  <xdr:twoCellAnchor>
    <xdr:from>
      <xdr:col>12</xdr:col>
      <xdr:colOff>774700</xdr:colOff>
      <xdr:row>1</xdr:row>
      <xdr:rowOff>203200</xdr:rowOff>
    </xdr:from>
    <xdr:to>
      <xdr:col>23</xdr:col>
      <xdr:colOff>330200</xdr:colOff>
      <xdr:row>24</xdr:row>
      <xdr:rowOff>152400</xdr:rowOff>
    </xdr:to>
    <xdr:sp macro="" textlink="">
      <xdr:nvSpPr>
        <xdr:cNvPr id="38" name="TextBox 37">
          <a:extLst>
            <a:ext uri="{FF2B5EF4-FFF2-40B4-BE49-F238E27FC236}">
              <a16:creationId xmlns:a16="http://schemas.microsoft.com/office/drawing/2014/main" id="{CE321B8C-257A-CCE6-ED5E-B60EBED2F7CA}"/>
            </a:ext>
          </a:extLst>
        </xdr:cNvPr>
        <xdr:cNvSpPr txBox="1"/>
      </xdr:nvSpPr>
      <xdr:spPr>
        <a:xfrm>
          <a:off x="13233400" y="406400"/>
          <a:ext cx="8699500" cy="694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u="sng"/>
            <a:t>User Guide: </a:t>
          </a:r>
        </a:p>
        <a:p>
          <a:endParaRPr lang="en-US" sz="1400" b="1"/>
        </a:p>
        <a:p>
          <a:r>
            <a:rPr lang="en-US" sz="1400" b="1"/>
            <a:t>Capacity Mode and Efficiency</a:t>
          </a:r>
          <a:r>
            <a:rPr lang="en-US" sz="1400"/>
            <a:t>: This section allows you to select the capacity mode (Provisioned capacity or On-Demand) and the efficiency level for provisioned capacity (70% by default).</a:t>
          </a:r>
        </a:p>
        <a:p>
          <a:r>
            <a:rPr lang="en-US" sz="1400" b="1"/>
            <a:t>Region Selection</a:t>
          </a:r>
          <a:r>
            <a:rPr lang="en-US" sz="1400"/>
            <a:t>: Use the dropdown menu to select the AWS region where your DynamoDB table is located (e.g., eu-west-1 for Europe (Ireland)).</a:t>
          </a:r>
        </a:p>
        <a:p>
          <a:r>
            <a:rPr lang="en-US" sz="1400" b="1"/>
            <a:t>Average Item Size</a:t>
          </a:r>
          <a:r>
            <a:rPr lang="en-US" sz="1400"/>
            <a:t>: Enter the average size of your DynamoDB table items in kilobytes (KB). In the example, it's set to 2048 bytes or 2 KB.</a:t>
          </a:r>
        </a:p>
        <a:p>
          <a:r>
            <a:rPr lang="en-US" sz="1400" b="1"/>
            <a:t>Read and Write Percentages</a:t>
          </a:r>
          <a:r>
            <a:rPr lang="en-US" sz="1400"/>
            <a:t>: Specify the read and write percentages for your workload. The read percentage is set to 100% (SUM operation) by default.</a:t>
          </a:r>
        </a:p>
        <a:p>
          <a:r>
            <a:rPr lang="en-US" sz="1400" b="1"/>
            <a:t>Consistency Models</a:t>
          </a:r>
          <a:r>
            <a:rPr lang="en-US" sz="1400"/>
            <a:t>: Set the percentages for different consistency models: </a:t>
          </a:r>
        </a:p>
        <a:p>
          <a:pPr lvl="1"/>
          <a:r>
            <a:rPr lang="en-US" sz="1400"/>
            <a:t>Eventually Consistent (100% by default)</a:t>
          </a:r>
        </a:p>
        <a:p>
          <a:pPr lvl="1"/>
          <a:r>
            <a:rPr lang="en-US" sz="1400"/>
            <a:t>Strongly Consistent (0% by default)</a:t>
          </a:r>
        </a:p>
        <a:p>
          <a:pPr lvl="1"/>
          <a:r>
            <a:rPr lang="en-US" sz="1400"/>
            <a:t>Transactional R/M (0% by default)</a:t>
          </a:r>
        </a:p>
        <a:p>
          <a:r>
            <a:rPr lang="en-US" sz="1400" b="1"/>
            <a:t>Read and Write Operations</a:t>
          </a:r>
          <a:r>
            <a:rPr lang="en-US" sz="1400"/>
            <a:t>: Enter the number of read and write operations per second for your workload (100 by default for both).</a:t>
          </a:r>
        </a:p>
        <a:p>
          <a:r>
            <a:rPr lang="en-US" sz="1400" b="1"/>
            <a:t>Storage Size</a:t>
          </a:r>
          <a:r>
            <a:rPr lang="en-US" sz="1400"/>
            <a:t>: Provide the estimated storage size for your DynamoDB table in gigabytes per month (25 GB-Month in the example).</a:t>
          </a:r>
        </a:p>
        <a:p>
          <a:r>
            <a:rPr lang="en-US" sz="1400" b="1"/>
            <a:t>Standard and Standard IA</a:t>
          </a:r>
          <a:r>
            <a:rPr lang="en-US" sz="1400"/>
            <a:t>: These sections display the cost estimates for both the Standard and Standard Infrequent Access (IA) table classes, based on your input parameters. The costs are broken down into Read Capacity Units (RCU), Write Capacity Units (WCU), and Storage Cost.</a:t>
          </a:r>
        </a:p>
        <a:p>
          <a:r>
            <a:rPr lang="en-US" sz="1400" b="1"/>
            <a:t>Recommendation</a:t>
          </a:r>
          <a:r>
            <a:rPr lang="en-US" sz="1400"/>
            <a:t>: This section suggests whether you should consider switching to the Standard or Standard IA table class based on potential cost savings.</a:t>
          </a:r>
        </a:p>
        <a:p>
          <a:r>
            <a:rPr lang="en-US" sz="1400" b="1"/>
            <a:t>Public Pricing</a:t>
          </a:r>
          <a:r>
            <a:rPr lang="en-US" sz="1400"/>
            <a:t>: This section displays the current public pricing for various DynamoDB services, including Provisioned WCU, Provisioned RCU, Provisioned IA WCU, Provisioned IA RCU, On-Demand Write Request Units (WRU), On-Demand Read Request Units (RRU), On-Demand IA WRU, On-Demand IA RRU, Standard table class, and Standard IA table class.</a:t>
          </a:r>
        </a:p>
        <a:p>
          <a:endParaRPr lang="en-US" sz="1400"/>
        </a:p>
        <a:p>
          <a:r>
            <a:rPr lang="en-US" sz="1400"/>
            <a:t>By entering your specific workload and usage details, this calculator helps you estimate the monthly costs for different DynamoDB table classes and determine the most cost-effective option based on your requirements</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64972</xdr:colOff>
      <xdr:row>12</xdr:row>
      <xdr:rowOff>91459</xdr:rowOff>
    </xdr:from>
    <xdr:to>
      <xdr:col>5</xdr:col>
      <xdr:colOff>379158</xdr:colOff>
      <xdr:row>14</xdr:row>
      <xdr:rowOff>8400</xdr:rowOff>
    </xdr:to>
    <xdr:sp macro="" textlink="">
      <xdr:nvSpPr>
        <xdr:cNvPr id="2" name="TextBox 4">
          <a:extLst>
            <a:ext uri="{FF2B5EF4-FFF2-40B4-BE49-F238E27FC236}">
              <a16:creationId xmlns:a16="http://schemas.microsoft.com/office/drawing/2014/main" id="{68879145-92FA-3B42-B63C-0C92C12384EC}"/>
            </a:ext>
          </a:extLst>
        </xdr:cNvPr>
        <xdr:cNvSpPr txBox="1"/>
      </xdr:nvSpPr>
      <xdr:spPr>
        <a:xfrm>
          <a:off x="64972" y="3456959"/>
          <a:ext cx="9547086" cy="450341"/>
        </a:xfrm>
        <a:prstGeom prst="rect">
          <a:avLst/>
        </a:prstGeom>
        <a:no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Standard-IA </a:t>
          </a:r>
          <a:r>
            <a:rPr lang="en-IL">
              <a:sym typeface="Wingdings" pitchFamily="2" charset="2"/>
            </a:rPr>
            <a:t> Standard = </a:t>
          </a:r>
          <a:r>
            <a:rPr lang="en-IL" b="1">
              <a:solidFill>
                <a:srgbClr val="548235"/>
              </a:solidFill>
              <a:sym typeface="Wingdings" pitchFamily="2" charset="2"/>
            </a:rPr>
            <a:t>20% </a:t>
          </a:r>
          <a:r>
            <a:rPr lang="en-IL" b="1">
              <a:sym typeface="Wingdings" pitchFamily="2" charset="2"/>
            </a:rPr>
            <a:t>less</a:t>
          </a:r>
          <a:r>
            <a:rPr lang="en-IL">
              <a:sym typeface="Wingdings" pitchFamily="2" charset="2"/>
            </a:rPr>
            <a:t> on Throughput (Read/Write) cost and </a:t>
          </a:r>
          <a:r>
            <a:rPr lang="en-IL" b="1">
              <a:solidFill>
                <a:schemeClr val="bg2">
                  <a:lumMod val="75000"/>
                </a:schemeClr>
              </a:solidFill>
              <a:sym typeface="Wingdings" pitchFamily="2" charset="2"/>
            </a:rPr>
            <a:t>150%</a:t>
          </a:r>
          <a:r>
            <a:rPr lang="en-IL" b="1">
              <a:solidFill>
                <a:schemeClr val="bg2">
                  <a:lumMod val="50000"/>
                </a:schemeClr>
              </a:solidFill>
              <a:sym typeface="Wingdings" pitchFamily="2" charset="2"/>
            </a:rPr>
            <a:t> </a:t>
          </a:r>
          <a:r>
            <a:rPr lang="en-IL" b="1">
              <a:sym typeface="Wingdings" pitchFamily="2" charset="2"/>
            </a:rPr>
            <a:t>more</a:t>
          </a:r>
          <a:r>
            <a:rPr lang="en-IL">
              <a:sym typeface="Wingdings" pitchFamily="2" charset="2"/>
            </a:rPr>
            <a:t> on Storage cost</a:t>
          </a:r>
          <a:endParaRPr lang="en-IL"/>
        </a:p>
      </xdr:txBody>
    </xdr:sp>
    <xdr:clientData/>
  </xdr:twoCellAnchor>
  <xdr:twoCellAnchor>
    <xdr:from>
      <xdr:col>0</xdr:col>
      <xdr:colOff>342900</xdr:colOff>
      <xdr:row>0</xdr:row>
      <xdr:rowOff>0</xdr:rowOff>
    </xdr:from>
    <xdr:to>
      <xdr:col>5</xdr:col>
      <xdr:colOff>831571</xdr:colOff>
      <xdr:row>1</xdr:row>
      <xdr:rowOff>170941</xdr:rowOff>
    </xdr:to>
    <xdr:sp macro="" textlink="">
      <xdr:nvSpPr>
        <xdr:cNvPr id="3" name="TextBox 5">
          <a:extLst>
            <a:ext uri="{FF2B5EF4-FFF2-40B4-BE49-F238E27FC236}">
              <a16:creationId xmlns:a16="http://schemas.microsoft.com/office/drawing/2014/main" id="{EC5D20EF-4A85-904B-AEB4-A8E2DB90CFBD}"/>
            </a:ext>
          </a:extLst>
        </xdr:cNvPr>
        <xdr:cNvSpPr txBox="1"/>
      </xdr:nvSpPr>
      <xdr:spPr>
        <a:xfrm>
          <a:off x="342900" y="0"/>
          <a:ext cx="13937971" cy="374141"/>
        </a:xfrm>
        <a:prstGeom prst="rect">
          <a:avLst/>
        </a:prstGeom>
        <a:no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r>
            <a:rPr lang="en-IL"/>
            <a:t>Standard </a:t>
          </a:r>
          <a:r>
            <a:rPr lang="en-IL">
              <a:sym typeface="Wingdings" pitchFamily="2" charset="2"/>
            </a:rPr>
            <a:t> Standard-IA = </a:t>
          </a:r>
          <a:r>
            <a:rPr lang="en-IL" b="1">
              <a:solidFill>
                <a:srgbClr val="BFBFBF"/>
              </a:solidFill>
              <a:sym typeface="Wingdings" pitchFamily="2" charset="2"/>
            </a:rPr>
            <a:t>25% </a:t>
          </a:r>
          <a:r>
            <a:rPr lang="en-IL" b="1">
              <a:sym typeface="Wingdings" pitchFamily="2" charset="2"/>
            </a:rPr>
            <a:t>more</a:t>
          </a:r>
          <a:r>
            <a:rPr lang="en-IL">
              <a:sym typeface="Wingdings" pitchFamily="2" charset="2"/>
            </a:rPr>
            <a:t> on Throughput (Read/Write) cost and </a:t>
          </a:r>
          <a:r>
            <a:rPr lang="en-IL" b="1">
              <a:solidFill>
                <a:srgbClr val="548235"/>
              </a:solidFill>
              <a:sym typeface="Wingdings" pitchFamily="2" charset="2"/>
            </a:rPr>
            <a:t>60% </a:t>
          </a:r>
          <a:r>
            <a:rPr lang="en-IL" b="1">
              <a:sym typeface="Wingdings" pitchFamily="2" charset="2"/>
            </a:rPr>
            <a:t>less</a:t>
          </a:r>
          <a:r>
            <a:rPr lang="en-IL">
              <a:sym typeface="Wingdings" pitchFamily="2" charset="2"/>
            </a:rPr>
            <a:t> on Storage cost </a:t>
          </a:r>
          <a:endParaRPr lang="en-IL"/>
        </a:p>
      </xdr:txBody>
    </xdr:sp>
    <xdr:clientData/>
  </xdr:twoCellAnchor>
  <xdr:twoCellAnchor>
    <xdr:from>
      <xdr:col>5</xdr:col>
      <xdr:colOff>736600</xdr:colOff>
      <xdr:row>1</xdr:row>
      <xdr:rowOff>50800</xdr:rowOff>
    </xdr:from>
    <xdr:to>
      <xdr:col>15</xdr:col>
      <xdr:colOff>800100</xdr:colOff>
      <xdr:row>25</xdr:row>
      <xdr:rowOff>152400</xdr:rowOff>
    </xdr:to>
    <xdr:sp macro="" textlink="">
      <xdr:nvSpPr>
        <xdr:cNvPr id="20" name="TextBox 19">
          <a:extLst>
            <a:ext uri="{FF2B5EF4-FFF2-40B4-BE49-F238E27FC236}">
              <a16:creationId xmlns:a16="http://schemas.microsoft.com/office/drawing/2014/main" id="{35560D0C-19F1-9028-7041-C50EEA8760DF}"/>
            </a:ext>
          </a:extLst>
        </xdr:cNvPr>
        <xdr:cNvSpPr txBox="1"/>
      </xdr:nvSpPr>
      <xdr:spPr>
        <a:xfrm>
          <a:off x="11290300" y="254000"/>
          <a:ext cx="8445500" cy="787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calculator is designed to help you determine the most cost-effective DynamoDB table class between Standard and Standard Infrequent Access (Standard-IA) based on your actual read/write throughput and storage costs.</a:t>
          </a:r>
        </a:p>
        <a:p>
          <a:endParaRPr lang="en-US" sz="1400"/>
        </a:p>
        <a:p>
          <a:r>
            <a:rPr lang="en-US" sz="1400" b="1" u="sng"/>
            <a:t>User Guide:</a:t>
          </a:r>
        </a:p>
        <a:p>
          <a:r>
            <a:rPr lang="en-US" sz="1400" b="1"/>
            <a:t>Understanding the Table Class Differences</a:t>
          </a:r>
          <a:r>
            <a:rPr lang="en-US" sz="1400"/>
            <a:t>: </a:t>
          </a:r>
        </a:p>
        <a:p>
          <a:pPr lvl="1"/>
          <a:r>
            <a:rPr lang="en-US" sz="1400"/>
            <a:t>Standard → Standard-IA: Moving from Standard to Standard-IA table class results in a 25% higher cost for throughput (read/write) and a 60% lower cost for storage.</a:t>
          </a:r>
        </a:p>
        <a:p>
          <a:pPr lvl="1"/>
          <a:r>
            <a:rPr lang="en-US" sz="1400"/>
            <a:t>Standard-IA → Standard: Moving from Standard-IA to Standard table class results in a 20% lower cost for throughput (read/write) and a 150% higher cost for storage.</a:t>
          </a:r>
        </a:p>
        <a:p>
          <a:pPr lvl="1"/>
          <a:endParaRPr lang="en-US" sz="1400"/>
        </a:p>
        <a:p>
          <a:r>
            <a:rPr lang="en-US" sz="1400" b="1"/>
            <a:t>Switch from Standard to Standard-IA Check</a:t>
          </a:r>
          <a:r>
            <a:rPr lang="en-US" sz="1400"/>
            <a:t>: </a:t>
          </a:r>
        </a:p>
        <a:p>
          <a:pPr lvl="1"/>
          <a:r>
            <a:rPr lang="en-US" sz="1400"/>
            <a:t>Input your Actual Read/Write Cost and Actual Storage Cost for the Standard table class.</a:t>
          </a:r>
        </a:p>
        <a:p>
          <a:pPr lvl="1"/>
          <a:r>
            <a:rPr lang="en-US" sz="1400"/>
            <a:t>The calculator will display the estimated costs for the Standard-IA table class based on your input.</a:t>
          </a:r>
        </a:p>
        <a:p>
          <a:pPr lvl="1"/>
          <a:r>
            <a:rPr lang="en-US" sz="1400"/>
            <a:t>The Decision Ratio (RW/Storage) compares the actual storage cost with 42% of the throughput cost.</a:t>
          </a:r>
        </a:p>
        <a:p>
          <a:pPr lvl="1"/>
          <a:r>
            <a:rPr lang="en-US" sz="1400"/>
            <a:t>If the actual storage cost is greater than 42% of the throughput cost, the recommendation is to use the Standard-IA table class, along with the potential cost savings.</a:t>
          </a:r>
        </a:p>
        <a:p>
          <a:pPr lvl="1"/>
          <a:endParaRPr lang="en-US" sz="1400"/>
        </a:p>
        <a:p>
          <a:r>
            <a:rPr lang="en-US" sz="1400" b="1"/>
            <a:t>Switch from Standard-IA to Standard Check</a:t>
          </a:r>
          <a:r>
            <a:rPr lang="en-US" sz="1400"/>
            <a:t>: </a:t>
          </a:r>
        </a:p>
        <a:p>
          <a:pPr lvl="1"/>
          <a:r>
            <a:rPr lang="en-US" sz="1400"/>
            <a:t>Input your Actual Read/Write Cost and Actual Storage Cost for the Standard-IA table class.</a:t>
          </a:r>
        </a:p>
        <a:p>
          <a:pPr lvl="1"/>
          <a:r>
            <a:rPr lang="en-US" sz="1400"/>
            <a:t>The calculator will display the estimated costs for the Standard table class based on your input.</a:t>
          </a:r>
        </a:p>
        <a:p>
          <a:pPr lvl="1"/>
          <a:r>
            <a:rPr lang="en-US" sz="1400"/>
            <a:t>The Decision Ratio (Storage/RW) compares the actual storage cost with 13% of the throughput cost for Standard-IA.</a:t>
          </a:r>
        </a:p>
        <a:p>
          <a:pPr lvl="1"/>
          <a:r>
            <a:rPr lang="en-US" sz="1400"/>
            <a:t>If the actual storage cost is less than 13% of the throughput cost, the recommendation is to use the Standard table class, along with the potential cost savings.</a:t>
          </a:r>
        </a:p>
        <a:p>
          <a:pPr lvl="1"/>
          <a:endParaRPr lang="en-US" sz="1400"/>
        </a:p>
        <a:p>
          <a:r>
            <a:rPr lang="en-US" sz="1400" b="1"/>
            <a:t>Cost Adjustment</a:t>
          </a:r>
          <a:r>
            <a:rPr lang="en-US" sz="1400"/>
            <a:t>: </a:t>
          </a:r>
        </a:p>
        <a:p>
          <a:r>
            <a:rPr lang="en-US" sz="1400"/>
            <a:t>The green values can be changed to adjust the cost model and decision ratios if needed.</a:t>
          </a:r>
        </a:p>
        <a:p>
          <a:r>
            <a:rPr lang="en-US" sz="1400"/>
            <a:t>By inputting your actual costs for read/write throughput and storage, this calculator helps you determine whether switching to the Standard or Standard-IA table class would be more cost-effective based on the decision ratios and potential cost savings.</a:t>
          </a:r>
        </a:p>
        <a:p>
          <a:r>
            <a:rPr lang="en-US" sz="1400"/>
            <a:t>Remember, the choice between Standard and Standard-IA depends on your specific workload patterns and the balance between throughput and storage requirements. This calculator provides a data-driven approach to optimizing your DynamoDB costs by selecting the appropriate table class.</a:t>
          </a:r>
        </a:p>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61F7D0-B36B-DD47-8C46-CF821975800D}" name="Table1" displayName="Table1" ref="B27:C31" totalsRowShown="0">
  <autoFilter ref="B27:C31" xr:uid="{7061F7D0-B36B-DD47-8C46-CF821975800D}"/>
  <tableColumns count="2">
    <tableColumn id="1" xr3:uid="{B443148E-431E-ED46-84E0-B842F4959136}" name="Time Unit List"/>
    <tableColumn id="2" xr3:uid="{6F55E112-489A-1847-89B5-2FDB6251A404}" name="Global Tabl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6EA7312-83FB-3648-A8CB-C88F5565BFA1}" name="Table4" displayName="Table4" ref="A2:S34" totalsRowCount="1">
  <autoFilter ref="A2:S33" xr:uid="{D6EA7312-83FB-3648-A8CB-C88F5565BFA1}"/>
  <sortState xmlns:xlrd2="http://schemas.microsoft.com/office/spreadsheetml/2017/richdata2" ref="A3:S33">
    <sortCondition ref="D2:D33"/>
  </sortState>
  <tableColumns count="19">
    <tableColumn id="1" xr3:uid="{4F795EE2-B6FB-B742-8C31-9011902642B6}" name="# aws_region"/>
    <tableColumn id="2" xr3:uid="{CF4D784D-46E9-0C4C-81E2-62740353765A}" name="country_code"/>
    <tableColumn id="3" xr3:uid="{D47278EA-DC28-EA4F-9DFB-6558884EA6FA}" name="region_code"/>
    <tableColumn id="4" xr3:uid="{47C66DF7-3845-274F-9EA1-D5156FF306E8}" name="city"/>
    <tableColumn id="6" xr3:uid="{4CA20C9C-C0C9-404C-A063-3757A6C99919}" name="Standard" dataDxfId="61" totalsRowDxfId="14"/>
    <tableColumn id="15" xr3:uid="{3041EACD-1693-EC4F-9928-6C3936D206CE}" name="Standard_IA" dataDxfId="60" totalsRowDxfId="13"/>
    <tableColumn id="8" xr3:uid="{EC65115E-728D-C840-BE66-3C6FD170968F}" name="Provisioned - WCU" dataDxfId="59" totalsRowDxfId="12"/>
    <tableColumn id="5" xr3:uid="{E5D67E0F-AD04-A149-93D6-A3AF2ECE2F41}" name="Provisioned - RCU" dataDxfId="58" totalsRowDxfId="11"/>
    <tableColumn id="10" xr3:uid="{63500D62-826A-BE41-A0E4-E4BC0A60313C}" name="Provisioned_IA- WCU" dataDxfId="57" totalsRowDxfId="10"/>
    <tableColumn id="7" xr3:uid="{8B367489-BF7E-8B4F-9611-FA953AD6C79E}" name="Provisioned_IA- RCU" dataDxfId="56" totalsRowDxfId="9"/>
    <tableColumn id="12" xr3:uid="{DF393429-B26C-0046-A59F-F50B43491C0C}" name="OD_WRU" dataDxfId="55" totalsRowDxfId="8"/>
    <tableColumn id="9" xr3:uid="{772E548A-0178-ED47-9354-38D5057D5EBD}" name="OD_RRU" dataDxfId="54" totalsRowDxfId="7"/>
    <tableColumn id="11" xr3:uid="{8B38EE2D-1D3C-9F4A-9EB7-08BD8A62CE3A}" name="OD_IA_WRU" dataDxfId="53" totalsRowDxfId="6"/>
    <tableColumn id="13" xr3:uid="{FBA18991-3DBC-224E-B3CB-E81BC4ACEFC0}" name="OD_IA_RRU" dataDxfId="52" totalsRowDxfId="5"/>
    <tableColumn id="17" xr3:uid="{E61725AA-8D5A-0242-B068-AFECA7F4B791}" name="Ratio_P_WCU" dataDxfId="51" totalsRowDxfId="4">
      <calculatedColumnFormula>Table4[[#This Row],[Provisioned_IA- WCU]]/Table4[[#This Row],[Provisioned - WCU]]</calculatedColumnFormula>
    </tableColumn>
    <tableColumn id="18" xr3:uid="{2B5D4F38-E0AF-9E43-8E63-3D8CCA639A89}" name="Ratio_P_RCU" dataDxfId="50" totalsRowDxfId="3">
      <calculatedColumnFormula>Table4[[#This Row],[Provisioned_IA- RCU]]/Table4[[#This Row],[Provisioned - RCU]]</calculatedColumnFormula>
    </tableColumn>
    <tableColumn id="19" xr3:uid="{44B28A4F-B169-BA49-A308-438B27B979B0}" name="RationOD_WCU" dataDxfId="49" totalsRowDxfId="2">
      <calculatedColumnFormula>Table4[[#This Row],[OD_IA_WRU]]/Table4[[#This Row],[OD_WRU]]</calculatedColumnFormula>
    </tableColumn>
    <tableColumn id="20" xr3:uid="{401D964D-329D-F747-A4C3-8903B6AEB0CB}" name="RatioOD_RCU" dataDxfId="48" totalsRowDxfId="1">
      <calculatedColumnFormula>Table4[[#This Row],[OD_IA_RRU]]/Table4[[#This Row],[OD_RRU]]</calculatedColumnFormula>
    </tableColumn>
    <tableColumn id="21" xr3:uid="{17D9228B-9461-7A44-879C-1782D7D904B9}" name="RatioStorage" dataDxfId="47" totalsRowDxfId="0">
      <calculatedColumnFormula>Table4[[#This Row],[Standard_IA]]/Table4[[#This Row],[Standard]]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5111F-7B7D-344C-A811-3E0902529217}">
  <dimension ref="B1:G34"/>
  <sheetViews>
    <sheetView workbookViewId="0">
      <selection activeCell="C43" sqref="C43"/>
    </sheetView>
  </sheetViews>
  <sheetFormatPr baseColWidth="10" defaultRowHeight="16" x14ac:dyDescent="0.2"/>
  <cols>
    <col min="1" max="1" width="4" customWidth="1"/>
    <col min="2" max="2" width="42.5" customWidth="1"/>
    <col min="3" max="3" width="17.1640625" customWidth="1"/>
    <col min="4" max="4" width="14.5" customWidth="1"/>
    <col min="5" max="5" width="17.5" customWidth="1"/>
    <col min="6" max="6" width="16.5" customWidth="1"/>
    <col min="7" max="7" width="13.33203125" customWidth="1"/>
  </cols>
  <sheetData>
    <row r="1" spans="2:7" ht="10" customHeight="1" x14ac:dyDescent="0.2"/>
    <row r="2" spans="2:7" s="84" customFormat="1" ht="38" x14ac:dyDescent="0.2">
      <c r="B2" s="81" t="s">
        <v>175</v>
      </c>
      <c r="C2" s="82" t="s">
        <v>176</v>
      </c>
      <c r="D2" s="82" t="s">
        <v>177</v>
      </c>
      <c r="E2" s="83" t="s">
        <v>178</v>
      </c>
    </row>
    <row r="3" spans="2:7" ht="19" x14ac:dyDescent="0.25">
      <c r="B3" s="85" t="s">
        <v>179</v>
      </c>
      <c r="C3" s="86">
        <v>4</v>
      </c>
      <c r="D3" s="86">
        <v>1</v>
      </c>
      <c r="E3" s="87"/>
    </row>
    <row r="4" spans="2:7" ht="18" customHeight="1" x14ac:dyDescent="0.2">
      <c r="B4" s="85" t="s">
        <v>180</v>
      </c>
      <c r="C4" s="88">
        <f>0.25/1000000</f>
        <v>2.4999999999999999E-7</v>
      </c>
      <c r="D4" s="88">
        <f>1.25/1000000</f>
        <v>1.2500000000000001E-6</v>
      </c>
      <c r="E4" s="87"/>
    </row>
    <row r="5" spans="2:7" ht="18" customHeight="1" x14ac:dyDescent="0.2">
      <c r="B5" s="85" t="s">
        <v>181</v>
      </c>
      <c r="C5" s="89">
        <v>1.2999999999999999E-4</v>
      </c>
      <c r="D5" s="89">
        <v>6.4999999999999997E-4</v>
      </c>
      <c r="E5" s="87"/>
    </row>
    <row r="6" spans="2:7" x14ac:dyDescent="0.2">
      <c r="E6" s="87"/>
    </row>
    <row r="7" spans="2:7" x14ac:dyDescent="0.2">
      <c r="B7" s="85" t="s">
        <v>182</v>
      </c>
      <c r="C7" s="90"/>
      <c r="D7" s="90"/>
      <c r="E7" s="91">
        <v>0.25</v>
      </c>
    </row>
    <row r="9" spans="2:7" x14ac:dyDescent="0.2">
      <c r="B9" s="92" t="s">
        <v>183</v>
      </c>
      <c r="C9" s="93" t="s">
        <v>184</v>
      </c>
    </row>
    <row r="10" spans="2:7" x14ac:dyDescent="0.2">
      <c r="B10" s="92" t="s">
        <v>185</v>
      </c>
      <c r="C10" s="93">
        <v>1</v>
      </c>
      <c r="E10" s="94">
        <f>_xlfn.SWITCH(TimeUnit, "Year", 8760, "Month", 720, "Day", 24, "Hour", 1) * TimeUnitQty</f>
        <v>720</v>
      </c>
    </row>
    <row r="11" spans="2:7" x14ac:dyDescent="0.2">
      <c r="B11" s="92" t="s">
        <v>186</v>
      </c>
      <c r="C11" s="95">
        <v>50</v>
      </c>
    </row>
    <row r="12" spans="2:7" x14ac:dyDescent="0.2">
      <c r="B12" s="92" t="s">
        <v>187</v>
      </c>
      <c r="C12" s="93" t="s">
        <v>188</v>
      </c>
      <c r="E12" s="94">
        <f>_xlfn.SWITCH(GT, "No", 1, "Yes, 2 regions", 2)</f>
        <v>1</v>
      </c>
      <c r="F12" s="94">
        <f>_xlfn.SWITCH(GT, "No", 1, "Yes, 2 regions", 3)</f>
        <v>1</v>
      </c>
    </row>
    <row r="14" spans="2:7" ht="23" customHeight="1" x14ac:dyDescent="0.2">
      <c r="B14" s="96"/>
      <c r="E14" s="97" t="str">
        <f>"  Price per " &amp; TimeUnitQty &amp; " " &amp; TimeUnit &amp; " period:"</f>
        <v xml:space="preserve">  Price per 1 Month period:</v>
      </c>
      <c r="F14" s="98"/>
      <c r="G14" s="98"/>
    </row>
    <row r="15" spans="2:7" s="96" customFormat="1" ht="17" x14ac:dyDescent="0.2">
      <c r="E15" s="99" t="s">
        <v>189</v>
      </c>
      <c r="F15" s="100" t="s">
        <v>190</v>
      </c>
      <c r="G15" s="101" t="s">
        <v>191</v>
      </c>
    </row>
    <row r="16" spans="2:7" ht="21" x14ac:dyDescent="0.25">
      <c r="B16" s="102" t="s">
        <v>192</v>
      </c>
      <c r="C16" s="103">
        <v>100</v>
      </c>
      <c r="D16" s="104" t="s">
        <v>193</v>
      </c>
      <c r="E16" s="105">
        <f>C16*OnDemandRcuPrice*3600*Hours</f>
        <v>64.8</v>
      </c>
      <c r="F16" s="106">
        <f>C16*ProvisionedPricePerReadUnitHourly*Hours*(1/(ProvisioningEfficiency/100))</f>
        <v>18.72</v>
      </c>
      <c r="G16" s="107"/>
    </row>
    <row r="17" spans="2:7" ht="21" x14ac:dyDescent="0.25">
      <c r="B17" s="102" t="s">
        <v>194</v>
      </c>
      <c r="C17" s="103">
        <v>100</v>
      </c>
      <c r="D17" s="104" t="s">
        <v>195</v>
      </c>
      <c r="E17" s="108">
        <f>C17*OnDemandWcuPrice*3600*Hours*GTWrites</f>
        <v>324</v>
      </c>
      <c r="F17" s="109">
        <f>C17*ProvisionedPricePerWriteUnitHourly*Hours*(1/(ProvisioningEfficiency/100))*GTWrites</f>
        <v>93.600000000000009</v>
      </c>
      <c r="G17" s="107"/>
    </row>
    <row r="18" spans="2:7" ht="21" x14ac:dyDescent="0.25">
      <c r="B18" s="102" t="s">
        <v>196</v>
      </c>
      <c r="C18" s="103">
        <v>100</v>
      </c>
      <c r="D18" s="104" t="s">
        <v>197</v>
      </c>
      <c r="E18" s="107"/>
      <c r="F18" s="107"/>
      <c r="G18" s="105">
        <f>C18*StorageCostPerGbHour * (Hours/720)*GTStorage</f>
        <v>25</v>
      </c>
    </row>
    <row r="22" spans="2:7" x14ac:dyDescent="0.2">
      <c r="B22" s="110" t="s">
        <v>198</v>
      </c>
    </row>
    <row r="23" spans="2:7" x14ac:dyDescent="0.2">
      <c r="B23" s="110" t="s">
        <v>199</v>
      </c>
    </row>
    <row r="24" spans="2:7" x14ac:dyDescent="0.2">
      <c r="B24" s="110" t="s">
        <v>200</v>
      </c>
    </row>
    <row r="25" spans="2:7" hidden="1" x14ac:dyDescent="0.2"/>
    <row r="26" spans="2:7" hidden="1" x14ac:dyDescent="0.2"/>
    <row r="27" spans="2:7" hidden="1" x14ac:dyDescent="0.2">
      <c r="B27" t="s">
        <v>201</v>
      </c>
      <c r="C27" t="s">
        <v>202</v>
      </c>
    </row>
    <row r="28" spans="2:7" hidden="1" x14ac:dyDescent="0.2">
      <c r="B28" t="s">
        <v>203</v>
      </c>
      <c r="C28" t="s">
        <v>188</v>
      </c>
    </row>
    <row r="29" spans="2:7" hidden="1" x14ac:dyDescent="0.2">
      <c r="B29" t="s">
        <v>204</v>
      </c>
      <c r="C29" t="s">
        <v>205</v>
      </c>
    </row>
    <row r="30" spans="2:7" hidden="1" x14ac:dyDescent="0.2">
      <c r="B30" t="s">
        <v>184</v>
      </c>
    </row>
    <row r="31" spans="2:7" hidden="1" x14ac:dyDescent="0.2">
      <c r="B31" t="s">
        <v>206</v>
      </c>
    </row>
    <row r="32" spans="2:7" hidden="1" x14ac:dyDescent="0.2"/>
    <row r="33" hidden="1" x14ac:dyDescent="0.2"/>
    <row r="34" hidden="1" x14ac:dyDescent="0.2"/>
  </sheetData>
  <dataValidations count="3">
    <dataValidation type="list" allowBlank="1" showInputMessage="1" showErrorMessage="1" sqref="C12" xr:uid="{EA6DDBB6-4213-C942-AEE9-964048E9D090}">
      <formula1>$C$28:$C$29</formula1>
    </dataValidation>
    <dataValidation type="whole" allowBlank="1" showInputMessage="1" showErrorMessage="1" sqref="C11" xr:uid="{D6E42FBD-5461-444E-81E0-C34F8E03CE7D}">
      <formula1>1</formula1>
      <formula2>100</formula2>
    </dataValidation>
    <dataValidation type="list" allowBlank="1" showInputMessage="1" showErrorMessage="1" sqref="C9" xr:uid="{002149AF-C7EA-E945-B9C4-26D82F61BFEA}">
      <formula1>$B$28:$B$31</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6116E-4397-EA44-966F-6DDC633C7C56}">
  <dimension ref="A1:P40"/>
  <sheetViews>
    <sheetView topLeftCell="G1" zoomScale="80" zoomScaleNormal="80" workbookViewId="0">
      <selection activeCell="J6" sqref="J6"/>
    </sheetView>
  </sheetViews>
  <sheetFormatPr baseColWidth="10" defaultRowHeight="16" x14ac:dyDescent="0.2"/>
  <cols>
    <col min="1" max="1" width="31.6640625" hidden="1" customWidth="1"/>
    <col min="2" max="2" width="23" hidden="1" customWidth="1"/>
    <col min="3" max="3" width="18.5" hidden="1" customWidth="1"/>
    <col min="4" max="4" width="30.33203125" hidden="1" customWidth="1"/>
    <col min="5" max="5" width="17.6640625" hidden="1" customWidth="1"/>
    <col min="6" max="6" width="10.83203125" hidden="1" customWidth="1"/>
    <col min="7" max="7" width="40.83203125" customWidth="1"/>
    <col min="8" max="8" width="27.33203125" customWidth="1"/>
    <col min="9" max="9" width="30.83203125" customWidth="1"/>
    <col min="10" max="10" width="20.1640625" bestFit="1" customWidth="1"/>
    <col min="11" max="11" width="24.6640625" bestFit="1" customWidth="1"/>
    <col min="12" max="12" width="19.6640625" customWidth="1"/>
    <col min="13" max="13" width="14" customWidth="1"/>
    <col min="14" max="14" width="11.83203125" bestFit="1" customWidth="1"/>
    <col min="15" max="15" width="8.5" bestFit="1" customWidth="1"/>
    <col min="16" max="16" width="11.83203125" bestFit="1" customWidth="1"/>
    <col min="17" max="17" width="11.1640625" bestFit="1" customWidth="1"/>
    <col min="18" max="18" width="8.5" bestFit="1" customWidth="1"/>
  </cols>
  <sheetData>
    <row r="1" spans="1:14" x14ac:dyDescent="0.2">
      <c r="A1" s="24"/>
      <c r="B1" s="24"/>
      <c r="C1" s="24"/>
      <c r="D1" s="24"/>
      <c r="E1" s="24"/>
    </row>
    <row r="2" spans="1:14" ht="17" thickBot="1" x14ac:dyDescent="0.25">
      <c r="A2" s="24"/>
      <c r="B2" s="24"/>
      <c r="C2" s="24"/>
      <c r="D2" s="24"/>
      <c r="E2" s="24"/>
    </row>
    <row r="3" spans="1:14" ht="22" thickBot="1" x14ac:dyDescent="0.3">
      <c r="A3" s="122" t="s">
        <v>14</v>
      </c>
      <c r="B3" s="123"/>
      <c r="C3" s="123"/>
      <c r="D3" s="123"/>
      <c r="E3" s="124"/>
      <c r="G3" s="152" t="s">
        <v>121</v>
      </c>
      <c r="H3" s="153"/>
      <c r="I3" s="153"/>
      <c r="J3" s="154"/>
      <c r="K3" s="154"/>
      <c r="L3" s="154"/>
    </row>
    <row r="4" spans="1:14" ht="22" thickBot="1" x14ac:dyDescent="0.3">
      <c r="A4" s="8"/>
      <c r="B4" s="133" t="s">
        <v>9</v>
      </c>
      <c r="C4" s="134"/>
      <c r="D4" s="125" t="s">
        <v>10</v>
      </c>
      <c r="E4" s="126"/>
      <c r="G4" s="41" t="s">
        <v>135</v>
      </c>
      <c r="H4" s="72" t="s">
        <v>116</v>
      </c>
      <c r="I4" s="73">
        <v>0.7</v>
      </c>
    </row>
    <row r="5" spans="1:14" ht="29" x14ac:dyDescent="0.35">
      <c r="A5" s="11" t="s">
        <v>7</v>
      </c>
      <c r="B5" s="135">
        <v>1000</v>
      </c>
      <c r="C5" s="136"/>
      <c r="D5" s="127" cm="1">
        <f t="array" ref="D5">_xlfn.IFS(H4="Provisioned capacity",B5*I36,H4="On Demand",B5*M36)</f>
        <v>1251.0204081632655</v>
      </c>
      <c r="E5" s="128"/>
      <c r="G5" s="41" t="s">
        <v>134</v>
      </c>
      <c r="H5" s="70" t="s">
        <v>76</v>
      </c>
      <c r="I5" s="71" t="str">
        <f>VLOOKUP(H5,Table4[[#All],['# aws_region]:[city]],4,0)</f>
        <v>Europe (Ireland)</v>
      </c>
    </row>
    <row r="6" spans="1:14" ht="30" thickBot="1" x14ac:dyDescent="0.4">
      <c r="A6" s="11" t="s">
        <v>8</v>
      </c>
      <c r="B6" s="137">
        <v>100</v>
      </c>
      <c r="C6" s="138"/>
      <c r="D6" s="129">
        <f>B6*P36</f>
        <v>40</v>
      </c>
      <c r="E6" s="130"/>
      <c r="G6" s="42" t="s">
        <v>131</v>
      </c>
      <c r="H6" s="56">
        <v>1.44</v>
      </c>
      <c r="I6" s="59" t="str">
        <f>H6*1024&amp;(" Bytes")</f>
        <v>1474.56 Bytes</v>
      </c>
    </row>
    <row r="7" spans="1:14" ht="22" thickBot="1" x14ac:dyDescent="0.3">
      <c r="A7" s="12" t="s">
        <v>20</v>
      </c>
      <c r="B7" s="139">
        <f>SUM(B5:B6)</f>
        <v>1100</v>
      </c>
      <c r="C7" s="140"/>
      <c r="D7" s="131">
        <f>SUM(D5:D6)</f>
        <v>1291.0204081632655</v>
      </c>
      <c r="E7" s="132"/>
      <c r="G7" s="37"/>
      <c r="H7" s="74" t="s">
        <v>122</v>
      </c>
      <c r="I7" s="75" t="s">
        <v>118</v>
      </c>
      <c r="J7" s="34"/>
    </row>
    <row r="8" spans="1:14" ht="21" x14ac:dyDescent="0.25">
      <c r="A8" s="13" t="s">
        <v>4</v>
      </c>
      <c r="B8" s="6" t="s">
        <v>3</v>
      </c>
      <c r="C8" s="7" t="s">
        <v>0</v>
      </c>
      <c r="D8" s="7" t="s">
        <v>1</v>
      </c>
      <c r="E8" s="14" t="s">
        <v>11</v>
      </c>
      <c r="F8" s="3"/>
      <c r="G8" s="40" t="s">
        <v>126</v>
      </c>
      <c r="H8" s="55">
        <v>100</v>
      </c>
      <c r="I8" s="57"/>
      <c r="L8" s="2"/>
    </row>
    <row r="9" spans="1:14" ht="22" thickBot="1" x14ac:dyDescent="0.3">
      <c r="A9" s="15">
        <f>B6/B5</f>
        <v>0.1</v>
      </c>
      <c r="B9" s="9">
        <f>B5*0.416667</f>
        <v>416.66700000000003</v>
      </c>
      <c r="C9" s="10">
        <f>B6</f>
        <v>100</v>
      </c>
      <c r="D9" s="16" t="str">
        <f>IF(C9&gt;B9, "Candidate to Standard-IA","Optimized")</f>
        <v>Optimized</v>
      </c>
      <c r="E9" s="17" cm="1">
        <f t="array" ref="E9">_xlfn.IFS(H4="Provisioned capacity",(1-P36)*B6 - (I36-1)*B5,H4="On Demand",(1-P36)*B6 - (M36-1)*B5)</f>
        <v>-191.02040816326542</v>
      </c>
      <c r="F9" s="3"/>
      <c r="G9" s="41" t="s">
        <v>127</v>
      </c>
      <c r="H9" s="60">
        <v>0</v>
      </c>
      <c r="I9" s="58"/>
      <c r="N9" s="2"/>
    </row>
    <row r="10" spans="1:14" ht="22" thickBot="1" x14ac:dyDescent="0.3">
      <c r="A10" s="18" t="s">
        <v>17</v>
      </c>
      <c r="B10" s="19" t="s">
        <v>5</v>
      </c>
      <c r="E10" s="1"/>
      <c r="F10" s="1"/>
      <c r="G10" s="41" t="s">
        <v>136</v>
      </c>
      <c r="H10" s="56">
        <v>0</v>
      </c>
      <c r="I10" s="61">
        <v>0</v>
      </c>
      <c r="M10" s="2"/>
      <c r="N10" s="2"/>
    </row>
    <row r="11" spans="1:14" ht="21" x14ac:dyDescent="0.25">
      <c r="A11" s="5"/>
      <c r="B11" s="5"/>
      <c r="C11" s="5"/>
      <c r="D11" s="5"/>
      <c r="E11" s="5"/>
      <c r="G11" s="41" t="s">
        <v>128</v>
      </c>
      <c r="H11" s="55">
        <v>100</v>
      </c>
      <c r="I11" s="57"/>
      <c r="K11" s="2"/>
    </row>
    <row r="12" spans="1:14" ht="21" x14ac:dyDescent="0.25">
      <c r="A12" s="5"/>
      <c r="B12" s="5"/>
      <c r="C12" s="5"/>
      <c r="D12" s="5"/>
      <c r="E12" s="5"/>
      <c r="G12" s="41" t="s">
        <v>129</v>
      </c>
      <c r="H12" s="60">
        <v>100</v>
      </c>
      <c r="I12" s="58"/>
    </row>
    <row r="13" spans="1:14" ht="22" thickBot="1" x14ac:dyDescent="0.3">
      <c r="A13" s="24"/>
      <c r="B13" s="24"/>
      <c r="C13" s="24"/>
      <c r="D13" s="24"/>
      <c r="E13" s="24"/>
      <c r="G13" s="42" t="s">
        <v>130</v>
      </c>
      <c r="H13" s="56">
        <v>100</v>
      </c>
      <c r="I13" s="59"/>
    </row>
    <row r="14" spans="1:14" ht="20" thickBot="1" x14ac:dyDescent="0.25">
      <c r="A14" s="24"/>
      <c r="B14" s="24"/>
      <c r="C14" s="24"/>
      <c r="D14" s="25"/>
      <c r="E14" s="25"/>
      <c r="F14" s="2"/>
    </row>
    <row r="15" spans="1:14" ht="22" thickBot="1" x14ac:dyDescent="0.3">
      <c r="A15" s="122" t="s">
        <v>15</v>
      </c>
      <c r="B15" s="123"/>
      <c r="C15" s="123"/>
      <c r="D15" s="123"/>
      <c r="E15" s="124"/>
      <c r="G15" s="43" t="s">
        <v>124</v>
      </c>
      <c r="H15" s="44" t="str" cm="1">
        <f t="array" ref="H15">_xlfn.IFS($H$4="On Demand", "Requests (Hour)", $H$4="Provisioned Capacity", "Capacity Units (Hour)")</f>
        <v>Capacity Units (Hour)</v>
      </c>
      <c r="I15" s="44" t="str" cm="1">
        <f t="array" ref="I15">_xlfn.IFS($H$4="On Demand", "Requests (Month)", $H$4="Provisioned Capacity", "Capacity Units (Month)")</f>
        <v>Capacity Units (Month)</v>
      </c>
      <c r="J15" s="44" t="s">
        <v>119</v>
      </c>
      <c r="K15" s="44" t="s">
        <v>120</v>
      </c>
      <c r="L15" s="39" t="s">
        <v>169</v>
      </c>
    </row>
    <row r="16" spans="1:14" ht="30" customHeight="1" thickBot="1" x14ac:dyDescent="0.3">
      <c r="A16" s="8"/>
      <c r="B16" s="133" t="s">
        <v>13</v>
      </c>
      <c r="C16" s="134"/>
      <c r="D16" s="141" t="s">
        <v>12</v>
      </c>
      <c r="E16" s="142"/>
      <c r="G16" s="46" t="str" cm="1">
        <f t="array" ref="G16">_xlfn.IFS($H$4="On Demand", "RRU", $H$4="Provisioned Capacity", "RCU")</f>
        <v>RCU</v>
      </c>
      <c r="H16" s="62" cm="1">
        <f t="array" ref="H16">_xlfn.IFS($H$4="Provisioned Capacity",(CEILING($H$6,4)/4)*(($H$11*(H8/100))*0.5+($H$11*(($H$9/100)))+($H$11*($H$10/100))*2)*(1/I4),$H$4="On Demand",(CEILING($H$6,4)/4)*(($H$11*($H$8/100))*0.5+($H$11*(($H$9/100)))+($H$11*(($H$10/100))*2))*3600*(I4))</f>
        <v>71.428571428571431</v>
      </c>
      <c r="I16" s="62">
        <f>$H$16*730</f>
        <v>52142.857142857145</v>
      </c>
      <c r="J16" s="68" cm="1">
        <f t="array" ref="J16">_xlfn.IFS($H$4="Provisioned Capacity",$I$16*$H$30,$H$4="On Demand",$I$16*$L$30/1000000)</f>
        <v>7.665</v>
      </c>
      <c r="K16" s="166">
        <f>$J$16+$J$17</f>
        <v>160.965</v>
      </c>
      <c r="L16" s="160">
        <f>$K$16+$K$18</f>
        <v>182.19</v>
      </c>
    </row>
    <row r="17" spans="1:16" ht="30" thickBot="1" x14ac:dyDescent="0.4">
      <c r="A17" s="11" t="s">
        <v>7</v>
      </c>
      <c r="B17" s="135">
        <v>1251</v>
      </c>
      <c r="C17" s="136"/>
      <c r="D17" s="143" cm="1">
        <f t="array" ref="D17">_xlfn.IFS(H4="Provisioned capacity",B17/I36,H4="On Demand",B17/M36)</f>
        <v>999.98368678629686</v>
      </c>
      <c r="E17" s="144"/>
      <c r="G17" s="47" t="str" cm="1">
        <f t="array" ref="G17">_xlfn.IFS($H$4="On Demand", "WRU", $H$4="Provisioned Capacity", "WCU")</f>
        <v>WCU</v>
      </c>
      <c r="H17" s="64" cm="1">
        <f t="array" ref="H17">_xlfn.IFS($H$4="Provisioned Capacity",(CEILING($H$6,1)/1)*(($H$12*($I$10/100))*2+($H$12*(1-($I$10/100))))*(1/I4),$H$4="On Demand",(CEILING($H$6,1)/1)*(($H$12*($I$10/100))*3600*2+($H$12*(1-($I$10/100))*3600))*I4)</f>
        <v>285.71428571428572</v>
      </c>
      <c r="I17" s="64">
        <f>H17*730</f>
        <v>208571.42857142858</v>
      </c>
      <c r="J17" s="69" cm="1">
        <f t="array" ref="J17">_xlfn.IFS($H$4="Provisioned Capacity",$I$17*$G$30,$H$4="On Demand",$I$17*$K$30/1000000)</f>
        <v>153.30000000000001</v>
      </c>
      <c r="K17" s="167"/>
      <c r="L17" s="161"/>
    </row>
    <row r="18" spans="1:16" ht="30" thickBot="1" x14ac:dyDescent="0.4">
      <c r="A18" s="11" t="s">
        <v>8</v>
      </c>
      <c r="B18" s="148">
        <v>200</v>
      </c>
      <c r="C18" s="149"/>
      <c r="D18" s="145">
        <f>B18/P36</f>
        <v>500</v>
      </c>
      <c r="E18" s="130"/>
      <c r="G18" s="48" t="s">
        <v>133</v>
      </c>
      <c r="H18" s="155">
        <f>IF($H$13&gt;25,$H$13*$O$30-25*$O$30,0)</f>
        <v>21.224999999999998</v>
      </c>
      <c r="I18" s="156"/>
      <c r="J18" s="157"/>
      <c r="K18" s="45">
        <f>IF($H$13&gt;25,$H$13*$O$30-25*$O$30,0)</f>
        <v>21.224999999999998</v>
      </c>
      <c r="L18" s="162"/>
    </row>
    <row r="19" spans="1:16" ht="22" thickBot="1" x14ac:dyDescent="0.3">
      <c r="A19" s="11" t="s">
        <v>19</v>
      </c>
      <c r="B19" s="150">
        <f>SUM(B17:B18)</f>
        <v>1451</v>
      </c>
      <c r="C19" s="151"/>
      <c r="D19" s="146">
        <f>SUM(D17:D18)</f>
        <v>1499.9836867862969</v>
      </c>
      <c r="E19" s="147"/>
      <c r="G19" s="36"/>
    </row>
    <row r="20" spans="1:16" ht="21" customHeight="1" thickBot="1" x14ac:dyDescent="0.3">
      <c r="A20" s="21" t="s">
        <v>2</v>
      </c>
      <c r="B20" s="6" t="s">
        <v>22</v>
      </c>
      <c r="C20" s="7" t="s">
        <v>21</v>
      </c>
      <c r="D20" s="20" t="s">
        <v>1</v>
      </c>
      <c r="E20" s="22" t="s">
        <v>11</v>
      </c>
      <c r="G20" s="38" t="s">
        <v>123</v>
      </c>
      <c r="H20" s="44" t="str" cm="1">
        <f t="array" ref="H20">_xlfn.IFS($H$4="On Demand", "Requests (Hour)", $H$4="Provisioned Capacity", "Capacity Units (Hour)")</f>
        <v>Capacity Units (Hour)</v>
      </c>
      <c r="I20" s="44" t="str" cm="1">
        <f t="array" ref="I20">_xlfn.IFS($H$4="On Demand", "Requests (Month)", $H$4="Provisioned Capacity", "Capacity Units (Month)")</f>
        <v>Capacity Units (Month)</v>
      </c>
      <c r="J20" s="44" t="s">
        <v>119</v>
      </c>
      <c r="K20" s="44" t="s">
        <v>120</v>
      </c>
      <c r="L20" s="39" t="s">
        <v>169</v>
      </c>
    </row>
    <row r="21" spans="1:16" ht="30" customHeight="1" thickBot="1" x14ac:dyDescent="0.3">
      <c r="A21" s="23">
        <f>B18/B17</f>
        <v>0.15987210231814547</v>
      </c>
      <c r="B21" s="9">
        <f>B17*13.33%</f>
        <v>166.75829999999999</v>
      </c>
      <c r="C21" s="10">
        <f>B18</f>
        <v>200</v>
      </c>
      <c r="D21" s="16" t="str">
        <f>IF(B21&gt;C21,"Candidate to Standard","Optimized")</f>
        <v>Optimized</v>
      </c>
      <c r="E21" s="17" cm="1">
        <f t="array" ref="E21">_xlfn.IFS(H4="Provisioned capacity",(1-1/I36)*B17-(1/P36-1)*B18,H4="On Demand",(1-1/M36)*B17-(1/P36-1)*B18)</f>
        <v>-48.983686786296744</v>
      </c>
      <c r="G21" s="49" t="str" cm="1">
        <f t="array" ref="G21">_xlfn.IFS($H$4="On Demand", "RRU", $H$4="Provisioned Capacity", "RCU")</f>
        <v>RCU</v>
      </c>
      <c r="H21" s="66" cm="1">
        <f t="array" ref="H21">_xlfn.IFS($H$4="Provisioned Capacity",(CEILING($H$6,4)/4)*(($H$11*(H8/100))*0.5+($H$11*(($H$9/100)))+($H$11*($H$10/100))*2)*(1/I4),$H$4="On Demand",(CEILING($H$6,4)/4)*(($H$11*($H$8/100))*0.5+($H$11*(($H$9/100)))+($H$11*(($H$10/100)))*2)*3600)</f>
        <v>71.428571428571431</v>
      </c>
      <c r="I21" s="62">
        <f>$H$21*730</f>
        <v>52142.857142857145</v>
      </c>
      <c r="J21" s="63" cm="1">
        <f t="array" ref="J21">_xlfn.IFS($H$4="Provisioned Capacity",$I$21*$J$30,$H$4="On Demand",$I$21*$N$30/1000000)</f>
        <v>9.5942857142857143</v>
      </c>
      <c r="K21" s="166">
        <f>$J$21+$J$22</f>
        <v>201.27142857142857</v>
      </c>
      <c r="L21" s="163">
        <f>$K$21+$K$23</f>
        <v>209.76142857142858</v>
      </c>
    </row>
    <row r="22" spans="1:16" ht="29" customHeight="1" thickBot="1" x14ac:dyDescent="0.3">
      <c r="A22" s="18" t="s">
        <v>18</v>
      </c>
      <c r="B22" s="19" t="s">
        <v>6</v>
      </c>
      <c r="G22" s="49" t="str" cm="1">
        <f t="array" ref="G22">_xlfn.IFS($H$4="On Demand", "WRU", $H$4="Provisioned Capacity", "WCU")</f>
        <v>WCU</v>
      </c>
      <c r="H22" s="67" cm="1">
        <f t="array" ref="H22">_xlfn.IFS($H$4="Provisioned Capacity",(CEILING($H$6,1)/1)*(($H$12*($I$10/100))*2+($H$12*(1-($I$10/100))))*(1/I4),$H$4="On Demand",(CEILING($H$6,1)/1)*(($H$12*($I$10/100))*3600*2+($H$12*(1-($I$10/100))*3600)))</f>
        <v>285.71428571428572</v>
      </c>
      <c r="I22" s="64">
        <f>H22*730</f>
        <v>208571.42857142858</v>
      </c>
      <c r="J22" s="65" cm="1">
        <f t="array" ref="J22">_xlfn.IFS($H$4="Provisioned Capacity",$I$22*$I$30,$H$4="On Demand",$I$22*$M$30/1000000)</f>
        <v>191.67714285714285</v>
      </c>
      <c r="K22" s="167"/>
      <c r="L22" s="164"/>
    </row>
    <row r="23" spans="1:16" ht="29" customHeight="1" thickBot="1" x14ac:dyDescent="0.4">
      <c r="G23" s="50" t="s">
        <v>133</v>
      </c>
      <c r="H23" s="158">
        <f>IF($H$13&gt;25,$H$13*$P$30-25*$P$30,0)</f>
        <v>8.49</v>
      </c>
      <c r="I23" s="156"/>
      <c r="J23" s="157"/>
      <c r="K23" s="45">
        <f>IF($H$13&gt;25,$H$13*$P$30-25*$P$30,0)</f>
        <v>8.49</v>
      </c>
      <c r="L23" s="165"/>
    </row>
    <row r="24" spans="1:16" ht="17" thickBot="1" x14ac:dyDescent="0.25"/>
    <row r="25" spans="1:16" ht="21" customHeight="1" x14ac:dyDescent="0.25">
      <c r="A25" s="4" t="s">
        <v>16</v>
      </c>
      <c r="G25" s="51" t="s">
        <v>1</v>
      </c>
      <c r="H25" s="52" t="s">
        <v>11</v>
      </c>
    </row>
    <row r="26" spans="1:16" ht="22" thickBot="1" x14ac:dyDescent="0.3">
      <c r="D26" s="35"/>
      <c r="G26" s="53" t="str" cm="1">
        <f t="array" ref="G26">_xlfn.IFS($L$21&gt;$L$16,"Candidate to Standard",$L$16&gt;$L$21,"Candidate to Standard-IA",$L$21=$L$16,"Even")</f>
        <v>Candidate to Standard</v>
      </c>
      <c r="H26" s="54" cm="1">
        <f t="array" ref="H26">_xlfn.IFS($G$26="Candidate to Standard",$L$21-$L$16,$G$26="Candidate to Standard-IA",$L$16-$L$21,$G$26="Even", 0)</f>
        <v>27.571428571428584</v>
      </c>
    </row>
    <row r="27" spans="1:16" ht="17" thickBot="1" x14ac:dyDescent="0.25">
      <c r="D27" s="35"/>
    </row>
    <row r="28" spans="1:16" ht="20" thickBot="1" x14ac:dyDescent="0.3">
      <c r="G28" s="44" t="s">
        <v>168</v>
      </c>
    </row>
    <row r="29" spans="1:16" ht="17" customHeight="1" x14ac:dyDescent="0.2">
      <c r="G29" s="76" t="s">
        <v>107</v>
      </c>
      <c r="H29" s="77" t="s">
        <v>114</v>
      </c>
      <c r="I29" s="77" t="s">
        <v>108</v>
      </c>
      <c r="J29" s="77" t="s">
        <v>115</v>
      </c>
      <c r="K29" s="77" t="s">
        <v>110</v>
      </c>
      <c r="L29" s="77" t="s">
        <v>109</v>
      </c>
      <c r="M29" s="77" t="s">
        <v>113</v>
      </c>
      <c r="N29" s="78" t="s">
        <v>112</v>
      </c>
      <c r="O29" s="79" t="s">
        <v>12</v>
      </c>
      <c r="P29" s="80" t="s">
        <v>111</v>
      </c>
    </row>
    <row r="30" spans="1:16" ht="17" thickBot="1" x14ac:dyDescent="0.25">
      <c r="G30" s="32">
        <f>VLOOKUP($H$5,Table4[#All],7,0)</f>
        <v>7.3499999999999998E-4</v>
      </c>
      <c r="H30" s="33">
        <f>VLOOKUP($H$5,Table4[#All],8,0)</f>
        <v>1.47E-4</v>
      </c>
      <c r="I30" s="33">
        <f>VLOOKUP($H$5,Table4[#All],9,0)</f>
        <v>9.19E-4</v>
      </c>
      <c r="J30" s="33">
        <f>VLOOKUP($H$5,Table4[#All],10,0)</f>
        <v>1.84E-4</v>
      </c>
      <c r="K30" s="33">
        <f>VLOOKUP($H$5,Table4[#All],11,0)</f>
        <v>0.70499999999999996</v>
      </c>
      <c r="L30" s="33">
        <f>VLOOKUP($H$5,Table4[#All],12,0)</f>
        <v>0.14149999999999999</v>
      </c>
      <c r="M30" s="33">
        <f>VLOOKUP($H$5,Table4[#All],13,0)</f>
        <v>0.88500000000000001</v>
      </c>
      <c r="N30" s="33">
        <f>VLOOKUP($H$5,Table4[#All],14,0)</f>
        <v>0.17699999999999999</v>
      </c>
      <c r="O30" s="30">
        <f>VLOOKUP($H$5,Table4[#All],5,0)</f>
        <v>0.28299999999999997</v>
      </c>
      <c r="P30" s="31">
        <f>VLOOKUP($H$5,Table4[#All],6,0)</f>
        <v>0.1132</v>
      </c>
    </row>
    <row r="33" spans="8:16" hidden="1" x14ac:dyDescent="0.2"/>
    <row r="34" spans="8:16" hidden="1" x14ac:dyDescent="0.2"/>
    <row r="35" spans="8:16" hidden="1" x14ac:dyDescent="0.2">
      <c r="I35">
        <f>$I$30/$G$30</f>
        <v>1.2503401360544217</v>
      </c>
      <c r="J35">
        <f>$J$30/$H$30</f>
        <v>1.2517006802721089</v>
      </c>
      <c r="M35">
        <f>$M$30/$K$30</f>
        <v>1.2553191489361704</v>
      </c>
      <c r="N35">
        <f>$N$30/$L$30</f>
        <v>1.2508833922261484</v>
      </c>
    </row>
    <row r="36" spans="8:16" hidden="1" x14ac:dyDescent="0.2">
      <c r="H36" t="s">
        <v>132</v>
      </c>
      <c r="I36" s="159">
        <f>$J$35*($H$11/($H$11+$H$12))+$I$35*($H$12/($H$12+$H$11))</f>
        <v>1.2510204081632654</v>
      </c>
      <c r="J36" s="159"/>
      <c r="L36" t="s">
        <v>125</v>
      </c>
      <c r="M36" s="159">
        <f>$N$35*($H$11/($H$11+$H$12))+$M$35*($H$12/($H$12+$H$11))</f>
        <v>1.2531012705811593</v>
      </c>
      <c r="N36" s="159"/>
      <c r="P36">
        <f>$P$30/$O$30</f>
        <v>0.4</v>
      </c>
    </row>
    <row r="37" spans="8:16" hidden="1" x14ac:dyDescent="0.2"/>
    <row r="38" spans="8:16" hidden="1" x14ac:dyDescent="0.2"/>
    <row r="40" spans="8:16" ht="3" customHeight="1" x14ac:dyDescent="0.2"/>
  </sheetData>
  <mergeCells count="27">
    <mergeCell ref="G3:L3"/>
    <mergeCell ref="H18:J18"/>
    <mergeCell ref="H23:J23"/>
    <mergeCell ref="I36:J36"/>
    <mergeCell ref="M36:N36"/>
    <mergeCell ref="L16:L18"/>
    <mergeCell ref="L21:L23"/>
    <mergeCell ref="K21:K22"/>
    <mergeCell ref="K16:K17"/>
    <mergeCell ref="D16:E16"/>
    <mergeCell ref="D17:E17"/>
    <mergeCell ref="D18:E18"/>
    <mergeCell ref="D19:E19"/>
    <mergeCell ref="B16:C16"/>
    <mergeCell ref="B17:C17"/>
    <mergeCell ref="B18:C18"/>
    <mergeCell ref="B19:C19"/>
    <mergeCell ref="A15:E15"/>
    <mergeCell ref="A3:E3"/>
    <mergeCell ref="D4:E4"/>
    <mergeCell ref="D5:E5"/>
    <mergeCell ref="D6:E6"/>
    <mergeCell ref="D7:E7"/>
    <mergeCell ref="B4:C4"/>
    <mergeCell ref="B5:C5"/>
    <mergeCell ref="B6:C6"/>
    <mergeCell ref="B7:C7"/>
  </mergeCells>
  <conditionalFormatting sqref="A9">
    <cfRule type="cellIs" dxfId="46" priority="11" stopIfTrue="1" operator="lessThan">
      <formula>0.4166</formula>
    </cfRule>
    <cfRule type="cellIs" dxfId="45" priority="12" stopIfTrue="1" operator="greaterThan">
      <formula>41.66%</formula>
    </cfRule>
    <cfRule type="cellIs" dxfId="44" priority="13" operator="greaterThan">
      <formula>0.1333</formula>
    </cfRule>
    <cfRule type="cellIs" dxfId="43" priority="14" operator="lessThanOrEqual">
      <formula>13.33%</formula>
    </cfRule>
  </conditionalFormatting>
  <conditionalFormatting sqref="A21">
    <cfRule type="cellIs" dxfId="42" priority="15" operator="greaterThan">
      <formula>0.1333</formula>
    </cfRule>
    <cfRule type="cellIs" dxfId="41" priority="16" operator="lessThanOrEqual">
      <formula>13.33%</formula>
    </cfRule>
  </conditionalFormatting>
  <conditionalFormatting sqref="D9">
    <cfRule type="containsText" dxfId="40" priority="9" operator="containsText" text="Candidate">
      <formula>NOT(ISERROR(SEARCH("Candidate",D9)))</formula>
    </cfRule>
    <cfRule type="containsText" dxfId="39" priority="10" stopIfTrue="1" operator="containsText" text="Optimized">
      <formula>NOT(ISERROR(SEARCH("Optimized",D9)))</formula>
    </cfRule>
  </conditionalFormatting>
  <conditionalFormatting sqref="D21">
    <cfRule type="containsText" dxfId="38" priority="7" operator="containsText" text="Optimized">
      <formula>NOT(ISERROR(SEARCH("Optimized",D21)))</formula>
    </cfRule>
    <cfRule type="containsText" dxfId="37" priority="8" operator="containsText" text="Candidate">
      <formula>NOT(ISERROR(SEARCH("Candidate",D21)))</formula>
    </cfRule>
  </conditionalFormatting>
  <conditionalFormatting sqref="E9">
    <cfRule type="cellIs" dxfId="36" priority="5" operator="lessThan">
      <formula>0</formula>
    </cfRule>
    <cfRule type="cellIs" dxfId="35" priority="6" operator="greaterThan">
      <formula>0</formula>
    </cfRule>
  </conditionalFormatting>
  <conditionalFormatting sqref="E21">
    <cfRule type="cellIs" dxfId="34" priority="17" operator="lessThan">
      <formula>0</formula>
    </cfRule>
    <cfRule type="cellIs" dxfId="33" priority="18" operator="greaterThan">
      <formula>0</formula>
    </cfRule>
  </conditionalFormatting>
  <conditionalFormatting sqref="G26">
    <cfRule type="containsText" dxfId="32" priority="1" operator="containsText" text="Candidate">
      <formula>NOT(ISERROR(SEARCH("Candidate",G26)))</formula>
    </cfRule>
    <cfRule type="containsText" dxfId="31" priority="2" stopIfTrue="1" operator="containsText" text="Optimized">
      <formula>NOT(ISERROR(SEARCH("Optimized",G26)))</formula>
    </cfRule>
  </conditionalFormatting>
  <conditionalFormatting sqref="H26">
    <cfRule type="cellIs" dxfId="30" priority="3" operator="lessThan">
      <formula>0</formula>
    </cfRule>
    <cfRule type="cellIs" dxfId="29" priority="4" operator="greaterThan">
      <formula>0</formula>
    </cfRule>
  </conditionalFormatting>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6CA8B8E-9B4A-9347-BDA1-37AA3E4E8167}">
          <x14:formula1>
            <xm:f>List!$A$1:$A$2</xm:f>
          </x14:formula1>
          <xm:sqref>H4</xm:sqref>
        </x14:dataValidation>
        <x14:dataValidation type="list" allowBlank="1" showInputMessage="1" showErrorMessage="1" xr:uid="{165E7ABC-91B7-5B46-AB18-0905A390D783}">
          <x14:formula1>
            <xm:f>Data!$A$3:$A$33</xm:f>
          </x14:formula1>
          <xm:sqref>H5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87C15-877C-2B4D-AD91-43E51C53AD46}">
  <dimension ref="A1:F24"/>
  <sheetViews>
    <sheetView tabSelected="1" zoomScale="80" zoomScaleNormal="80" workbookViewId="0">
      <selection activeCell="D25" sqref="D25"/>
    </sheetView>
  </sheetViews>
  <sheetFormatPr baseColWidth="10" defaultColWidth="11" defaultRowHeight="16" x14ac:dyDescent="0.2"/>
  <cols>
    <col min="1" max="1" width="31.6640625" bestFit="1" customWidth="1"/>
    <col min="2" max="2" width="33.6640625" customWidth="1"/>
    <col min="3" max="3" width="32.1640625" customWidth="1"/>
    <col min="4" max="4" width="28.83203125" bestFit="1" customWidth="1"/>
    <col min="5" max="5" width="12.1640625" bestFit="1" customWidth="1"/>
  </cols>
  <sheetData>
    <row r="1" spans="1:6" x14ac:dyDescent="0.2">
      <c r="A1" s="24"/>
      <c r="B1" s="24"/>
      <c r="C1" s="24"/>
      <c r="D1" s="24"/>
      <c r="E1" s="24"/>
    </row>
    <row r="2" spans="1:6" ht="17" thickBot="1" x14ac:dyDescent="0.25">
      <c r="A2" s="24"/>
      <c r="B2" s="24"/>
      <c r="C2" s="24"/>
      <c r="D2" s="24"/>
      <c r="E2" s="24"/>
    </row>
    <row r="3" spans="1:6" ht="22" thickBot="1" x14ac:dyDescent="0.25">
      <c r="A3" s="122" t="s">
        <v>14</v>
      </c>
      <c r="B3" s="123"/>
      <c r="C3" s="123"/>
      <c r="D3" s="123"/>
      <c r="E3" s="124"/>
    </row>
    <row r="4" spans="1:6" ht="20" thickBot="1" x14ac:dyDescent="0.3">
      <c r="A4" s="8"/>
      <c r="B4" s="171" t="s">
        <v>9</v>
      </c>
      <c r="C4" s="172"/>
      <c r="D4" s="125" t="s">
        <v>10</v>
      </c>
      <c r="E4" s="126"/>
    </row>
    <row r="5" spans="1:6" ht="29" x14ac:dyDescent="0.35">
      <c r="A5" s="11" t="s">
        <v>207</v>
      </c>
      <c r="B5" s="168">
        <v>1000</v>
      </c>
      <c r="C5" s="169"/>
      <c r="D5" s="170">
        <f>B5*1.25</f>
        <v>1250</v>
      </c>
      <c r="E5" s="128"/>
    </row>
    <row r="6" spans="1:6" ht="80" customHeight="1" x14ac:dyDescent="0.35">
      <c r="A6" s="11" t="s">
        <v>208</v>
      </c>
      <c r="B6" s="179">
        <v>100</v>
      </c>
      <c r="C6" s="180"/>
      <c r="D6" s="181">
        <f>B6*0.4</f>
        <v>40</v>
      </c>
      <c r="E6" s="182"/>
    </row>
    <row r="7" spans="1:6" ht="22" thickBot="1" x14ac:dyDescent="0.3">
      <c r="A7" s="12" t="s">
        <v>209</v>
      </c>
      <c r="B7" s="176">
        <f>SUM(B5:B6)</f>
        <v>1100</v>
      </c>
      <c r="C7" s="177"/>
      <c r="D7" s="183">
        <f>SUM(D5:D6)</f>
        <v>1290</v>
      </c>
      <c r="E7" s="184"/>
    </row>
    <row r="8" spans="1:6" ht="40" x14ac:dyDescent="0.25">
      <c r="A8" s="13" t="s">
        <v>4</v>
      </c>
      <c r="B8" s="111" t="s">
        <v>3</v>
      </c>
      <c r="C8" s="112" t="s">
        <v>0</v>
      </c>
      <c r="D8" s="7" t="s">
        <v>1</v>
      </c>
      <c r="E8" s="14" t="s">
        <v>11</v>
      </c>
      <c r="F8" s="3"/>
    </row>
    <row r="9" spans="1:6" ht="22" thickBot="1" x14ac:dyDescent="0.3">
      <c r="A9" s="15">
        <f>B6/B5</f>
        <v>0.1</v>
      </c>
      <c r="B9" s="9">
        <f>B5*0.416667</f>
        <v>416.66700000000003</v>
      </c>
      <c r="C9" s="10">
        <f>B6</f>
        <v>100</v>
      </c>
      <c r="D9" s="16" t="str">
        <f>IF(C9&gt;B9, "Candidate to Standard-IA","Optimized")</f>
        <v>Optimized</v>
      </c>
      <c r="E9" s="17">
        <f>0.6*B6 - 0.25*B5</f>
        <v>-190</v>
      </c>
      <c r="F9" s="3"/>
    </row>
    <row r="10" spans="1:6" x14ac:dyDescent="0.2">
      <c r="A10" s="18" t="s">
        <v>17</v>
      </c>
      <c r="B10" s="19" t="s">
        <v>5</v>
      </c>
      <c r="E10" s="1"/>
      <c r="F10" s="1"/>
    </row>
    <row r="11" spans="1:6" x14ac:dyDescent="0.2">
      <c r="A11" s="5"/>
      <c r="B11" s="5"/>
      <c r="C11" s="5"/>
      <c r="D11" s="5"/>
      <c r="E11" s="5"/>
    </row>
    <row r="12" spans="1:6" x14ac:dyDescent="0.2">
      <c r="A12" s="5"/>
      <c r="B12" s="5"/>
      <c r="C12" s="5"/>
      <c r="D12" s="5"/>
      <c r="E12" s="5"/>
    </row>
    <row r="13" spans="1:6" x14ac:dyDescent="0.2">
      <c r="A13" s="24"/>
      <c r="B13" s="24"/>
      <c r="C13" s="24"/>
      <c r="D13" s="24"/>
      <c r="E13" s="24"/>
    </row>
    <row r="14" spans="1:6" ht="20" thickBot="1" x14ac:dyDescent="0.25">
      <c r="A14" s="24"/>
      <c r="B14" s="24"/>
      <c r="C14" s="24"/>
      <c r="D14" s="25"/>
      <c r="E14" s="25"/>
      <c r="F14" s="2"/>
    </row>
    <row r="15" spans="1:6" ht="22" thickBot="1" x14ac:dyDescent="0.25">
      <c r="A15" s="122" t="s">
        <v>15</v>
      </c>
      <c r="B15" s="123"/>
      <c r="C15" s="123"/>
      <c r="D15" s="123"/>
      <c r="E15" s="124"/>
    </row>
    <row r="16" spans="1:6" ht="20" thickBot="1" x14ac:dyDescent="0.3">
      <c r="A16" s="8"/>
      <c r="B16" s="171" t="s">
        <v>13</v>
      </c>
      <c r="C16" s="141"/>
      <c r="D16" s="171" t="s">
        <v>12</v>
      </c>
      <c r="E16" s="142"/>
    </row>
    <row r="17" spans="1:5" ht="29" x14ac:dyDescent="0.35">
      <c r="A17" s="113" t="s">
        <v>7</v>
      </c>
      <c r="B17" s="185">
        <v>6000</v>
      </c>
      <c r="C17" s="186"/>
      <c r="D17" s="127">
        <f>B17/1.25</f>
        <v>4800</v>
      </c>
      <c r="E17" s="128"/>
    </row>
    <row r="18" spans="1:5" ht="80" customHeight="1" x14ac:dyDescent="0.35">
      <c r="A18" s="113" t="s">
        <v>8</v>
      </c>
      <c r="B18" s="173">
        <v>168</v>
      </c>
      <c r="C18" s="174"/>
      <c r="D18" s="175">
        <f>B18/0.4</f>
        <v>420</v>
      </c>
      <c r="E18" s="130"/>
    </row>
    <row r="19" spans="1:5" ht="22" thickBot="1" x14ac:dyDescent="0.3">
      <c r="A19" s="114" t="s">
        <v>19</v>
      </c>
      <c r="B19" s="176">
        <f>SUM(B17:B18)</f>
        <v>6168</v>
      </c>
      <c r="C19" s="177"/>
      <c r="D19" s="178">
        <f>SUM(D17:D18)</f>
        <v>5220</v>
      </c>
      <c r="E19" s="147"/>
    </row>
    <row r="20" spans="1:5" ht="17" x14ac:dyDescent="0.2">
      <c r="A20" s="115" t="s">
        <v>2</v>
      </c>
      <c r="B20" s="116" t="s">
        <v>22</v>
      </c>
      <c r="C20" s="117" t="s">
        <v>21</v>
      </c>
      <c r="D20" s="117" t="s">
        <v>1</v>
      </c>
      <c r="E20" s="118" t="s">
        <v>11</v>
      </c>
    </row>
    <row r="21" spans="1:5" ht="22" thickBot="1" x14ac:dyDescent="0.3">
      <c r="A21" s="119">
        <f>B18/B17</f>
        <v>2.8000000000000001E-2</v>
      </c>
      <c r="B21" s="9">
        <f>B17*13.33%</f>
        <v>799.8</v>
      </c>
      <c r="C21" s="10">
        <f>B18</f>
        <v>168</v>
      </c>
      <c r="D21" s="120" t="str">
        <f>IF(B21&gt;C21,"Candidate to Standard","Optimized")</f>
        <v>Candidate to Standard</v>
      </c>
      <c r="E21" s="121">
        <f>0.2*B17-1.5*B18</f>
        <v>948</v>
      </c>
    </row>
    <row r="22" spans="1:5" x14ac:dyDescent="0.2">
      <c r="A22" s="18" t="s">
        <v>18</v>
      </c>
      <c r="B22" s="19" t="s">
        <v>6</v>
      </c>
    </row>
    <row r="24" spans="1:5" x14ac:dyDescent="0.2">
      <c r="A24" s="4" t="s">
        <v>16</v>
      </c>
    </row>
  </sheetData>
  <mergeCells count="18">
    <mergeCell ref="B18:C18"/>
    <mergeCell ref="D18:E18"/>
    <mergeCell ref="B19:C19"/>
    <mergeCell ref="D19:E19"/>
    <mergeCell ref="B6:C6"/>
    <mergeCell ref="D6:E6"/>
    <mergeCell ref="D7:E7"/>
    <mergeCell ref="B7:C7"/>
    <mergeCell ref="A15:E15"/>
    <mergeCell ref="B16:C16"/>
    <mergeCell ref="D16:E16"/>
    <mergeCell ref="B17:C17"/>
    <mergeCell ref="D17:E17"/>
    <mergeCell ref="B5:C5"/>
    <mergeCell ref="D5:E5"/>
    <mergeCell ref="A3:E3"/>
    <mergeCell ref="B4:C4"/>
    <mergeCell ref="D4:E4"/>
  </mergeCells>
  <conditionalFormatting sqref="A9">
    <cfRule type="cellIs" dxfId="28" priority="11" stopIfTrue="1" operator="lessThan">
      <formula>0.4166</formula>
    </cfRule>
    <cfRule type="cellIs" dxfId="27" priority="12" stopIfTrue="1" operator="greaterThan">
      <formula>41.66%</formula>
    </cfRule>
    <cfRule type="cellIs" dxfId="26" priority="13" operator="greaterThan">
      <formula>0.1333</formula>
    </cfRule>
    <cfRule type="cellIs" dxfId="25" priority="14" operator="lessThanOrEqual">
      <formula>13.33%</formula>
    </cfRule>
  </conditionalFormatting>
  <conditionalFormatting sqref="A21">
    <cfRule type="cellIs" dxfId="24" priority="3" operator="greaterThan">
      <formula>0.1333</formula>
    </cfRule>
    <cfRule type="cellIs" dxfId="23" priority="4" operator="lessThanOrEqual">
      <formula>13.33%</formula>
    </cfRule>
  </conditionalFormatting>
  <conditionalFormatting sqref="D9">
    <cfRule type="containsText" dxfId="22" priority="9" operator="containsText" text="Candidate">
      <formula>NOT(ISERROR(SEARCH("Candidate",D9)))</formula>
    </cfRule>
    <cfRule type="containsText" dxfId="21" priority="10" stopIfTrue="1" operator="containsText" text="Optimized">
      <formula>NOT(ISERROR(SEARCH("Optimized",D9)))</formula>
    </cfRule>
  </conditionalFormatting>
  <conditionalFormatting sqref="D21">
    <cfRule type="containsText" dxfId="20" priority="1" operator="containsText" text="Optimized">
      <formula>NOT(ISERROR(SEARCH("Optimized",D21)))</formula>
    </cfRule>
    <cfRule type="containsText" dxfId="19" priority="2" operator="containsText" text="Candidate">
      <formula>NOT(ISERROR(SEARCH("Candidate",D21)))</formula>
    </cfRule>
  </conditionalFormatting>
  <conditionalFormatting sqref="E9">
    <cfRule type="cellIs" dxfId="18" priority="7" operator="lessThan">
      <formula>0</formula>
    </cfRule>
    <cfRule type="cellIs" dxfId="17" priority="8" operator="greaterThan">
      <formula>0</formula>
    </cfRule>
  </conditionalFormatting>
  <conditionalFormatting sqref="E21">
    <cfRule type="cellIs" dxfId="16" priority="5" operator="lessThan">
      <formula>0</formula>
    </cfRule>
    <cfRule type="cellIs" dxfId="15" priority="6" operator="greaterThan">
      <formula>0</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3DC98-ECA8-E340-8618-C286BC8288EE}">
  <dimension ref="A2:S34"/>
  <sheetViews>
    <sheetView topLeftCell="A2" workbookViewId="0">
      <selection activeCell="N30" sqref="N30"/>
    </sheetView>
  </sheetViews>
  <sheetFormatPr baseColWidth="10" defaultColWidth="25.6640625" defaultRowHeight="16" x14ac:dyDescent="0.2"/>
  <cols>
    <col min="1" max="2" width="14.6640625" bestFit="1" customWidth="1"/>
    <col min="3" max="3" width="13.6640625" bestFit="1" customWidth="1"/>
    <col min="4" max="4" width="23.33203125" bestFit="1" customWidth="1"/>
    <col min="5" max="5" width="11" bestFit="1" customWidth="1"/>
    <col min="6" max="6" width="13.6640625" bestFit="1" customWidth="1"/>
    <col min="7" max="7" width="19.1640625" bestFit="1" customWidth="1"/>
    <col min="8" max="8" width="18.33203125" bestFit="1" customWidth="1"/>
    <col min="9" max="9" width="21.33203125" bestFit="1" customWidth="1"/>
    <col min="10" max="10" width="20.6640625" bestFit="1" customWidth="1"/>
    <col min="11" max="11" width="11.6640625" bestFit="1" customWidth="1"/>
    <col min="12" max="12" width="11" bestFit="1" customWidth="1"/>
    <col min="13" max="13" width="14.33203125" bestFit="1" customWidth="1"/>
    <col min="14" max="14" width="13.6640625" bestFit="1" customWidth="1"/>
    <col min="15" max="15" width="15.1640625" bestFit="1" customWidth="1"/>
    <col min="16" max="16" width="14.5" bestFit="1" customWidth="1"/>
    <col min="17" max="17" width="16.83203125" bestFit="1" customWidth="1"/>
    <col min="18" max="18" width="15.1640625" bestFit="1" customWidth="1"/>
    <col min="19" max="19" width="14.33203125" bestFit="1" customWidth="1"/>
  </cols>
  <sheetData>
    <row r="2" spans="1:19" x14ac:dyDescent="0.2">
      <c r="A2" t="s">
        <v>23</v>
      </c>
      <c r="B2" t="s">
        <v>24</v>
      </c>
      <c r="C2" t="s">
        <v>25</v>
      </c>
      <c r="D2" t="s">
        <v>26</v>
      </c>
      <c r="E2" t="s">
        <v>12</v>
      </c>
      <c r="F2" t="s">
        <v>111</v>
      </c>
      <c r="G2" t="s">
        <v>107</v>
      </c>
      <c r="H2" t="s">
        <v>114</v>
      </c>
      <c r="I2" t="s">
        <v>108</v>
      </c>
      <c r="J2" t="s">
        <v>115</v>
      </c>
      <c r="K2" t="s">
        <v>110</v>
      </c>
      <c r="L2" t="s">
        <v>109</v>
      </c>
      <c r="M2" t="s">
        <v>113</v>
      </c>
      <c r="N2" t="s">
        <v>112</v>
      </c>
      <c r="O2" t="s">
        <v>171</v>
      </c>
      <c r="P2" t="s">
        <v>172</v>
      </c>
      <c r="Q2" t="s">
        <v>173</v>
      </c>
      <c r="R2" t="s">
        <v>174</v>
      </c>
      <c r="S2" t="s">
        <v>170</v>
      </c>
    </row>
    <row r="3" spans="1:19" ht="18" x14ac:dyDescent="0.2">
      <c r="A3" t="s">
        <v>28</v>
      </c>
      <c r="B3" t="s">
        <v>27</v>
      </c>
      <c r="C3" t="s">
        <v>29</v>
      </c>
      <c r="D3" t="s">
        <v>159</v>
      </c>
      <c r="E3" s="27">
        <v>0.33677000000000001</v>
      </c>
      <c r="F3" s="27">
        <v>0.13471</v>
      </c>
      <c r="G3" s="26">
        <v>8.7465000000000004E-4</v>
      </c>
      <c r="H3" s="26">
        <v>1.7493000000000001E-4</v>
      </c>
      <c r="I3" s="26">
        <v>9.6469999999999998E-4</v>
      </c>
      <c r="J3" s="26">
        <v>2.187E-4</v>
      </c>
      <c r="K3" s="28">
        <v>0.84</v>
      </c>
      <c r="L3" s="28">
        <v>0.16800000000000001</v>
      </c>
      <c r="M3" s="28">
        <v>1.05</v>
      </c>
      <c r="N3" s="28">
        <v>0.21049999999999999</v>
      </c>
      <c r="O3" s="28">
        <f>Table4[[#This Row],[Provisioned_IA- WCU]]/Table4[[#This Row],[Provisioned - WCU]]</f>
        <v>1.1029554679014462</v>
      </c>
      <c r="P3" s="28">
        <f>Table4[[#This Row],[Provisioned_IA- RCU]]/Table4[[#This Row],[Provisioned - RCU]]</f>
        <v>1.2502143714628708</v>
      </c>
      <c r="Q3" s="28">
        <f>Table4[[#This Row],[OD_IA_WRU]]/Table4[[#This Row],[OD_WRU]]</f>
        <v>1.25</v>
      </c>
      <c r="R3" s="28">
        <f>Table4[[#This Row],[OD_IA_RRU]]/Table4[[#This Row],[OD_RRU]]</f>
        <v>1.2529761904761905</v>
      </c>
      <c r="S3" s="28">
        <f>Table4[[#This Row],[Standard_IA]]/Table4[[#This Row],[Standard]]</f>
        <v>0.40000593877126822</v>
      </c>
    </row>
    <row r="4" spans="1:19" ht="18" x14ac:dyDescent="0.2">
      <c r="A4" t="s">
        <v>30</v>
      </c>
      <c r="B4" t="s">
        <v>31</v>
      </c>
      <c r="C4" t="s">
        <v>32</v>
      </c>
      <c r="D4" t="s">
        <v>156</v>
      </c>
      <c r="E4" s="27">
        <v>0.3135</v>
      </c>
      <c r="F4" s="27">
        <v>0.12540000000000001</v>
      </c>
      <c r="G4" s="26">
        <v>8.1400000000000005E-4</v>
      </c>
      <c r="H4" s="26">
        <v>1.628E-4</v>
      </c>
      <c r="I4" s="26">
        <v>1.018E-3</v>
      </c>
      <c r="J4" s="26">
        <v>2.0350000000000001E-4</v>
      </c>
      <c r="K4" s="28">
        <v>0.78500000000000003</v>
      </c>
      <c r="L4" s="28">
        <v>0.155</v>
      </c>
      <c r="M4" s="28">
        <v>0.98</v>
      </c>
      <c r="N4" s="28">
        <v>0.19500000000000001</v>
      </c>
      <c r="O4" s="28">
        <f>Table4[[#This Row],[Provisioned_IA- WCU]]/Table4[[#This Row],[Provisioned - WCU]]</f>
        <v>1.2506142506142506</v>
      </c>
      <c r="P4" s="28">
        <f>Table4[[#This Row],[Provisioned_IA- RCU]]/Table4[[#This Row],[Provisioned - RCU]]</f>
        <v>1.25</v>
      </c>
      <c r="Q4" s="28">
        <f>Table4[[#This Row],[OD_IA_WRU]]/Table4[[#This Row],[OD_WRU]]</f>
        <v>1.2484076433121019</v>
      </c>
      <c r="R4" s="28">
        <f>Table4[[#This Row],[OD_IA_RRU]]/Table4[[#This Row],[OD_RRU]]</f>
        <v>1.2580645161290323</v>
      </c>
      <c r="S4" s="28">
        <f>Table4[[#This Row],[Standard_IA]]/Table4[[#This Row],[Standard]]</f>
        <v>0.4</v>
      </c>
    </row>
    <row r="5" spans="1:19" ht="18" x14ac:dyDescent="0.2">
      <c r="A5" t="s">
        <v>43</v>
      </c>
      <c r="B5" t="s">
        <v>40</v>
      </c>
      <c r="C5" t="s">
        <v>44</v>
      </c>
      <c r="D5" t="s">
        <v>164</v>
      </c>
      <c r="E5" s="27">
        <v>0.28499999999999998</v>
      </c>
      <c r="F5" s="27">
        <v>0.114</v>
      </c>
      <c r="G5" s="26">
        <v>7.3999999999999999E-4</v>
      </c>
      <c r="H5" s="26">
        <v>1.4799999999999999E-4</v>
      </c>
      <c r="I5" s="26">
        <v>9.3000000000000005E-4</v>
      </c>
      <c r="J5" s="26">
        <v>1.85E-4</v>
      </c>
      <c r="K5" s="28">
        <v>0.71</v>
      </c>
      <c r="L5" s="28">
        <v>0.14249999999999999</v>
      </c>
      <c r="M5" s="28">
        <v>0.89</v>
      </c>
      <c r="N5" s="28">
        <v>0.17799999999999999</v>
      </c>
      <c r="O5" s="28">
        <f>Table4[[#This Row],[Provisioned_IA- WCU]]/Table4[[#This Row],[Provisioned - WCU]]</f>
        <v>1.2567567567567568</v>
      </c>
      <c r="P5" s="28">
        <f>Table4[[#This Row],[Provisioned_IA- RCU]]/Table4[[#This Row],[Provisioned - RCU]]</f>
        <v>1.25</v>
      </c>
      <c r="Q5" s="28">
        <f>Table4[[#This Row],[OD_IA_WRU]]/Table4[[#This Row],[OD_WRU]]</f>
        <v>1.2535211267605635</v>
      </c>
      <c r="R5" s="28">
        <f>Table4[[#This Row],[OD_IA_RRU]]/Table4[[#This Row],[OD_RRU]]</f>
        <v>1.249122807017544</v>
      </c>
      <c r="S5" s="28">
        <f>Table4[[#This Row],[Standard_IA]]/Table4[[#This Row],[Standard]]</f>
        <v>0.4</v>
      </c>
    </row>
    <row r="6" spans="1:19" ht="18" x14ac:dyDescent="0.2">
      <c r="A6" t="s">
        <v>51</v>
      </c>
      <c r="B6" t="s">
        <v>52</v>
      </c>
      <c r="C6" t="s">
        <v>53</v>
      </c>
      <c r="D6" t="s">
        <v>160</v>
      </c>
      <c r="E6" s="27">
        <v>0.28499999999999998</v>
      </c>
      <c r="F6" s="27">
        <v>0.114</v>
      </c>
      <c r="G6" s="26">
        <v>7.3999999999999999E-4</v>
      </c>
      <c r="H6" s="26">
        <v>1.4799999999999999E-4</v>
      </c>
      <c r="I6" s="26">
        <v>9.3000000000000005E-4</v>
      </c>
      <c r="J6" s="26">
        <v>1.8550000000000001E-4</v>
      </c>
      <c r="K6" s="28">
        <v>0.71</v>
      </c>
      <c r="L6" s="28">
        <v>0.14249999999999999</v>
      </c>
      <c r="M6" s="28">
        <v>0.89</v>
      </c>
      <c r="N6" s="28">
        <v>0.17799999999999999</v>
      </c>
      <c r="O6" s="28">
        <f>Table4[[#This Row],[Provisioned_IA- WCU]]/Table4[[#This Row],[Provisioned - WCU]]</f>
        <v>1.2567567567567568</v>
      </c>
      <c r="P6" s="28">
        <f>Table4[[#This Row],[Provisioned_IA- RCU]]/Table4[[#This Row],[Provisioned - RCU]]</f>
        <v>1.2533783783783785</v>
      </c>
      <c r="Q6" s="28">
        <f>Table4[[#This Row],[OD_IA_WRU]]/Table4[[#This Row],[OD_WRU]]</f>
        <v>1.2535211267605635</v>
      </c>
      <c r="R6" s="28">
        <f>Table4[[#This Row],[OD_IA_RRU]]/Table4[[#This Row],[OD_RRU]]</f>
        <v>1.249122807017544</v>
      </c>
      <c r="S6" s="28">
        <f>Table4[[#This Row],[Standard_IA]]/Table4[[#This Row],[Standard]]</f>
        <v>0.4</v>
      </c>
    </row>
    <row r="7" spans="1:19" ht="18" x14ac:dyDescent="0.2">
      <c r="A7" t="s">
        <v>54</v>
      </c>
      <c r="B7" t="s">
        <v>49</v>
      </c>
      <c r="C7" t="s">
        <v>55</v>
      </c>
      <c r="D7" t="s">
        <v>165</v>
      </c>
      <c r="E7" s="27">
        <v>0.28499999999999998</v>
      </c>
      <c r="F7" s="27">
        <v>0.114</v>
      </c>
      <c r="G7" s="26">
        <v>7.3999999999999999E-4</v>
      </c>
      <c r="H7" s="26">
        <v>1.4799999999999999E-4</v>
      </c>
      <c r="I7" s="26">
        <v>9.3000000000000005E-4</v>
      </c>
      <c r="J7" s="26">
        <v>1.8550000000000001E-4</v>
      </c>
      <c r="K7" s="28">
        <v>0.71</v>
      </c>
      <c r="L7" s="28">
        <v>0.14249999999999999</v>
      </c>
      <c r="M7" s="28">
        <v>0.89</v>
      </c>
      <c r="N7" s="28">
        <v>0.17799999999999999</v>
      </c>
      <c r="O7" s="28">
        <f>Table4[[#This Row],[Provisioned_IA- WCU]]/Table4[[#This Row],[Provisioned - WCU]]</f>
        <v>1.2567567567567568</v>
      </c>
      <c r="P7" s="28">
        <f>Table4[[#This Row],[Provisioned_IA- RCU]]/Table4[[#This Row],[Provisioned - RCU]]</f>
        <v>1.2533783783783785</v>
      </c>
      <c r="Q7" s="28">
        <f>Table4[[#This Row],[OD_IA_WRU]]/Table4[[#This Row],[OD_WRU]]</f>
        <v>1.2535211267605635</v>
      </c>
      <c r="R7" s="28">
        <f>Table4[[#This Row],[OD_IA_RRU]]/Table4[[#This Row],[OD_RRU]]</f>
        <v>1.249122807017544</v>
      </c>
      <c r="S7" s="28">
        <f>Table4[[#This Row],[Standard_IA]]/Table4[[#This Row],[Standard]]</f>
        <v>0.4</v>
      </c>
    </row>
    <row r="8" spans="1:19" ht="18" x14ac:dyDescent="0.2">
      <c r="A8" t="s">
        <v>42</v>
      </c>
      <c r="B8" t="s">
        <v>40</v>
      </c>
      <c r="C8" t="s">
        <v>41</v>
      </c>
      <c r="D8" t="s">
        <v>148</v>
      </c>
      <c r="E8" s="27">
        <v>0.28499999999999998</v>
      </c>
      <c r="F8" s="27">
        <v>0.114</v>
      </c>
      <c r="G8" s="26">
        <v>7.3999999999999999E-4</v>
      </c>
      <c r="H8" s="26">
        <v>1.4799999999999999E-4</v>
      </c>
      <c r="I8" s="26">
        <v>9.3000000000000005E-4</v>
      </c>
      <c r="J8" s="26">
        <v>1.85E-4</v>
      </c>
      <c r="K8" s="28">
        <v>0.71</v>
      </c>
      <c r="L8" s="28">
        <v>0.14249999999999999</v>
      </c>
      <c r="M8" s="28">
        <v>0.89</v>
      </c>
      <c r="N8" s="28">
        <v>0.17799999999999999</v>
      </c>
      <c r="O8" s="28">
        <f>Table4[[#This Row],[Provisioned_IA- WCU]]/Table4[[#This Row],[Provisioned - WCU]]</f>
        <v>1.2567567567567568</v>
      </c>
      <c r="P8" s="28">
        <f>Table4[[#This Row],[Provisioned_IA- RCU]]/Table4[[#This Row],[Provisioned - RCU]]</f>
        <v>1.25</v>
      </c>
      <c r="Q8" s="28">
        <f>Table4[[#This Row],[OD_IA_WRU]]/Table4[[#This Row],[OD_WRU]]</f>
        <v>1.2535211267605635</v>
      </c>
      <c r="R8" s="28">
        <f>Table4[[#This Row],[OD_IA_RRU]]/Table4[[#This Row],[OD_RRU]]</f>
        <v>1.249122807017544</v>
      </c>
      <c r="S8" s="28">
        <f>Table4[[#This Row],[Standard_IA]]/Table4[[#This Row],[Standard]]</f>
        <v>0.4</v>
      </c>
    </row>
    <row r="9" spans="1:19" ht="18" x14ac:dyDescent="0.2">
      <c r="A9" t="s">
        <v>39</v>
      </c>
      <c r="B9" t="s">
        <v>34</v>
      </c>
      <c r="C9" t="s">
        <v>35</v>
      </c>
      <c r="D9" t="s">
        <v>153</v>
      </c>
      <c r="E9" s="27">
        <v>0.28499999999999998</v>
      </c>
      <c r="F9" s="27">
        <v>0.114</v>
      </c>
      <c r="G9" s="26">
        <v>7.4200000000000004E-4</v>
      </c>
      <c r="H9" s="26">
        <v>1.484E-4</v>
      </c>
      <c r="I9" s="26">
        <v>9.2800000000000001E-4</v>
      </c>
      <c r="J9" s="26">
        <v>1.8550000000000001E-4</v>
      </c>
      <c r="K9" s="28">
        <v>0.71</v>
      </c>
      <c r="L9" s="28">
        <v>0.14249999999999999</v>
      </c>
      <c r="M9" s="28">
        <v>0.89</v>
      </c>
      <c r="N9" s="28">
        <v>0.17799999999999999</v>
      </c>
      <c r="O9" s="28">
        <f>Table4[[#This Row],[Provisioned_IA- WCU]]/Table4[[#This Row],[Provisioned - WCU]]</f>
        <v>1.2506738544474394</v>
      </c>
      <c r="P9" s="28">
        <f>Table4[[#This Row],[Provisioned_IA- RCU]]/Table4[[#This Row],[Provisioned - RCU]]</f>
        <v>1.25</v>
      </c>
      <c r="Q9" s="28">
        <f>Table4[[#This Row],[OD_IA_WRU]]/Table4[[#This Row],[OD_WRU]]</f>
        <v>1.2535211267605635</v>
      </c>
      <c r="R9" s="28">
        <f>Table4[[#This Row],[OD_IA_RRU]]/Table4[[#This Row],[OD_RRU]]</f>
        <v>1.249122807017544</v>
      </c>
      <c r="S9" s="28">
        <f>Table4[[#This Row],[Standard_IA]]/Table4[[#This Row],[Standard]]</f>
        <v>0.4</v>
      </c>
    </row>
    <row r="10" spans="1:19" ht="18" x14ac:dyDescent="0.2">
      <c r="A10" t="s">
        <v>36</v>
      </c>
      <c r="B10" t="s">
        <v>37</v>
      </c>
      <c r="C10" t="s">
        <v>38</v>
      </c>
      <c r="D10" t="s">
        <v>147</v>
      </c>
      <c r="E10" s="27">
        <v>0.27074999999999999</v>
      </c>
      <c r="F10" s="27">
        <v>0.10829999999999999</v>
      </c>
      <c r="G10" s="26">
        <v>7.0489999999999995E-4</v>
      </c>
      <c r="H10" s="26">
        <v>1.4098E-4</v>
      </c>
      <c r="I10" s="26">
        <v>8.811E-4</v>
      </c>
      <c r="J10" s="26">
        <v>1.762E-4</v>
      </c>
      <c r="K10" s="28">
        <v>0.68</v>
      </c>
      <c r="L10" s="29">
        <v>0.13550000000000001</v>
      </c>
      <c r="M10" s="28">
        <v>0.84499999999999997</v>
      </c>
      <c r="N10" s="28">
        <v>0.16950000000000001</v>
      </c>
      <c r="O10" s="28">
        <f>Table4[[#This Row],[Provisioned_IA- WCU]]/Table4[[#This Row],[Provisioned - WCU]]</f>
        <v>1.2499645339764507</v>
      </c>
      <c r="P10" s="28">
        <f>Table4[[#This Row],[Provisioned_IA- RCU]]/Table4[[#This Row],[Provisioned - RCU]]</f>
        <v>1.2498226698822528</v>
      </c>
      <c r="Q10" s="28">
        <f>Table4[[#This Row],[OD_IA_WRU]]/Table4[[#This Row],[OD_WRU]]</f>
        <v>1.2426470588235292</v>
      </c>
      <c r="R10" s="28">
        <f>Table4[[#This Row],[OD_IA_RRU]]/Table4[[#This Row],[OD_RRU]]</f>
        <v>1.2509225092250922</v>
      </c>
      <c r="S10" s="28">
        <f>Table4[[#This Row],[Standard_IA]]/Table4[[#This Row],[Standard]]</f>
        <v>0.39999999999999997</v>
      </c>
    </row>
    <row r="11" spans="1:19" ht="18" x14ac:dyDescent="0.2">
      <c r="A11" t="s">
        <v>47</v>
      </c>
      <c r="B11" t="s">
        <v>45</v>
      </c>
      <c r="C11" t="s">
        <v>46</v>
      </c>
      <c r="D11" t="s">
        <v>140</v>
      </c>
      <c r="E11" s="27">
        <v>0.28499999999999998</v>
      </c>
      <c r="F11" s="27">
        <v>0.114</v>
      </c>
      <c r="G11" s="26">
        <v>7.3999999999999999E-4</v>
      </c>
      <c r="H11" s="26">
        <v>1.4799999999999999E-4</v>
      </c>
      <c r="I11" s="26">
        <v>9.3000000000000005E-4</v>
      </c>
      <c r="J11" s="26">
        <v>1.8550000000000001E-4</v>
      </c>
      <c r="K11" s="28">
        <v>0.71</v>
      </c>
      <c r="L11" s="28">
        <v>0.14249999999999999</v>
      </c>
      <c r="M11" s="28">
        <v>0.89</v>
      </c>
      <c r="N11" s="28">
        <v>0.17799999999999999</v>
      </c>
      <c r="O11" s="28">
        <f>Table4[[#This Row],[Provisioned_IA- WCU]]/Table4[[#This Row],[Provisioned - WCU]]</f>
        <v>1.2567567567567568</v>
      </c>
      <c r="P11" s="28">
        <f>Table4[[#This Row],[Provisioned_IA- RCU]]/Table4[[#This Row],[Provisioned - RCU]]</f>
        <v>1.2533783783783785</v>
      </c>
      <c r="Q11" s="28">
        <f>Table4[[#This Row],[OD_IA_WRU]]/Table4[[#This Row],[OD_WRU]]</f>
        <v>1.2535211267605635</v>
      </c>
      <c r="R11" s="28">
        <f>Table4[[#This Row],[OD_IA_RRU]]/Table4[[#This Row],[OD_RRU]]</f>
        <v>1.249122807017544</v>
      </c>
      <c r="S11" s="28">
        <f>Table4[[#This Row],[Standard_IA]]/Table4[[#This Row],[Standard]]</f>
        <v>0.4</v>
      </c>
    </row>
    <row r="12" spans="1:19" ht="18" x14ac:dyDescent="0.2">
      <c r="A12" t="s">
        <v>48</v>
      </c>
      <c r="B12" t="s">
        <v>49</v>
      </c>
      <c r="C12" t="s">
        <v>50</v>
      </c>
      <c r="D12" t="s">
        <v>145</v>
      </c>
      <c r="E12" s="27">
        <v>0.28499999999999998</v>
      </c>
      <c r="F12" s="27">
        <v>0.114</v>
      </c>
      <c r="G12" s="26">
        <v>7.3999999999999999E-4</v>
      </c>
      <c r="H12" s="26">
        <v>1.4799999999999999E-4</v>
      </c>
      <c r="I12" s="26">
        <v>9.3000000000000005E-4</v>
      </c>
      <c r="J12" s="26">
        <v>1.8550000000000001E-4</v>
      </c>
      <c r="K12" s="28">
        <v>0.71</v>
      </c>
      <c r="L12" s="28">
        <v>0.14249999999999999</v>
      </c>
      <c r="M12" s="28">
        <v>0.89</v>
      </c>
      <c r="N12" s="28">
        <v>0.17799999999999999</v>
      </c>
      <c r="O12" s="28">
        <f>Table4[[#This Row],[Provisioned_IA- WCU]]/Table4[[#This Row],[Provisioned - WCU]]</f>
        <v>1.2567567567567568</v>
      </c>
      <c r="P12" s="28">
        <f>Table4[[#This Row],[Provisioned_IA- RCU]]/Table4[[#This Row],[Provisioned - RCU]]</f>
        <v>1.2533783783783785</v>
      </c>
      <c r="Q12" s="28">
        <f>Table4[[#This Row],[OD_IA_WRU]]/Table4[[#This Row],[OD_WRU]]</f>
        <v>1.2535211267605635</v>
      </c>
      <c r="R12" s="28">
        <f>Table4[[#This Row],[OD_IA_RRU]]/Table4[[#This Row],[OD_RRU]]</f>
        <v>1.249122807017544</v>
      </c>
      <c r="S12" s="28">
        <f>Table4[[#This Row],[Standard_IA]]/Table4[[#This Row],[Standard]]</f>
        <v>0.4</v>
      </c>
    </row>
    <row r="13" spans="1:19" ht="18" x14ac:dyDescent="0.2">
      <c r="A13" t="s">
        <v>33</v>
      </c>
      <c r="B13" t="s">
        <v>34</v>
      </c>
      <c r="C13" t="s">
        <v>35</v>
      </c>
      <c r="D13" t="s">
        <v>141</v>
      </c>
      <c r="E13" s="27">
        <v>0.28499999999999998</v>
      </c>
      <c r="F13" s="27">
        <v>0.114</v>
      </c>
      <c r="G13" s="26">
        <v>7.4200000000000004E-4</v>
      </c>
      <c r="H13" s="26">
        <v>1.484E-4</v>
      </c>
      <c r="I13" s="26">
        <v>9.2750000000000005E-4</v>
      </c>
      <c r="J13" s="26">
        <v>1.8550000000000001E-4</v>
      </c>
      <c r="K13" s="28">
        <v>0.71499999999999997</v>
      </c>
      <c r="L13" s="28">
        <v>0.14249999999999999</v>
      </c>
      <c r="M13" s="28">
        <v>0.89</v>
      </c>
      <c r="N13" s="28">
        <v>0.17799999999999999</v>
      </c>
      <c r="O13" s="28">
        <f>Table4[[#This Row],[Provisioned_IA- WCU]]/Table4[[#This Row],[Provisioned - WCU]]</f>
        <v>1.25</v>
      </c>
      <c r="P13" s="28">
        <f>Table4[[#This Row],[Provisioned_IA- RCU]]/Table4[[#This Row],[Provisioned - RCU]]</f>
        <v>1.25</v>
      </c>
      <c r="Q13" s="28">
        <f>Table4[[#This Row],[OD_IA_WRU]]/Table4[[#This Row],[OD_WRU]]</f>
        <v>1.2447552447552448</v>
      </c>
      <c r="R13" s="28">
        <f>Table4[[#This Row],[OD_IA_RRU]]/Table4[[#This Row],[OD_RRU]]</f>
        <v>1.249122807017544</v>
      </c>
      <c r="S13" s="28">
        <f>Table4[[#This Row],[Standard_IA]]/Table4[[#This Row],[Standard]]</f>
        <v>0.4</v>
      </c>
    </row>
    <row r="14" spans="1:19" ht="18" x14ac:dyDescent="0.2">
      <c r="A14" t="s">
        <v>101</v>
      </c>
      <c r="B14" t="s">
        <v>96</v>
      </c>
      <c r="C14" t="s">
        <v>99</v>
      </c>
      <c r="D14" t="s">
        <v>154</v>
      </c>
      <c r="E14" s="27">
        <v>0.3</v>
      </c>
      <c r="F14" s="27">
        <v>0.12</v>
      </c>
      <c r="G14" s="26">
        <v>7.7999999999999999E-4</v>
      </c>
      <c r="H14" s="26">
        <v>1.56E-4</v>
      </c>
      <c r="I14" s="26">
        <v>9.7499999999999996E-4</v>
      </c>
      <c r="J14" s="26">
        <v>1.95E-4</v>
      </c>
      <c r="K14" s="28">
        <v>0.75</v>
      </c>
      <c r="L14" s="28">
        <v>0.15</v>
      </c>
      <c r="M14" s="28">
        <v>0.9375</v>
      </c>
      <c r="N14" s="28">
        <v>0.1875</v>
      </c>
      <c r="O14" s="28">
        <f>Table4[[#This Row],[Provisioned_IA- WCU]]/Table4[[#This Row],[Provisioned - WCU]]</f>
        <v>1.25</v>
      </c>
      <c r="P14" s="28">
        <f>Table4[[#This Row],[Provisioned_IA- RCU]]/Table4[[#This Row],[Provisioned - RCU]]</f>
        <v>1.25</v>
      </c>
      <c r="Q14" s="28">
        <f>Table4[[#This Row],[OD_IA_WRU]]/Table4[[#This Row],[OD_WRU]]</f>
        <v>1.25</v>
      </c>
      <c r="R14" s="28">
        <f>Table4[[#This Row],[OD_IA_RRU]]/Table4[[#This Row],[OD_RRU]]</f>
        <v>1.25</v>
      </c>
      <c r="S14" s="28">
        <f>Table4[[#This Row],[Standard_IA]]/Table4[[#This Row],[Standard]]</f>
        <v>0.4</v>
      </c>
    </row>
    <row r="15" spans="1:19" ht="18" x14ac:dyDescent="0.2">
      <c r="A15" t="s">
        <v>102</v>
      </c>
      <c r="B15" t="s">
        <v>96</v>
      </c>
      <c r="C15" t="s">
        <v>103</v>
      </c>
      <c r="D15" t="s">
        <v>142</v>
      </c>
      <c r="E15" s="27">
        <v>0.3</v>
      </c>
      <c r="F15" s="27">
        <v>0.12</v>
      </c>
      <c r="G15" s="26">
        <v>7.7999999999999999E-4</v>
      </c>
      <c r="H15" s="26">
        <v>1.56E-4</v>
      </c>
      <c r="I15" s="26">
        <v>9.7499999999999996E-4</v>
      </c>
      <c r="J15" s="26">
        <v>1.95E-4</v>
      </c>
      <c r="K15" s="28">
        <v>0.75</v>
      </c>
      <c r="L15" s="28">
        <v>0.15</v>
      </c>
      <c r="M15" s="28">
        <v>0.9375</v>
      </c>
      <c r="N15" s="28">
        <v>0.1875</v>
      </c>
      <c r="O15" s="28">
        <f>Table4[[#This Row],[Provisioned_IA- WCU]]/Table4[[#This Row],[Provisioned - WCU]]</f>
        <v>1.25</v>
      </c>
      <c r="P15" s="28">
        <f>Table4[[#This Row],[Provisioned_IA- RCU]]/Table4[[#This Row],[Provisioned - RCU]]</f>
        <v>1.25</v>
      </c>
      <c r="Q15" s="28">
        <f>Table4[[#This Row],[OD_IA_WRU]]/Table4[[#This Row],[OD_WRU]]</f>
        <v>1.25</v>
      </c>
      <c r="R15" s="28">
        <f>Table4[[#This Row],[OD_IA_RRU]]/Table4[[#This Row],[OD_RRU]]</f>
        <v>1.25</v>
      </c>
      <c r="S15" s="28">
        <f>Table4[[#This Row],[Standard_IA]]/Table4[[#This Row],[Standard]]</f>
        <v>0.4</v>
      </c>
    </row>
    <row r="16" spans="1:19" ht="18" x14ac:dyDescent="0.2">
      <c r="A16" t="s">
        <v>56</v>
      </c>
      <c r="B16" t="s">
        <v>57</v>
      </c>
      <c r="C16" t="s">
        <v>58</v>
      </c>
      <c r="D16" t="s">
        <v>150</v>
      </c>
      <c r="E16" s="27">
        <v>0.27500000000000002</v>
      </c>
      <c r="F16" s="27">
        <v>0.11</v>
      </c>
      <c r="G16" s="26">
        <v>7.1500000000000003E-4</v>
      </c>
      <c r="H16" s="26">
        <v>1.4300000000000001E-4</v>
      </c>
      <c r="I16" s="26">
        <v>8.9400000000000005E-4</v>
      </c>
      <c r="J16" s="26">
        <v>1.7899999999999999E-4</v>
      </c>
      <c r="K16" s="28">
        <v>0.6875</v>
      </c>
      <c r="L16" s="28">
        <v>0.13750000000000001</v>
      </c>
      <c r="M16" s="28">
        <v>0.85950000000000004</v>
      </c>
      <c r="N16" s="28">
        <v>0.17199999999999999</v>
      </c>
      <c r="O16" s="28">
        <f>Table4[[#This Row],[Provisioned_IA- WCU]]/Table4[[#This Row],[Provisioned - WCU]]</f>
        <v>1.2503496503496503</v>
      </c>
      <c r="P16" s="28">
        <f>Table4[[#This Row],[Provisioned_IA- RCU]]/Table4[[#This Row],[Provisioned - RCU]]</f>
        <v>1.2517482517482517</v>
      </c>
      <c r="Q16" s="28">
        <f>Table4[[#This Row],[OD_IA_WRU]]/Table4[[#This Row],[OD_WRU]]</f>
        <v>1.2501818181818183</v>
      </c>
      <c r="R16" s="28">
        <f>Table4[[#This Row],[OD_IA_RRU]]/Table4[[#This Row],[OD_RRU]]</f>
        <v>1.2509090909090907</v>
      </c>
      <c r="S16" s="28">
        <f>Table4[[#This Row],[Standard_IA]]/Table4[[#This Row],[Standard]]</f>
        <v>0.39999999999999997</v>
      </c>
    </row>
    <row r="17" spans="1:19" ht="18" x14ac:dyDescent="0.2">
      <c r="A17" t="s">
        <v>59</v>
      </c>
      <c r="B17" t="s">
        <v>57</v>
      </c>
      <c r="C17" t="s">
        <v>60</v>
      </c>
      <c r="D17" t="s">
        <v>167</v>
      </c>
      <c r="E17" s="27">
        <v>0.27500000000000002</v>
      </c>
      <c r="F17" s="27">
        <v>0.11</v>
      </c>
      <c r="G17" s="26">
        <v>7.1500000000000003E-4</v>
      </c>
      <c r="H17" s="26">
        <v>1.4300000000000001E-4</v>
      </c>
      <c r="I17" s="26">
        <v>8.9400000000000005E-4</v>
      </c>
      <c r="J17" s="26">
        <v>1.7899999999999999E-4</v>
      </c>
      <c r="K17" s="28">
        <v>0.6875</v>
      </c>
      <c r="L17" s="28">
        <v>0.13750000000000001</v>
      </c>
      <c r="M17" s="28">
        <v>0.85950000000000004</v>
      </c>
      <c r="N17" s="28">
        <v>0.17199999999999999</v>
      </c>
      <c r="O17" s="28">
        <f>Table4[[#This Row],[Provisioned_IA- WCU]]/Table4[[#This Row],[Provisioned - WCU]]</f>
        <v>1.2503496503496503</v>
      </c>
      <c r="P17" s="28">
        <f>Table4[[#This Row],[Provisioned_IA- RCU]]/Table4[[#This Row],[Provisioned - RCU]]</f>
        <v>1.2517482517482517</v>
      </c>
      <c r="Q17" s="28">
        <f>Table4[[#This Row],[OD_IA_WRU]]/Table4[[#This Row],[OD_WRU]]</f>
        <v>1.2501818181818183</v>
      </c>
      <c r="R17" s="28">
        <f>Table4[[#This Row],[OD_IA_RRU]]/Table4[[#This Row],[OD_RRU]]</f>
        <v>1.2509090909090907</v>
      </c>
      <c r="S17" s="28">
        <f>Table4[[#This Row],[Standard_IA]]/Table4[[#This Row],[Standard]]</f>
        <v>0.39999999999999997</v>
      </c>
    </row>
    <row r="18" spans="1:19" ht="18" x14ac:dyDescent="0.2">
      <c r="A18" t="s">
        <v>62</v>
      </c>
      <c r="B18" t="s">
        <v>61</v>
      </c>
      <c r="C18" t="s">
        <v>63</v>
      </c>
      <c r="D18" t="s">
        <v>146</v>
      </c>
      <c r="E18" s="27">
        <v>0.30599999999999999</v>
      </c>
      <c r="F18" s="27">
        <v>0.12239999999999999</v>
      </c>
      <c r="G18" s="26">
        <v>7.9299999999999998E-4</v>
      </c>
      <c r="H18" s="26">
        <v>1.5860000000000001E-4</v>
      </c>
      <c r="I18" s="26">
        <v>9.9099999999999991E-4</v>
      </c>
      <c r="J18" s="26">
        <v>1.983E-4</v>
      </c>
      <c r="K18" s="28">
        <v>0.76249999999999996</v>
      </c>
      <c r="L18" s="28">
        <v>0.1525</v>
      </c>
      <c r="M18" s="28">
        <v>0.95499999999999996</v>
      </c>
      <c r="N18" s="28">
        <v>0.1905</v>
      </c>
      <c r="O18" s="28">
        <f>Table4[[#This Row],[Provisioned_IA- WCU]]/Table4[[#This Row],[Provisioned - WCU]]</f>
        <v>1.2496847414880201</v>
      </c>
      <c r="P18" s="28">
        <f>Table4[[#This Row],[Provisioned_IA- RCU]]/Table4[[#This Row],[Provisioned - RCU]]</f>
        <v>1.2503152585119797</v>
      </c>
      <c r="Q18" s="28">
        <f>Table4[[#This Row],[OD_IA_WRU]]/Table4[[#This Row],[OD_WRU]]</f>
        <v>1.2524590163934426</v>
      </c>
      <c r="R18" s="28">
        <f>Table4[[#This Row],[OD_IA_RRU]]/Table4[[#This Row],[OD_RRU]]</f>
        <v>1.2491803278688525</v>
      </c>
      <c r="S18" s="28">
        <f>Table4[[#This Row],[Standard_IA]]/Table4[[#This Row],[Standard]]</f>
        <v>0.39999999999999997</v>
      </c>
    </row>
    <row r="19" spans="1:19" ht="18" x14ac:dyDescent="0.2">
      <c r="A19" t="s">
        <v>76</v>
      </c>
      <c r="B19" t="s">
        <v>77</v>
      </c>
      <c r="C19" t="s">
        <v>78</v>
      </c>
      <c r="D19" t="s">
        <v>138</v>
      </c>
      <c r="E19" s="27">
        <v>0.28299999999999997</v>
      </c>
      <c r="F19" s="27">
        <v>0.1132</v>
      </c>
      <c r="G19" s="26">
        <v>7.3499999999999998E-4</v>
      </c>
      <c r="H19" s="26">
        <v>1.47E-4</v>
      </c>
      <c r="I19" s="26">
        <v>9.19E-4</v>
      </c>
      <c r="J19" s="26">
        <v>1.84E-4</v>
      </c>
      <c r="K19" s="28">
        <v>0.70499999999999996</v>
      </c>
      <c r="L19" s="28">
        <v>0.14149999999999999</v>
      </c>
      <c r="M19" s="28">
        <v>0.88500000000000001</v>
      </c>
      <c r="N19" s="28">
        <v>0.17699999999999999</v>
      </c>
      <c r="O19" s="28">
        <f>Table4[[#This Row],[Provisioned_IA- WCU]]/Table4[[#This Row],[Provisioned - WCU]]</f>
        <v>1.2503401360544217</v>
      </c>
      <c r="P19" s="28">
        <f>Table4[[#This Row],[Provisioned_IA- RCU]]/Table4[[#This Row],[Provisioned - RCU]]</f>
        <v>1.2517006802721089</v>
      </c>
      <c r="Q19" s="28">
        <f>Table4[[#This Row],[OD_IA_WRU]]/Table4[[#This Row],[OD_WRU]]</f>
        <v>1.2553191489361704</v>
      </c>
      <c r="R19" s="28">
        <f>Table4[[#This Row],[OD_IA_RRU]]/Table4[[#This Row],[OD_RRU]]</f>
        <v>1.2508833922261484</v>
      </c>
      <c r="S19" s="28">
        <f>Table4[[#This Row],[Standard_IA]]/Table4[[#This Row],[Standard]]</f>
        <v>0.4</v>
      </c>
    </row>
    <row r="20" spans="1:19" ht="18" x14ac:dyDescent="0.2">
      <c r="A20" t="s">
        <v>79</v>
      </c>
      <c r="B20" t="s">
        <v>80</v>
      </c>
      <c r="C20" t="s">
        <v>81</v>
      </c>
      <c r="D20" t="s">
        <v>151</v>
      </c>
      <c r="E20" s="27">
        <v>0.29715000000000003</v>
      </c>
      <c r="F20" s="27">
        <v>0.11885999999999999</v>
      </c>
      <c r="G20" s="26">
        <v>7.7200000000000001E-4</v>
      </c>
      <c r="H20" s="26">
        <v>1.5440000000000001E-4</v>
      </c>
      <c r="I20" s="26">
        <v>9.6500000000000004E-4</v>
      </c>
      <c r="J20" s="26">
        <v>1.93E-4</v>
      </c>
      <c r="K20" s="28">
        <v>0.74229999999999996</v>
      </c>
      <c r="L20" s="28">
        <v>0.1487</v>
      </c>
      <c r="M20" s="28">
        <v>0.92789999999999995</v>
      </c>
      <c r="N20" s="28">
        <v>0.18559999999999999</v>
      </c>
      <c r="O20" s="28">
        <f>Table4[[#This Row],[Provisioned_IA- WCU]]/Table4[[#This Row],[Provisioned - WCU]]</f>
        <v>1.25</v>
      </c>
      <c r="P20" s="28">
        <f>Table4[[#This Row],[Provisioned_IA- RCU]]/Table4[[#This Row],[Provisioned - RCU]]</f>
        <v>1.25</v>
      </c>
      <c r="Q20" s="28">
        <f>Table4[[#This Row],[OD_IA_WRU]]/Table4[[#This Row],[OD_WRU]]</f>
        <v>1.2500336791054829</v>
      </c>
      <c r="R20" s="28">
        <f>Table4[[#This Row],[OD_IA_RRU]]/Table4[[#This Row],[OD_RRU]]</f>
        <v>1.2481506388702084</v>
      </c>
      <c r="S20" s="28">
        <f>Table4[[#This Row],[Standard_IA]]/Table4[[#This Row],[Standard]]</f>
        <v>0.39999999999999997</v>
      </c>
    </row>
    <row r="21" spans="1:19" ht="18" x14ac:dyDescent="0.2">
      <c r="A21" t="s">
        <v>70</v>
      </c>
      <c r="B21" t="s">
        <v>71</v>
      </c>
      <c r="C21" t="s">
        <v>72</v>
      </c>
      <c r="D21" t="s">
        <v>158</v>
      </c>
      <c r="E21" s="27">
        <v>0.29715000000000003</v>
      </c>
      <c r="F21" s="27">
        <v>0.11885999999999999</v>
      </c>
      <c r="G21" s="26">
        <v>7.7174999999999998E-4</v>
      </c>
      <c r="H21" s="26">
        <v>1.5435000000000001E-4</v>
      </c>
      <c r="I21" s="26">
        <v>9.6469999999999998E-4</v>
      </c>
      <c r="J21" s="26">
        <v>1.93E-4</v>
      </c>
      <c r="K21" s="28">
        <v>0.74</v>
      </c>
      <c r="L21" s="28">
        <v>0.1484</v>
      </c>
      <c r="M21" s="28">
        <v>0.92764999999999997</v>
      </c>
      <c r="N21" s="28">
        <v>0.1855</v>
      </c>
      <c r="O21" s="28">
        <f>Table4[[#This Row],[Provisioned_IA- WCU]]/Table4[[#This Row],[Provisioned - WCU]]</f>
        <v>1.2500161969549726</v>
      </c>
      <c r="P21" s="28">
        <f>Table4[[#This Row],[Provisioned_IA- RCU]]/Table4[[#This Row],[Provisioned - RCU]]</f>
        <v>1.2504049238743116</v>
      </c>
      <c r="Q21" s="28">
        <f>Table4[[#This Row],[OD_IA_WRU]]/Table4[[#This Row],[OD_WRU]]</f>
        <v>1.253581081081081</v>
      </c>
      <c r="R21" s="28">
        <f>Table4[[#This Row],[OD_IA_RRU]]/Table4[[#This Row],[OD_RRU]]</f>
        <v>1.25</v>
      </c>
      <c r="S21" s="28">
        <f>Table4[[#This Row],[Standard_IA]]/Table4[[#This Row],[Standard]]</f>
        <v>0.39999999999999997</v>
      </c>
    </row>
    <row r="22" spans="1:19" ht="18" x14ac:dyDescent="0.2">
      <c r="A22" t="s">
        <v>82</v>
      </c>
      <c r="B22" t="s">
        <v>83</v>
      </c>
      <c r="C22" t="s">
        <v>84</v>
      </c>
      <c r="D22" t="s">
        <v>152</v>
      </c>
      <c r="E22" s="27">
        <v>0.29715000000000003</v>
      </c>
      <c r="F22" s="27">
        <v>0.11885999999999999</v>
      </c>
      <c r="G22" s="26">
        <v>7.7200000000000001E-4</v>
      </c>
      <c r="H22" s="26">
        <v>1.5440000000000001E-4</v>
      </c>
      <c r="I22" s="26">
        <v>9.6500000000000004E-4</v>
      </c>
      <c r="J22" s="26">
        <v>1.93E-4</v>
      </c>
      <c r="K22" s="28">
        <v>0.74229999999999996</v>
      </c>
      <c r="L22" s="28">
        <v>0.1487</v>
      </c>
      <c r="M22" s="28">
        <v>0.92789999999999995</v>
      </c>
      <c r="N22" s="28">
        <v>0.18559999999999999</v>
      </c>
      <c r="O22" s="28">
        <f>Table4[[#This Row],[Provisioned_IA- WCU]]/Table4[[#This Row],[Provisioned - WCU]]</f>
        <v>1.25</v>
      </c>
      <c r="P22" s="28">
        <f>Table4[[#This Row],[Provisioned_IA- RCU]]/Table4[[#This Row],[Provisioned - RCU]]</f>
        <v>1.25</v>
      </c>
      <c r="Q22" s="28">
        <f>Table4[[#This Row],[OD_IA_WRU]]/Table4[[#This Row],[OD_WRU]]</f>
        <v>1.2500336791054829</v>
      </c>
      <c r="R22" s="28">
        <f>Table4[[#This Row],[OD_IA_RRU]]/Table4[[#This Row],[OD_RRU]]</f>
        <v>1.2481506388702084</v>
      </c>
      <c r="S22" s="28">
        <f>Table4[[#This Row],[Standard_IA]]/Table4[[#This Row],[Standard]]</f>
        <v>0.39999999999999997</v>
      </c>
    </row>
    <row r="23" spans="1:19" ht="18" x14ac:dyDescent="0.2">
      <c r="A23" t="s">
        <v>73</v>
      </c>
      <c r="B23" t="s">
        <v>74</v>
      </c>
      <c r="C23" t="s">
        <v>75</v>
      </c>
      <c r="D23" t="s">
        <v>163</v>
      </c>
      <c r="E23" s="27">
        <v>0.28299999999999997</v>
      </c>
      <c r="F23" s="27">
        <v>0.1132</v>
      </c>
      <c r="G23" s="26">
        <v>7.3499999999999998E-4</v>
      </c>
      <c r="H23" s="26">
        <v>1.47E-4</v>
      </c>
      <c r="I23" s="26">
        <v>9.19E-4</v>
      </c>
      <c r="J23" s="26">
        <v>1.84E-4</v>
      </c>
      <c r="K23" s="28">
        <v>0.70499999999999996</v>
      </c>
      <c r="L23" s="28">
        <v>0.14149999999999999</v>
      </c>
      <c r="M23" s="28">
        <v>0.88500000000000001</v>
      </c>
      <c r="N23" s="28">
        <v>0.17699999999999999</v>
      </c>
      <c r="O23" s="28">
        <f>Table4[[#This Row],[Provisioned_IA- WCU]]/Table4[[#This Row],[Provisioned - WCU]]</f>
        <v>1.2503401360544217</v>
      </c>
      <c r="P23" s="28">
        <f>Table4[[#This Row],[Provisioned_IA- RCU]]/Table4[[#This Row],[Provisioned - RCU]]</f>
        <v>1.2517006802721089</v>
      </c>
      <c r="Q23" s="28">
        <f>Table4[[#This Row],[OD_IA_WRU]]/Table4[[#This Row],[OD_WRU]]</f>
        <v>1.2553191489361704</v>
      </c>
      <c r="R23" s="28">
        <f>Table4[[#This Row],[OD_IA_RRU]]/Table4[[#This Row],[OD_RRU]]</f>
        <v>1.2508833922261484</v>
      </c>
      <c r="S23" s="28">
        <f>Table4[[#This Row],[Standard_IA]]/Table4[[#This Row],[Standard]]</f>
        <v>0.4</v>
      </c>
    </row>
    <row r="24" spans="1:19" ht="18" x14ac:dyDescent="0.2">
      <c r="A24" t="s">
        <v>67</v>
      </c>
      <c r="B24" t="s">
        <v>68</v>
      </c>
      <c r="C24" t="s">
        <v>69</v>
      </c>
      <c r="D24" t="s">
        <v>155</v>
      </c>
      <c r="E24" s="27">
        <v>0.26900000000000002</v>
      </c>
      <c r="F24" s="27">
        <v>0.1076</v>
      </c>
      <c r="G24" s="26">
        <v>6.9800000000000005E-4</v>
      </c>
      <c r="H24" s="26">
        <v>1.3999999999999999E-4</v>
      </c>
      <c r="I24" s="26">
        <v>8.7250000000000001E-4</v>
      </c>
      <c r="J24" s="26">
        <v>1.75E-4</v>
      </c>
      <c r="K24" s="28">
        <v>0.67</v>
      </c>
      <c r="L24" s="28">
        <v>0.13450000000000001</v>
      </c>
      <c r="M24" s="28">
        <v>0.83399999999999996</v>
      </c>
      <c r="N24" s="28">
        <v>0.16800000000000001</v>
      </c>
      <c r="O24" s="28">
        <f>Table4[[#This Row],[Provisioned_IA- WCU]]/Table4[[#This Row],[Provisioned - WCU]]</f>
        <v>1.25</v>
      </c>
      <c r="P24" s="28">
        <f>Table4[[#This Row],[Provisioned_IA- RCU]]/Table4[[#This Row],[Provisioned - RCU]]</f>
        <v>1.25</v>
      </c>
      <c r="Q24" s="28">
        <f>Table4[[#This Row],[OD_IA_WRU]]/Table4[[#This Row],[OD_WRU]]</f>
        <v>1.2447761194029849</v>
      </c>
      <c r="R24" s="28">
        <f>Table4[[#This Row],[OD_IA_RRU]]/Table4[[#This Row],[OD_RRU]]</f>
        <v>1.2490706319702602</v>
      </c>
      <c r="S24" s="28">
        <f>Table4[[#This Row],[Standard_IA]]/Table4[[#This Row],[Standard]]</f>
        <v>0.39999999999999997</v>
      </c>
    </row>
    <row r="25" spans="1:19" ht="18" x14ac:dyDescent="0.2">
      <c r="A25" t="s">
        <v>64</v>
      </c>
      <c r="B25" t="s">
        <v>65</v>
      </c>
      <c r="C25" t="s">
        <v>66</v>
      </c>
      <c r="D25" t="s">
        <v>162</v>
      </c>
      <c r="E25" s="27">
        <v>0.33660000000000001</v>
      </c>
      <c r="F25" s="27">
        <v>0.13464000000000001</v>
      </c>
      <c r="G25" s="26">
        <v>8.7200000000000005E-4</v>
      </c>
      <c r="H25" s="26">
        <v>1.75E-4</v>
      </c>
      <c r="I25" s="26">
        <v>1.0901000000000001E-3</v>
      </c>
      <c r="J25" s="26">
        <v>2.1800000000000001E-4</v>
      </c>
      <c r="K25" s="28">
        <v>0.83499999999999996</v>
      </c>
      <c r="L25" s="28">
        <v>0.16800000000000001</v>
      </c>
      <c r="M25" s="28">
        <v>1.0505</v>
      </c>
      <c r="N25" s="28">
        <v>0.20949999999999999</v>
      </c>
      <c r="O25" s="28">
        <f>Table4[[#This Row],[Provisioned_IA- WCU]]/Table4[[#This Row],[Provisioned - WCU]]</f>
        <v>1.2501146788990827</v>
      </c>
      <c r="P25" s="28">
        <f>Table4[[#This Row],[Provisioned_IA- RCU]]/Table4[[#This Row],[Provisioned - RCU]]</f>
        <v>1.2457142857142858</v>
      </c>
      <c r="Q25" s="28">
        <f>Table4[[#This Row],[OD_IA_WRU]]/Table4[[#This Row],[OD_WRU]]</f>
        <v>1.2580838323353294</v>
      </c>
      <c r="R25" s="28">
        <f>Table4[[#This Row],[OD_IA_RRU]]/Table4[[#This Row],[OD_RRU]]</f>
        <v>1.2470238095238093</v>
      </c>
      <c r="S25" s="28">
        <f>Table4[[#This Row],[Standard_IA]]/Table4[[#This Row],[Standard]]</f>
        <v>0.4</v>
      </c>
    </row>
    <row r="26" spans="1:19" ht="18" x14ac:dyDescent="0.2">
      <c r="A26" t="s">
        <v>85</v>
      </c>
      <c r="B26" t="s">
        <v>86</v>
      </c>
      <c r="C26" t="s">
        <v>87</v>
      </c>
      <c r="D26" t="s">
        <v>166</v>
      </c>
      <c r="E26" s="27">
        <v>0.33960000000000001</v>
      </c>
      <c r="F26" s="27">
        <v>0.13583999999999999</v>
      </c>
      <c r="G26" s="26">
        <v>8.8199999999999997E-4</v>
      </c>
      <c r="H26" s="26">
        <v>1.7640000000000001E-4</v>
      </c>
      <c r="I26" s="26">
        <v>1.1027999999999999E-3</v>
      </c>
      <c r="J26" s="26">
        <v>2.208E-4</v>
      </c>
      <c r="K26" s="28">
        <v>0.85</v>
      </c>
      <c r="L26" s="28">
        <v>0.17</v>
      </c>
      <c r="M26" s="28">
        <v>1.06</v>
      </c>
      <c r="N26" s="28">
        <v>0.17699999999999999</v>
      </c>
      <c r="O26" s="28">
        <f>Table4[[#This Row],[Provisioned_IA- WCU]]/Table4[[#This Row],[Provisioned - WCU]]</f>
        <v>1.2503401360544217</v>
      </c>
      <c r="P26" s="28">
        <f>Table4[[#This Row],[Provisioned_IA- RCU]]/Table4[[#This Row],[Provisioned - RCU]]</f>
        <v>1.2517006802721089</v>
      </c>
      <c r="Q26" s="28">
        <f>Table4[[#This Row],[OD_IA_WRU]]/Table4[[#This Row],[OD_WRU]]</f>
        <v>1.2470588235294118</v>
      </c>
      <c r="R26" s="28">
        <f>Table4[[#This Row],[OD_IA_RRU]]/Table4[[#This Row],[OD_RRU]]</f>
        <v>1.0411764705882351</v>
      </c>
      <c r="S26" s="28">
        <f>Table4[[#This Row],[Standard_IA]]/Table4[[#This Row],[Standard]]</f>
        <v>0.39999999999999997</v>
      </c>
    </row>
    <row r="27" spans="1:19" ht="18" x14ac:dyDescent="0.2">
      <c r="A27" t="s">
        <v>91</v>
      </c>
      <c r="B27" t="s">
        <v>92</v>
      </c>
      <c r="C27" t="s">
        <v>92</v>
      </c>
      <c r="D27" t="s">
        <v>157</v>
      </c>
      <c r="E27" s="27">
        <v>0.31130000000000002</v>
      </c>
      <c r="F27" s="27">
        <v>0.1245</v>
      </c>
      <c r="G27" s="26">
        <v>8.0849999999999997E-4</v>
      </c>
      <c r="H27" s="26">
        <v>1.617E-4</v>
      </c>
      <c r="I27" s="26">
        <v>1.0106E-3</v>
      </c>
      <c r="J27" s="26">
        <v>2.0210000000000001E-4</v>
      </c>
      <c r="K27" s="28">
        <v>0.77500000000000002</v>
      </c>
      <c r="L27" s="28">
        <v>0.1555</v>
      </c>
      <c r="M27" s="28">
        <v>0.97</v>
      </c>
      <c r="N27" s="28">
        <v>0.19450000000000001</v>
      </c>
      <c r="O27" s="28">
        <f>Table4[[#This Row],[Provisioned_IA- WCU]]/Table4[[#This Row],[Provisioned - WCU]]</f>
        <v>1.2499690785405071</v>
      </c>
      <c r="P27" s="28">
        <f>Table4[[#This Row],[Provisioned_IA- RCU]]/Table4[[#This Row],[Provisioned - RCU]]</f>
        <v>1.2498453927025357</v>
      </c>
      <c r="Q27" s="28">
        <f>Table4[[#This Row],[OD_IA_WRU]]/Table4[[#This Row],[OD_WRU]]</f>
        <v>1.2516129032258063</v>
      </c>
      <c r="R27" s="28">
        <f>Table4[[#This Row],[OD_IA_RRU]]/Table4[[#This Row],[OD_RRU]]</f>
        <v>1.2508038585209003</v>
      </c>
      <c r="S27" s="28">
        <f>Table4[[#This Row],[Standard_IA]]/Table4[[#This Row],[Standard]]</f>
        <v>0.39993575329264375</v>
      </c>
    </row>
    <row r="28" spans="1:19" ht="18" x14ac:dyDescent="0.2">
      <c r="A28" t="s">
        <v>88</v>
      </c>
      <c r="B28" t="s">
        <v>89</v>
      </c>
      <c r="C28" t="s">
        <v>90</v>
      </c>
      <c r="D28" t="s">
        <v>161</v>
      </c>
      <c r="E28" s="27">
        <v>0.31130000000000002</v>
      </c>
      <c r="F28" s="27">
        <v>0.12452000000000001</v>
      </c>
      <c r="G28" s="26">
        <v>8.0849999999999997E-4</v>
      </c>
      <c r="H28" s="26">
        <v>1.617E-4</v>
      </c>
      <c r="I28" s="26">
        <v>1.0108999999999999E-3</v>
      </c>
      <c r="J28" s="26">
        <v>2.0239999999999999E-4</v>
      </c>
      <c r="K28" s="28">
        <v>0.77549999999999997</v>
      </c>
      <c r="L28" s="28">
        <v>0.15565000000000001</v>
      </c>
      <c r="M28" s="28">
        <v>0.97350000000000003</v>
      </c>
      <c r="N28" s="28">
        <v>0.19450000000000001</v>
      </c>
      <c r="O28" s="28">
        <f>Table4[[#This Row],[Provisioned_IA- WCU]]/Table4[[#This Row],[Provisioned - WCU]]</f>
        <v>1.2503401360544217</v>
      </c>
      <c r="P28" s="28">
        <f>Table4[[#This Row],[Provisioned_IA- RCU]]/Table4[[#This Row],[Provisioned - RCU]]</f>
        <v>1.2517006802721087</v>
      </c>
      <c r="Q28" s="28">
        <f>Table4[[#This Row],[OD_IA_WRU]]/Table4[[#This Row],[OD_WRU]]</f>
        <v>1.2553191489361704</v>
      </c>
      <c r="R28" s="28">
        <f>Table4[[#This Row],[OD_IA_RRU]]/Table4[[#This Row],[OD_RRU]]</f>
        <v>1.2495984580790234</v>
      </c>
      <c r="S28" s="28">
        <f>Table4[[#This Row],[Standard_IA]]/Table4[[#This Row],[Standard]]</f>
        <v>0.39999999999999997</v>
      </c>
    </row>
    <row r="29" spans="1:19" ht="18" x14ac:dyDescent="0.2">
      <c r="A29" t="s">
        <v>93</v>
      </c>
      <c r="B29" t="s">
        <v>94</v>
      </c>
      <c r="C29" t="s">
        <v>95</v>
      </c>
      <c r="D29" t="s">
        <v>144</v>
      </c>
      <c r="E29" s="27">
        <v>0.375</v>
      </c>
      <c r="F29" s="27">
        <v>0.15</v>
      </c>
      <c r="G29" s="26">
        <v>9.7499999999999996E-4</v>
      </c>
      <c r="H29" s="26">
        <v>1.95E-4</v>
      </c>
      <c r="I29" s="26">
        <v>1.219E-3</v>
      </c>
      <c r="J29" s="26">
        <v>2.4399999999999999E-4</v>
      </c>
      <c r="K29" s="28">
        <v>0.9375</v>
      </c>
      <c r="L29" s="28">
        <v>0.1875</v>
      </c>
      <c r="M29" s="28">
        <v>1.1719999999999999</v>
      </c>
      <c r="N29" s="28">
        <v>0.23449999999999999</v>
      </c>
      <c r="O29" s="28">
        <f>Table4[[#This Row],[Provisioned_IA- WCU]]/Table4[[#This Row],[Provisioned - WCU]]</f>
        <v>1.2502564102564104</v>
      </c>
      <c r="P29" s="28">
        <f>Table4[[#This Row],[Provisioned_IA- RCU]]/Table4[[#This Row],[Provisioned - RCU]]</f>
        <v>1.2512820512820513</v>
      </c>
      <c r="Q29" s="28">
        <f>Table4[[#This Row],[OD_IA_WRU]]/Table4[[#This Row],[OD_WRU]]</f>
        <v>1.2501333333333333</v>
      </c>
      <c r="R29" s="28">
        <f>Table4[[#This Row],[OD_IA_RRU]]/Table4[[#This Row],[OD_RRU]]</f>
        <v>1.2506666666666666</v>
      </c>
      <c r="S29" s="28">
        <f>Table4[[#This Row],[Standard_IA]]/Table4[[#This Row],[Standard]]</f>
        <v>0.39999999999999997</v>
      </c>
    </row>
    <row r="30" spans="1:19" ht="18" x14ac:dyDescent="0.2">
      <c r="A30" t="s">
        <v>98</v>
      </c>
      <c r="B30" t="s">
        <v>96</v>
      </c>
      <c r="C30" t="s">
        <v>97</v>
      </c>
      <c r="D30" t="s">
        <v>137</v>
      </c>
      <c r="E30" s="27">
        <v>0.25</v>
      </c>
      <c r="F30" s="27">
        <v>0.1</v>
      </c>
      <c r="G30" s="26">
        <v>6.4999999999999997E-4</v>
      </c>
      <c r="H30" s="26">
        <v>1.2999999999999999E-4</v>
      </c>
      <c r="I30" s="26">
        <v>8.0999999999999996E-4</v>
      </c>
      <c r="J30" s="26">
        <v>1.6000000000000001E-4</v>
      </c>
      <c r="K30" s="28">
        <v>0.625</v>
      </c>
      <c r="L30" s="28">
        <v>0.125</v>
      </c>
      <c r="M30" s="28">
        <v>0.78</v>
      </c>
      <c r="N30" s="28">
        <v>0.155</v>
      </c>
      <c r="O30" s="28">
        <f>Table4[[#This Row],[Provisioned_IA- WCU]]/Table4[[#This Row],[Provisioned - WCU]]</f>
        <v>1.2461538461538462</v>
      </c>
      <c r="P30" s="28">
        <f>Table4[[#This Row],[Provisioned_IA- RCU]]/Table4[[#This Row],[Provisioned - RCU]]</f>
        <v>1.2307692307692311</v>
      </c>
      <c r="Q30" s="28">
        <f>Table4[[#This Row],[OD_IA_WRU]]/Table4[[#This Row],[OD_WRU]]</f>
        <v>1.248</v>
      </c>
      <c r="R30" s="28">
        <f>Table4[[#This Row],[OD_IA_RRU]]/Table4[[#This Row],[OD_RRU]]</f>
        <v>1.24</v>
      </c>
      <c r="S30" s="28">
        <f>Table4[[#This Row],[Standard_IA]]/Table4[[#This Row],[Standard]]</f>
        <v>0.4</v>
      </c>
    </row>
    <row r="31" spans="1:19" ht="18" x14ac:dyDescent="0.2">
      <c r="A31" t="s">
        <v>100</v>
      </c>
      <c r="B31" t="s">
        <v>96</v>
      </c>
      <c r="C31" t="s">
        <v>99</v>
      </c>
      <c r="D31" t="s">
        <v>149</v>
      </c>
      <c r="E31" s="27">
        <v>0.25</v>
      </c>
      <c r="F31" s="27">
        <v>0.1</v>
      </c>
      <c r="G31" s="26">
        <v>6.4999999999999997E-4</v>
      </c>
      <c r="H31" s="26">
        <v>1.2999999999999999E-4</v>
      </c>
      <c r="I31" s="26">
        <v>8.0999999999999996E-4</v>
      </c>
      <c r="J31" s="26">
        <v>1.6000000000000001E-4</v>
      </c>
      <c r="K31" s="28">
        <v>0.625</v>
      </c>
      <c r="L31" s="28">
        <v>0.125</v>
      </c>
      <c r="M31" s="28">
        <v>0.78</v>
      </c>
      <c r="N31" s="28">
        <v>0.155</v>
      </c>
      <c r="O31" s="28">
        <f>Table4[[#This Row],[Provisioned_IA- WCU]]/Table4[[#This Row],[Provisioned - WCU]]</f>
        <v>1.2461538461538462</v>
      </c>
      <c r="P31" s="28">
        <f>Table4[[#This Row],[Provisioned_IA- RCU]]/Table4[[#This Row],[Provisioned - RCU]]</f>
        <v>1.2307692307692311</v>
      </c>
      <c r="Q31" s="28">
        <f>Table4[[#This Row],[OD_IA_WRU]]/Table4[[#This Row],[OD_WRU]]</f>
        <v>1.248</v>
      </c>
      <c r="R31" s="28">
        <f>Table4[[#This Row],[OD_IA_RRU]]/Table4[[#This Row],[OD_RRU]]</f>
        <v>1.24</v>
      </c>
      <c r="S31" s="28">
        <f>Table4[[#This Row],[Standard_IA]]/Table4[[#This Row],[Standard]]</f>
        <v>0.4</v>
      </c>
    </row>
    <row r="32" spans="1:19" ht="18" x14ac:dyDescent="0.2">
      <c r="A32" t="s">
        <v>104</v>
      </c>
      <c r="B32" t="s">
        <v>96</v>
      </c>
      <c r="C32" t="s">
        <v>105</v>
      </c>
      <c r="D32" t="s">
        <v>139</v>
      </c>
      <c r="E32" s="27">
        <v>0.28000000000000003</v>
      </c>
      <c r="F32" s="27">
        <v>0.112</v>
      </c>
      <c r="G32" s="26">
        <v>7.2499999999999995E-4</v>
      </c>
      <c r="H32" s="26">
        <v>1.45E-4</v>
      </c>
      <c r="I32" s="26">
        <v>9.0600000000000001E-4</v>
      </c>
      <c r="J32" s="26">
        <v>1.8100000000000001E-4</v>
      </c>
      <c r="K32" s="28">
        <v>0.69499999999999995</v>
      </c>
      <c r="L32" s="28">
        <v>0.13950000000000001</v>
      </c>
      <c r="M32" s="28">
        <v>0.87</v>
      </c>
      <c r="N32" s="28">
        <v>0.17449999999999999</v>
      </c>
      <c r="O32" s="28">
        <f>Table4[[#This Row],[Provisioned_IA- WCU]]/Table4[[#This Row],[Provisioned - WCU]]</f>
        <v>1.2496551724137932</v>
      </c>
      <c r="P32" s="28">
        <f>Table4[[#This Row],[Provisioned_IA- RCU]]/Table4[[#This Row],[Provisioned - RCU]]</f>
        <v>1.2482758620689656</v>
      </c>
      <c r="Q32" s="28">
        <f>Table4[[#This Row],[OD_IA_WRU]]/Table4[[#This Row],[OD_WRU]]</f>
        <v>1.2517985611510791</v>
      </c>
      <c r="R32" s="28">
        <f>Table4[[#This Row],[OD_IA_RRU]]/Table4[[#This Row],[OD_RRU]]</f>
        <v>1.25089605734767</v>
      </c>
      <c r="S32" s="28">
        <f>Table4[[#This Row],[Standard_IA]]/Table4[[#This Row],[Standard]]</f>
        <v>0.39999999999999997</v>
      </c>
    </row>
    <row r="33" spans="1:19" ht="18" x14ac:dyDescent="0.2">
      <c r="A33" t="s">
        <v>106</v>
      </c>
      <c r="B33" t="s">
        <v>96</v>
      </c>
      <c r="C33" t="s">
        <v>103</v>
      </c>
      <c r="D33" t="s">
        <v>143</v>
      </c>
      <c r="E33" s="27">
        <v>0.25</v>
      </c>
      <c r="F33" s="27">
        <v>0.1</v>
      </c>
      <c r="G33" s="26">
        <v>6.4999999999999997E-4</v>
      </c>
      <c r="H33" s="26">
        <v>1.2999999999999999E-4</v>
      </c>
      <c r="I33" s="26">
        <v>8.0999999999999996E-4</v>
      </c>
      <c r="J33" s="26">
        <v>1.6000000000000001E-4</v>
      </c>
      <c r="K33" s="28">
        <v>0.625</v>
      </c>
      <c r="L33" s="28">
        <v>0.125</v>
      </c>
      <c r="M33" s="28">
        <v>0.78</v>
      </c>
      <c r="N33" s="28">
        <v>0.155</v>
      </c>
      <c r="O33" s="28">
        <f>Table4[[#This Row],[Provisioned_IA- WCU]]/Table4[[#This Row],[Provisioned - WCU]]</f>
        <v>1.2461538461538462</v>
      </c>
      <c r="P33" s="28">
        <f>Table4[[#This Row],[Provisioned_IA- RCU]]/Table4[[#This Row],[Provisioned - RCU]]</f>
        <v>1.2307692307692311</v>
      </c>
      <c r="Q33" s="28">
        <f>Table4[[#This Row],[OD_IA_WRU]]/Table4[[#This Row],[OD_WRU]]</f>
        <v>1.248</v>
      </c>
      <c r="R33" s="28">
        <f>Table4[[#This Row],[OD_IA_RRU]]/Table4[[#This Row],[OD_RRU]]</f>
        <v>1.24</v>
      </c>
      <c r="S33" s="28">
        <f>Table4[[#This Row],[Standard_IA]]/Table4[[#This Row],[Standard]]</f>
        <v>0.4</v>
      </c>
    </row>
    <row r="34" spans="1:19" ht="18" x14ac:dyDescent="0.2">
      <c r="E34" s="27"/>
      <c r="F34" s="27"/>
      <c r="G34" s="26"/>
      <c r="H34" s="26"/>
      <c r="I34" s="26"/>
      <c r="J34" s="26"/>
      <c r="K34" s="28"/>
      <c r="L34" s="28"/>
      <c r="M34" s="28"/>
      <c r="N34" s="28"/>
      <c r="O34" s="28"/>
      <c r="P34" s="28"/>
      <c r="Q34" s="28"/>
      <c r="R34" s="28"/>
      <c r="S34" s="28"/>
    </row>
  </sheetData>
  <phoneticPr fontId="16"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39283-35AA-4343-B694-58DE02404506}">
  <dimension ref="A1:A2"/>
  <sheetViews>
    <sheetView workbookViewId="0">
      <selection activeCell="G42" sqref="G42"/>
    </sheetView>
  </sheetViews>
  <sheetFormatPr baseColWidth="10" defaultRowHeight="16" x14ac:dyDescent="0.2"/>
  <cols>
    <col min="1" max="1" width="17.83203125" bestFit="1" customWidth="1"/>
  </cols>
  <sheetData>
    <row r="1" spans="1:1" x14ac:dyDescent="0.2">
      <c r="A1" t="s">
        <v>116</v>
      </c>
    </row>
    <row r="2" spans="1:1" x14ac:dyDescent="0.2">
      <c r="A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CostSheet</vt:lpstr>
      <vt:lpstr>Table Class Calc (Cost Unknown)</vt:lpstr>
      <vt:lpstr>Table Class Calc(Cost Known)</vt:lpstr>
      <vt:lpstr>Data</vt:lpstr>
      <vt:lpstr>List</vt:lpstr>
      <vt:lpstr>GT</vt:lpstr>
      <vt:lpstr>GTStorage</vt:lpstr>
      <vt:lpstr>GTWrites</vt:lpstr>
      <vt:lpstr>Hours</vt:lpstr>
      <vt:lpstr>OnDemandRcuPrice</vt:lpstr>
      <vt:lpstr>OnDemandWcuPrice</vt:lpstr>
      <vt:lpstr>ProvisionedPricePerReadUnitHourly</vt:lpstr>
      <vt:lpstr>ProvisionedPricePerWriteUnitHourly</vt:lpstr>
      <vt:lpstr>ProvisioningEfficiency</vt:lpstr>
      <vt:lpstr>StorageCostPerGbHour</vt:lpstr>
      <vt:lpstr>TimeUnit</vt:lpstr>
      <vt:lpstr>TimeUnitQty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Tzuri, Irmi</dc:creator>
  <cp:lastModifiedBy>Tzuri, Irmi</cp:lastModifiedBy>
  <dcterms:created xsi:type="dcterms:W3CDTF">2024-04-10T06:14:40Z</dcterms:created>
  <dcterms:modified xsi:type="dcterms:W3CDTF">2025-01-10T19:04:21Z</dcterms:modified>
</cp:coreProperties>
</file>